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280" yWindow="15" windowWidth="19905" windowHeight="1374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r:id="rId21"/>
    <sheet name="土地比较法-住宅、综合" sheetId="39" r:id="rId22"/>
    <sheet name="土地" sheetId="78" r:id="rId23"/>
    <sheet name="成本法 (元)" sheetId="89" state="hidden" r:id="rId24"/>
    <sheet name="假设开发法" sheetId="12" r:id="rId25"/>
    <sheet name="比较法-住宅" sheetId="21" r:id="rId26"/>
    <sheet name="典型户型修正" sheetId="31" r:id="rId27"/>
    <sheet name="结果表商" sheetId="83" state="hidden" r:id="rId28"/>
    <sheet name="成本法商" sheetId="82" state="hidden" r:id="rId29"/>
    <sheet name="收益法商" sheetId="79" r:id="rId30"/>
    <sheet name="结果表仓" sheetId="85" state="hidden" r:id="rId31"/>
    <sheet name="成本法仓" sheetId="69" state="hidden"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state="hidden"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state="hidden" r:id="rId48"/>
    <sheet name="地价" sheetId="71" state="hidden"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5" hidden="1">清单!$A$1:$G$1075</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C6" i="68"/>
  <c r="C38" i="39"/>
  <c r="B21" i="1" l="1"/>
  <c r="K78" i="9" l="1"/>
  <c r="K76" i="9"/>
  <c r="C88" i="9" l="1"/>
  <c r="I91" i="9"/>
  <c r="C637" i="31" l="1"/>
  <c r="E637" i="3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G643" i="31"/>
  <c r="I643" i="31"/>
  <c r="K643" i="31"/>
  <c r="M643" i="31"/>
  <c r="O643" i="31"/>
  <c r="Q643" i="31"/>
  <c r="C644"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C651" i="31"/>
  <c r="E651" i="31"/>
  <c r="G651" i="31"/>
  <c r="I651" i="31"/>
  <c r="K651" i="31"/>
  <c r="M651" i="31"/>
  <c r="O651" i="31"/>
  <c r="Q651" i="31"/>
  <c r="C652" i="31"/>
  <c r="E652" i="31"/>
  <c r="G652" i="31"/>
  <c r="I652" i="31"/>
  <c r="K652" i="31"/>
  <c r="M652" i="31"/>
  <c r="O652" i="31"/>
  <c r="Q652" i="31"/>
  <c r="C653" i="31"/>
  <c r="E653" i="31"/>
  <c r="G653" i="31"/>
  <c r="I653" i="31"/>
  <c r="K653" i="31"/>
  <c r="M653" i="31"/>
  <c r="O653" i="31"/>
  <c r="Q653" i="31"/>
  <c r="C654" i="31"/>
  <c r="E654" i="31"/>
  <c r="G654" i="31"/>
  <c r="I654" i="31"/>
  <c r="K654" i="31"/>
  <c r="M654" i="31"/>
  <c r="O654" i="31"/>
  <c r="Q654" i="31"/>
  <c r="C655" i="31"/>
  <c r="E655" i="31"/>
  <c r="G655" i="31"/>
  <c r="I655" i="31"/>
  <c r="K655" i="31"/>
  <c r="M655" i="31"/>
  <c r="O655" i="31"/>
  <c r="Q655" i="31"/>
  <c r="C656"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C659" i="31"/>
  <c r="E659" i="3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C675" i="31"/>
  <c r="E675" i="31"/>
  <c r="G675" i="31"/>
  <c r="I675" i="31"/>
  <c r="K675" i="31"/>
  <c r="M675" i="31"/>
  <c r="O675" i="31"/>
  <c r="Q675" i="31"/>
  <c r="C676" i="31"/>
  <c r="E676" i="31"/>
  <c r="G676" i="31"/>
  <c r="I676" i="31"/>
  <c r="K676" i="31"/>
  <c r="M676" i="31"/>
  <c r="O676" i="31"/>
  <c r="Q676" i="31"/>
  <c r="C677" i="31"/>
  <c r="E677" i="31"/>
  <c r="G677" i="31"/>
  <c r="I677" i="31"/>
  <c r="K677" i="31"/>
  <c r="M677" i="31"/>
  <c r="O677" i="31"/>
  <c r="Q677" i="31"/>
  <c r="C678" i="31"/>
  <c r="E678" i="31"/>
  <c r="G678" i="31"/>
  <c r="I678" i="31"/>
  <c r="K678" i="31"/>
  <c r="M678" i="31"/>
  <c r="O678" i="31"/>
  <c r="Q678" i="31"/>
  <c r="C679" i="31"/>
  <c r="E679" i="31"/>
  <c r="G679" i="31"/>
  <c r="I679" i="31"/>
  <c r="K679" i="31"/>
  <c r="M679" i="31"/>
  <c r="O679" i="31"/>
  <c r="Q679" i="31"/>
  <c r="C680" i="31"/>
  <c r="E680" i="31"/>
  <c r="G680" i="31"/>
  <c r="I680" i="31"/>
  <c r="K680" i="31"/>
  <c r="M680" i="31"/>
  <c r="O680" i="31"/>
  <c r="Q680" i="31"/>
  <c r="C681" i="31"/>
  <c r="E681" i="31"/>
  <c r="G681" i="31"/>
  <c r="I681" i="31"/>
  <c r="K681" i="31"/>
  <c r="M681" i="31"/>
  <c r="O681" i="31"/>
  <c r="Q681" i="31"/>
  <c r="C682" i="31"/>
  <c r="E682" i="31"/>
  <c r="G682" i="31"/>
  <c r="I682" i="31"/>
  <c r="K682" i="31"/>
  <c r="M682" i="31"/>
  <c r="O682" i="31"/>
  <c r="Q682" i="31"/>
  <c r="C683" i="31"/>
  <c r="E683" i="31"/>
  <c r="G683" i="31"/>
  <c r="I683" i="31"/>
  <c r="K683" i="31"/>
  <c r="M683" i="31"/>
  <c r="O683" i="31"/>
  <c r="Q683" i="31"/>
  <c r="C684"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C688" i="31"/>
  <c r="E688" i="31"/>
  <c r="G688" i="31"/>
  <c r="I688" i="31"/>
  <c r="K688" i="31"/>
  <c r="M688" i="31"/>
  <c r="O688" i="31"/>
  <c r="Q688" i="31"/>
  <c r="C689" i="31"/>
  <c r="E689" i="31"/>
  <c r="G689" i="31"/>
  <c r="I689" i="31"/>
  <c r="K689" i="31"/>
  <c r="M689" i="31"/>
  <c r="O689" i="31"/>
  <c r="Q689" i="31"/>
  <c r="C690" i="31"/>
  <c r="E690" i="31"/>
  <c r="G690" i="31"/>
  <c r="I690" i="31"/>
  <c r="K690" i="31"/>
  <c r="M690" i="31"/>
  <c r="O690" i="31"/>
  <c r="Q690" i="31"/>
  <c r="C691" i="31"/>
  <c r="E691" i="31"/>
  <c r="G691" i="31"/>
  <c r="I691" i="31"/>
  <c r="K691" i="31"/>
  <c r="M691" i="31"/>
  <c r="O691" i="31"/>
  <c r="Q691" i="31"/>
  <c r="C692" i="31"/>
  <c r="E692" i="31"/>
  <c r="G692" i="31"/>
  <c r="I692" i="31"/>
  <c r="K692" i="31"/>
  <c r="M692" i="31"/>
  <c r="O692" i="31"/>
  <c r="Q692" i="31"/>
  <c r="C693" i="31"/>
  <c r="E693" i="31"/>
  <c r="G693" i="31"/>
  <c r="I693" i="31"/>
  <c r="K693" i="31"/>
  <c r="M693" i="31"/>
  <c r="O693" i="31"/>
  <c r="Q693" i="31"/>
  <c r="C694" i="31"/>
  <c r="E694" i="31"/>
  <c r="G694" i="31"/>
  <c r="I694" i="31"/>
  <c r="K694" i="31"/>
  <c r="M694" i="31"/>
  <c r="O694" i="31"/>
  <c r="Q694" i="31"/>
  <c r="C695" i="31"/>
  <c r="E695" i="31"/>
  <c r="G695" i="31"/>
  <c r="I695" i="31"/>
  <c r="K695" i="31"/>
  <c r="M695" i="31"/>
  <c r="O695" i="31"/>
  <c r="Q695" i="31"/>
  <c r="C696"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C699" i="31"/>
  <c r="E699" i="31"/>
  <c r="G699" i="31"/>
  <c r="I699" i="31"/>
  <c r="K699" i="31"/>
  <c r="M699" i="31"/>
  <c r="O699" i="31"/>
  <c r="Q699" i="31"/>
  <c r="C700"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C703" i="31"/>
  <c r="E703" i="31"/>
  <c r="G703" i="31"/>
  <c r="I703" i="31"/>
  <c r="K703" i="31"/>
  <c r="M703" i="31"/>
  <c r="O703" i="31"/>
  <c r="Q703" i="31"/>
  <c r="C704"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C707" i="31"/>
  <c r="E707" i="31"/>
  <c r="G707" i="31"/>
  <c r="I707" i="31"/>
  <c r="K707" i="31"/>
  <c r="M707" i="31"/>
  <c r="O707" i="31"/>
  <c r="Q707" i="31"/>
  <c r="C708"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C711" i="31"/>
  <c r="E711" i="31"/>
  <c r="G711" i="31"/>
  <c r="I711" i="31"/>
  <c r="K711" i="31"/>
  <c r="M711" i="31"/>
  <c r="O711" i="31"/>
  <c r="Q711" i="31"/>
  <c r="C712"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C715" i="31"/>
  <c r="E715" i="31"/>
  <c r="G715" i="31"/>
  <c r="I715" i="31"/>
  <c r="K715" i="31"/>
  <c r="M715" i="31"/>
  <c r="O715" i="31"/>
  <c r="Q715" i="31"/>
  <c r="C716"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C732" i="31"/>
  <c r="E732" i="31"/>
  <c r="G732" i="31"/>
  <c r="I732" i="31"/>
  <c r="K732" i="31"/>
  <c r="M732" i="31"/>
  <c r="O732" i="31"/>
  <c r="Q732" i="31"/>
  <c r="C733" i="31"/>
  <c r="E733" i="31"/>
  <c r="G733" i="31"/>
  <c r="I733" i="31"/>
  <c r="K733" i="31"/>
  <c r="M733" i="31"/>
  <c r="O733" i="31"/>
  <c r="Q733" i="31"/>
  <c r="C734" i="31"/>
  <c r="E734" i="31"/>
  <c r="G734" i="31"/>
  <c r="I734" i="31"/>
  <c r="K734" i="31"/>
  <c r="M734" i="31"/>
  <c r="O734" i="31"/>
  <c r="Q734" i="31"/>
  <c r="C735" i="31"/>
  <c r="E735" i="31"/>
  <c r="G735" i="31"/>
  <c r="I735" i="31"/>
  <c r="K735" i="31"/>
  <c r="M735" i="31"/>
  <c r="O735" i="31"/>
  <c r="Q735" i="31"/>
  <c r="C736"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C752"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C755" i="31"/>
  <c r="E755" i="31"/>
  <c r="G755" i="31"/>
  <c r="I755" i="31"/>
  <c r="K755" i="31"/>
  <c r="M755" i="31"/>
  <c r="O755" i="31"/>
  <c r="Q755" i="31"/>
  <c r="C756" i="31"/>
  <c r="E756" i="31"/>
  <c r="G756" i="31"/>
  <c r="I756" i="31"/>
  <c r="K756" i="31"/>
  <c r="M756" i="31"/>
  <c r="O756" i="31"/>
  <c r="Q756" i="31"/>
  <c r="C757" i="31"/>
  <c r="E757" i="31"/>
  <c r="G757" i="31"/>
  <c r="I757" i="31"/>
  <c r="K757" i="31"/>
  <c r="M757" i="31"/>
  <c r="O757" i="31"/>
  <c r="Q757" i="31"/>
  <c r="C758" i="31"/>
  <c r="E758" i="31"/>
  <c r="G758" i="31"/>
  <c r="I758" i="31"/>
  <c r="K758" i="31"/>
  <c r="M758" i="31"/>
  <c r="O758" i="31"/>
  <c r="Q758" i="31"/>
  <c r="C759" i="31"/>
  <c r="E759" i="31"/>
  <c r="G759" i="31"/>
  <c r="I759" i="31"/>
  <c r="K759" i="31"/>
  <c r="M759" i="31"/>
  <c r="O759" i="31"/>
  <c r="Q759" i="31"/>
  <c r="C760" i="31"/>
  <c r="E760" i="31"/>
  <c r="G760" i="31"/>
  <c r="I760" i="31"/>
  <c r="K760" i="31"/>
  <c r="M760" i="31"/>
  <c r="O760" i="31"/>
  <c r="Q760" i="31"/>
  <c r="C761"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C779" i="31"/>
  <c r="E779" i="31"/>
  <c r="G779" i="31"/>
  <c r="I779" i="31"/>
  <c r="K779" i="31"/>
  <c r="M779" i="31"/>
  <c r="O779" i="31"/>
  <c r="Q779" i="31"/>
  <c r="C780" i="31"/>
  <c r="E780" i="31"/>
  <c r="G780" i="31"/>
  <c r="I780" i="31"/>
  <c r="K780" i="31"/>
  <c r="M780" i="31"/>
  <c r="O780" i="31"/>
  <c r="Q780" i="31"/>
  <c r="C781" i="31"/>
  <c r="E781" i="31"/>
  <c r="G781" i="31"/>
  <c r="I781" i="31"/>
  <c r="K781" i="31"/>
  <c r="M781" i="31"/>
  <c r="O781" i="31"/>
  <c r="Q781" i="31"/>
  <c r="C782"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C799"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C810" i="31"/>
  <c r="E810" i="31"/>
  <c r="G810" i="31"/>
  <c r="I810" i="31"/>
  <c r="K810" i="31"/>
  <c r="M810" i="31"/>
  <c r="O810" i="31"/>
  <c r="Q810" i="31"/>
  <c r="C811" i="31"/>
  <c r="E811" i="31"/>
  <c r="G811" i="31"/>
  <c r="I811" i="31"/>
  <c r="K811" i="31"/>
  <c r="M811" i="31"/>
  <c r="O811" i="31"/>
  <c r="Q811" i="31"/>
  <c r="C812" i="31"/>
  <c r="E812" i="31"/>
  <c r="G812" i="31"/>
  <c r="I812" i="31"/>
  <c r="K812" i="31"/>
  <c r="M812" i="31"/>
  <c r="O812" i="31"/>
  <c r="Q812" i="31"/>
  <c r="C813" i="31"/>
  <c r="E813" i="31"/>
  <c r="G813" i="31"/>
  <c r="I813" i="31"/>
  <c r="K813" i="31"/>
  <c r="M813" i="31"/>
  <c r="O813" i="31"/>
  <c r="Q813" i="31"/>
  <c r="C814" i="31"/>
  <c r="E814" i="31"/>
  <c r="G814" i="31"/>
  <c r="I814" i="31"/>
  <c r="K814" i="31"/>
  <c r="M814" i="31"/>
  <c r="O814" i="31"/>
  <c r="Q814" i="31"/>
  <c r="C815" i="31"/>
  <c r="E815" i="31"/>
  <c r="G815" i="31"/>
  <c r="I815" i="31"/>
  <c r="K815" i="31"/>
  <c r="M815" i="31"/>
  <c r="O815" i="31"/>
  <c r="Q815" i="31"/>
  <c r="C816" i="31"/>
  <c r="E816" i="31"/>
  <c r="G816" i="31"/>
  <c r="I816" i="31"/>
  <c r="K816" i="31"/>
  <c r="M816" i="31"/>
  <c r="O816" i="31"/>
  <c r="Q816" i="31"/>
  <c r="C817" i="31"/>
  <c r="E817" i="31"/>
  <c r="G817" i="31"/>
  <c r="I817" i="31"/>
  <c r="K817" i="31"/>
  <c r="M817" i="31"/>
  <c r="O817" i="31"/>
  <c r="Q817" i="31"/>
  <c r="C818" i="31"/>
  <c r="E818" i="31"/>
  <c r="G818" i="31"/>
  <c r="I818" i="31"/>
  <c r="K818" i="31"/>
  <c r="M818" i="31"/>
  <c r="O818" i="31"/>
  <c r="Q818" i="31"/>
  <c r="C819"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C833" i="31"/>
  <c r="E833" i="31"/>
  <c r="G833" i="31"/>
  <c r="I833" i="31"/>
  <c r="K833" i="31"/>
  <c r="M833" i="31"/>
  <c r="O833" i="31"/>
  <c r="Q833" i="31"/>
  <c r="C834" i="31"/>
  <c r="E834" i="31"/>
  <c r="G834" i="31"/>
  <c r="I834" i="31"/>
  <c r="K834" i="31"/>
  <c r="M834" i="31"/>
  <c r="O834" i="31"/>
  <c r="Q834" i="31"/>
  <c r="C835" i="31"/>
  <c r="E835" i="31"/>
  <c r="G835" i="31"/>
  <c r="I835" i="31"/>
  <c r="K835" i="31"/>
  <c r="M835" i="31"/>
  <c r="O835" i="31"/>
  <c r="Q835" i="31"/>
  <c r="C836" i="31"/>
  <c r="E836" i="31"/>
  <c r="G836" i="31"/>
  <c r="I836" i="31"/>
  <c r="K836" i="31"/>
  <c r="M836" i="31"/>
  <c r="O836" i="31"/>
  <c r="Q836" i="31"/>
  <c r="C837" i="31"/>
  <c r="E837" i="31"/>
  <c r="G837" i="31"/>
  <c r="I837" i="31"/>
  <c r="K837" i="31"/>
  <c r="M837" i="31"/>
  <c r="O837" i="31"/>
  <c r="Q837" i="31"/>
  <c r="C838" i="31"/>
  <c r="E838" i="31"/>
  <c r="G838" i="31"/>
  <c r="I838" i="31"/>
  <c r="K838" i="31"/>
  <c r="M838" i="31"/>
  <c r="O838" i="31"/>
  <c r="Q838" i="31"/>
  <c r="C839" i="31"/>
  <c r="E839" i="31"/>
  <c r="G839" i="31"/>
  <c r="I839" i="31"/>
  <c r="K839" i="31"/>
  <c r="M839" i="31"/>
  <c r="O839" i="31"/>
  <c r="Q839" i="31"/>
  <c r="C840" i="31"/>
  <c r="E840" i="31"/>
  <c r="G840" i="31"/>
  <c r="I840" i="31"/>
  <c r="K840" i="31"/>
  <c r="M840" i="31"/>
  <c r="O840" i="31"/>
  <c r="Q840" i="31"/>
  <c r="C841" i="31"/>
  <c r="E841" i="31"/>
  <c r="G841" i="31"/>
  <c r="I841" i="31"/>
  <c r="K841" i="31"/>
  <c r="M841" i="31"/>
  <c r="O841" i="31"/>
  <c r="Q841" i="31"/>
  <c r="C842" i="31"/>
  <c r="E842" i="31"/>
  <c r="G842" i="31"/>
  <c r="I842" i="31"/>
  <c r="K842" i="31"/>
  <c r="M842" i="31"/>
  <c r="O842" i="31"/>
  <c r="Q842" i="31"/>
  <c r="C843" i="31"/>
  <c r="E843" i="31"/>
  <c r="G843" i="31"/>
  <c r="I843" i="31"/>
  <c r="K843" i="31"/>
  <c r="M843" i="31"/>
  <c r="O843" i="31"/>
  <c r="Q843" i="31"/>
  <c r="C844" i="31"/>
  <c r="E844" i="31"/>
  <c r="G844" i="31"/>
  <c r="I844" i="31"/>
  <c r="K844" i="31"/>
  <c r="M844" i="31"/>
  <c r="O844" i="31"/>
  <c r="Q844" i="31"/>
  <c r="C845" i="31"/>
  <c r="E845" i="31"/>
  <c r="G845" i="31"/>
  <c r="I845" i="31"/>
  <c r="K845" i="31"/>
  <c r="M845" i="31"/>
  <c r="O845" i="31"/>
  <c r="Q845" i="31"/>
  <c r="C846"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C859" i="31"/>
  <c r="E859" i="31"/>
  <c r="G859" i="31"/>
  <c r="I859" i="31"/>
  <c r="K859" i="31"/>
  <c r="M859" i="31"/>
  <c r="O859" i="31"/>
  <c r="Q859" i="31"/>
  <c r="C860" i="31"/>
  <c r="E860" i="31"/>
  <c r="G860" i="31"/>
  <c r="I860" i="31"/>
  <c r="K860" i="31"/>
  <c r="M860" i="31"/>
  <c r="O860" i="31"/>
  <c r="Q860" i="31"/>
  <c r="C861" i="31"/>
  <c r="E861" i="31"/>
  <c r="G861" i="31"/>
  <c r="I861" i="31"/>
  <c r="K861" i="31"/>
  <c r="M861" i="31"/>
  <c r="O861" i="31"/>
  <c r="Q861" i="31"/>
  <c r="C862" i="31"/>
  <c r="E862" i="31"/>
  <c r="G862" i="31"/>
  <c r="I862" i="31"/>
  <c r="K862" i="31"/>
  <c r="M862" i="31"/>
  <c r="O862" i="31"/>
  <c r="Q862" i="31"/>
  <c r="C863" i="31"/>
  <c r="E863" i="31"/>
  <c r="G863" i="31"/>
  <c r="I863" i="31"/>
  <c r="K863" i="31"/>
  <c r="M863" i="31"/>
  <c r="O863" i="31"/>
  <c r="Q863" i="31"/>
  <c r="C864" i="31"/>
  <c r="E864" i="31"/>
  <c r="G864" i="31"/>
  <c r="I864" i="31"/>
  <c r="K864" i="31"/>
  <c r="M864" i="31"/>
  <c r="O864" i="31"/>
  <c r="Q864" i="31"/>
  <c r="C865" i="31"/>
  <c r="E865" i="31"/>
  <c r="G865" i="31"/>
  <c r="I865" i="31"/>
  <c r="K865" i="31"/>
  <c r="M865" i="31"/>
  <c r="O865" i="31"/>
  <c r="Q865" i="31"/>
  <c r="C866" i="31"/>
  <c r="E866" i="31"/>
  <c r="G866" i="31"/>
  <c r="I866" i="31"/>
  <c r="K866" i="31"/>
  <c r="M866" i="31"/>
  <c r="O866" i="31"/>
  <c r="Q866" i="31"/>
  <c r="C867" i="31"/>
  <c r="E867" i="31"/>
  <c r="G867" i="31"/>
  <c r="I867" i="31"/>
  <c r="K867" i="31"/>
  <c r="M867" i="31"/>
  <c r="O867" i="31"/>
  <c r="Q867" i="31"/>
  <c r="C868" i="31"/>
  <c r="E868" i="31"/>
  <c r="G868" i="31"/>
  <c r="I868" i="31"/>
  <c r="K868" i="31"/>
  <c r="M868" i="31"/>
  <c r="O868" i="31"/>
  <c r="Q868" i="31"/>
  <c r="C869" i="31"/>
  <c r="E869" i="31"/>
  <c r="G869" i="31"/>
  <c r="I869" i="31"/>
  <c r="K869" i="31"/>
  <c r="M869" i="31"/>
  <c r="O869" i="31"/>
  <c r="Q869" i="31"/>
  <c r="C870" i="31"/>
  <c r="E870" i="31"/>
  <c r="G870" i="31"/>
  <c r="I870" i="31"/>
  <c r="K870" i="31"/>
  <c r="M870" i="31"/>
  <c r="O870" i="31"/>
  <c r="Q870" i="31"/>
  <c r="C871" i="31"/>
  <c r="E871" i="31"/>
  <c r="G871" i="31"/>
  <c r="I871" i="31"/>
  <c r="K871" i="31"/>
  <c r="M871" i="31"/>
  <c r="O871" i="31"/>
  <c r="Q871" i="31"/>
  <c r="C872" i="31"/>
  <c r="E872" i="31"/>
  <c r="G872" i="31"/>
  <c r="I872" i="31"/>
  <c r="K872" i="31"/>
  <c r="M872" i="31"/>
  <c r="O872" i="31"/>
  <c r="Q872" i="31"/>
  <c r="C873" i="31"/>
  <c r="E873" i="31"/>
  <c r="G873" i="31"/>
  <c r="I873" i="31"/>
  <c r="K873" i="31"/>
  <c r="M873" i="31"/>
  <c r="O873" i="31"/>
  <c r="Q873" i="31"/>
  <c r="C874" i="31"/>
  <c r="E874" i="31"/>
  <c r="G874" i="31"/>
  <c r="I874" i="31"/>
  <c r="K874" i="31"/>
  <c r="M874" i="31"/>
  <c r="O874" i="31"/>
  <c r="Q874" i="31"/>
  <c r="C875" i="31"/>
  <c r="E875" i="31"/>
  <c r="G875" i="31"/>
  <c r="I875" i="31"/>
  <c r="K875" i="31"/>
  <c r="M875" i="31"/>
  <c r="O875" i="31"/>
  <c r="Q875" i="31"/>
  <c r="C876" i="31"/>
  <c r="E876" i="31"/>
  <c r="G876" i="31"/>
  <c r="I876" i="31"/>
  <c r="K876" i="31"/>
  <c r="M876" i="31"/>
  <c r="O876" i="31"/>
  <c r="Q876" i="31"/>
  <c r="C877" i="31"/>
  <c r="E877" i="31"/>
  <c r="G877" i="31"/>
  <c r="I877" i="31"/>
  <c r="K877" i="31"/>
  <c r="M877" i="31"/>
  <c r="O877" i="31"/>
  <c r="Q877" i="31"/>
  <c r="C878" i="31"/>
  <c r="E878" i="31"/>
  <c r="G878" i="31"/>
  <c r="I878" i="31"/>
  <c r="K878" i="31"/>
  <c r="M878" i="31"/>
  <c r="O878" i="31"/>
  <c r="Q878" i="31"/>
  <c r="C879" i="31"/>
  <c r="E879" i="31"/>
  <c r="G879" i="31"/>
  <c r="I879" i="31"/>
  <c r="K879" i="31"/>
  <c r="M879" i="31"/>
  <c r="O879" i="31"/>
  <c r="Q879" i="31"/>
  <c r="C880" i="31"/>
  <c r="E880" i="31"/>
  <c r="G880" i="31"/>
  <c r="I880" i="31"/>
  <c r="K880" i="31"/>
  <c r="M880" i="31"/>
  <c r="O880" i="31"/>
  <c r="Q880" i="31"/>
  <c r="C881" i="31"/>
  <c r="E881" i="31"/>
  <c r="G881" i="31"/>
  <c r="I881" i="31"/>
  <c r="K881" i="31"/>
  <c r="M881" i="31"/>
  <c r="O881" i="31"/>
  <c r="Q881" i="31"/>
  <c r="C882" i="31"/>
  <c r="E882" i="31"/>
  <c r="G882" i="31"/>
  <c r="I882" i="31"/>
  <c r="K882" i="31"/>
  <c r="M882" i="31"/>
  <c r="O882" i="31"/>
  <c r="Q882" i="31"/>
  <c r="C883" i="31"/>
  <c r="E883" i="31"/>
  <c r="G883" i="31"/>
  <c r="I883" i="31"/>
  <c r="K883" i="31"/>
  <c r="M883" i="31"/>
  <c r="O883" i="31"/>
  <c r="Q883" i="31"/>
  <c r="C884" i="31"/>
  <c r="E884" i="31"/>
  <c r="G884" i="31"/>
  <c r="I884" i="31"/>
  <c r="K884" i="31"/>
  <c r="M884" i="31"/>
  <c r="O884" i="31"/>
  <c r="Q884" i="31"/>
  <c r="C885" i="31"/>
  <c r="E885" i="31"/>
  <c r="G885" i="31"/>
  <c r="I885" i="31"/>
  <c r="K885" i="31"/>
  <c r="M885" i="31"/>
  <c r="O885" i="31"/>
  <c r="Q885" i="31"/>
  <c r="C886" i="31"/>
  <c r="E886" i="31"/>
  <c r="G886" i="31"/>
  <c r="I886" i="31"/>
  <c r="K886" i="31"/>
  <c r="M886" i="31"/>
  <c r="O886" i="31"/>
  <c r="Q886" i="31"/>
  <c r="C887" i="31"/>
  <c r="E887" i="31"/>
  <c r="G887" i="31"/>
  <c r="I887" i="31"/>
  <c r="K887" i="31"/>
  <c r="M887" i="31"/>
  <c r="O887" i="31"/>
  <c r="Q887" i="31"/>
  <c r="C888" i="31"/>
  <c r="E888" i="31"/>
  <c r="G888" i="31"/>
  <c r="I888" i="31"/>
  <c r="K888" i="31"/>
  <c r="M888" i="31"/>
  <c r="O888" i="31"/>
  <c r="Q888" i="31"/>
  <c r="C889" i="31"/>
  <c r="E889" i="31"/>
  <c r="G889" i="31"/>
  <c r="I889" i="31"/>
  <c r="K889" i="31"/>
  <c r="M889" i="31"/>
  <c r="O889" i="31"/>
  <c r="Q889" i="31"/>
  <c r="C890" i="31"/>
  <c r="E890" i="31"/>
  <c r="G890" i="31"/>
  <c r="I890" i="31"/>
  <c r="K890" i="31"/>
  <c r="M890" i="31"/>
  <c r="O890" i="31"/>
  <c r="Q890" i="31"/>
  <c r="C891" i="31"/>
  <c r="E891" i="31"/>
  <c r="G891" i="31"/>
  <c r="I891" i="31"/>
  <c r="K891" i="31"/>
  <c r="M891" i="31"/>
  <c r="O891" i="31"/>
  <c r="Q891" i="31"/>
  <c r="C892" i="31"/>
  <c r="E892" i="31"/>
  <c r="G892" i="31"/>
  <c r="I892" i="31"/>
  <c r="K892" i="31"/>
  <c r="M892" i="31"/>
  <c r="O892" i="31"/>
  <c r="Q892" i="31"/>
  <c r="C893" i="31"/>
  <c r="E893" i="31"/>
  <c r="G893" i="31"/>
  <c r="I893" i="31"/>
  <c r="K893" i="31"/>
  <c r="M893" i="31"/>
  <c r="O893" i="31"/>
  <c r="Q893" i="31"/>
  <c r="C894" i="31"/>
  <c r="E894" i="31"/>
  <c r="G894" i="31"/>
  <c r="I894" i="31"/>
  <c r="K894" i="31"/>
  <c r="M894" i="31"/>
  <c r="O894" i="31"/>
  <c r="Q894" i="31"/>
  <c r="C895" i="31"/>
  <c r="E895" i="31"/>
  <c r="G895" i="31"/>
  <c r="I895" i="31"/>
  <c r="K895" i="31"/>
  <c r="M895" i="31"/>
  <c r="O895" i="31"/>
  <c r="Q895" i="31"/>
  <c r="C896" i="31"/>
  <c r="E896" i="31"/>
  <c r="G896" i="31"/>
  <c r="I896" i="31"/>
  <c r="K896" i="31"/>
  <c r="M896" i="31"/>
  <c r="O896" i="31"/>
  <c r="Q896" i="31"/>
  <c r="C897" i="31"/>
  <c r="E897" i="31"/>
  <c r="G897" i="31"/>
  <c r="I897" i="31"/>
  <c r="K897" i="31"/>
  <c r="M897" i="31"/>
  <c r="O897" i="31"/>
  <c r="Q897" i="31"/>
  <c r="C898" i="31"/>
  <c r="E898" i="31"/>
  <c r="G898" i="31"/>
  <c r="I898" i="31"/>
  <c r="K898" i="31"/>
  <c r="M898" i="31"/>
  <c r="O898" i="31"/>
  <c r="Q898" i="31"/>
  <c r="C899" i="31"/>
  <c r="E899" i="31"/>
  <c r="G899" i="31"/>
  <c r="I899" i="31"/>
  <c r="K899" i="31"/>
  <c r="M899" i="31"/>
  <c r="O899" i="31"/>
  <c r="Q899" i="31"/>
  <c r="C900" i="31"/>
  <c r="E900" i="31"/>
  <c r="G900" i="31"/>
  <c r="I900" i="31"/>
  <c r="K900" i="31"/>
  <c r="M900" i="31"/>
  <c r="O900" i="31"/>
  <c r="Q900" i="31"/>
  <c r="C901" i="31"/>
  <c r="E901" i="31"/>
  <c r="G901" i="31"/>
  <c r="I901" i="31"/>
  <c r="K901" i="31"/>
  <c r="M901" i="31"/>
  <c r="O901" i="31"/>
  <c r="Q901" i="31"/>
  <c r="C902" i="31"/>
  <c r="E902" i="31"/>
  <c r="G902" i="31"/>
  <c r="I902" i="31"/>
  <c r="K902" i="31"/>
  <c r="M902" i="31"/>
  <c r="O902" i="31"/>
  <c r="Q902" i="31"/>
  <c r="C903" i="31"/>
  <c r="E903" i="31"/>
  <c r="G903" i="31"/>
  <c r="I903" i="31"/>
  <c r="K903" i="31"/>
  <c r="M903" i="31"/>
  <c r="O903" i="31"/>
  <c r="Q903" i="31"/>
  <c r="C904" i="31"/>
  <c r="E904" i="31"/>
  <c r="G904" i="31"/>
  <c r="I904" i="31"/>
  <c r="K904" i="31"/>
  <c r="M904" i="31"/>
  <c r="O904" i="31"/>
  <c r="Q904" i="31"/>
  <c r="C905" i="31"/>
  <c r="E905" i="31"/>
  <c r="G905" i="31"/>
  <c r="I905" i="31"/>
  <c r="K905" i="31"/>
  <c r="M905" i="31"/>
  <c r="O905" i="31"/>
  <c r="Q905" i="31"/>
  <c r="C906" i="31"/>
  <c r="E906" i="31"/>
  <c r="G906" i="31"/>
  <c r="I906" i="31"/>
  <c r="K906" i="31"/>
  <c r="M906" i="31"/>
  <c r="O906" i="31"/>
  <c r="Q906" i="31"/>
  <c r="C907" i="31"/>
  <c r="E907" i="31"/>
  <c r="G907" i="31"/>
  <c r="I907" i="31"/>
  <c r="K907" i="31"/>
  <c r="M907" i="31"/>
  <c r="O907" i="31"/>
  <c r="Q907" i="31"/>
  <c r="C908" i="31"/>
  <c r="E908" i="31"/>
  <c r="G908" i="31"/>
  <c r="I908" i="31"/>
  <c r="K908" i="31"/>
  <c r="M908" i="31"/>
  <c r="O908" i="31"/>
  <c r="Q908" i="31"/>
  <c r="C909" i="31"/>
  <c r="E909" i="31"/>
  <c r="G909" i="31"/>
  <c r="I909" i="31"/>
  <c r="K909" i="31"/>
  <c r="M909" i="31"/>
  <c r="O909" i="31"/>
  <c r="Q909" i="31"/>
  <c r="C910" i="31"/>
  <c r="E910" i="31"/>
  <c r="G910" i="31"/>
  <c r="I910" i="31"/>
  <c r="K910" i="31"/>
  <c r="M910" i="31"/>
  <c r="O910" i="31"/>
  <c r="Q910" i="31"/>
  <c r="C911" i="31"/>
  <c r="E911" i="31"/>
  <c r="G911" i="31"/>
  <c r="I911" i="31"/>
  <c r="K911" i="31"/>
  <c r="M911" i="31"/>
  <c r="O911" i="31"/>
  <c r="Q911" i="31"/>
  <c r="C912" i="31"/>
  <c r="E912" i="31"/>
  <c r="G912" i="31"/>
  <c r="I912" i="31"/>
  <c r="K912" i="31"/>
  <c r="M912" i="31"/>
  <c r="O912" i="31"/>
  <c r="Q912" i="31"/>
  <c r="C913" i="31"/>
  <c r="E913" i="31"/>
  <c r="G913" i="31"/>
  <c r="I913" i="31"/>
  <c r="K913" i="31"/>
  <c r="M913" i="31"/>
  <c r="O913" i="31"/>
  <c r="Q913" i="31"/>
  <c r="C914" i="31"/>
  <c r="E914" i="31"/>
  <c r="G914" i="31"/>
  <c r="I914" i="31"/>
  <c r="K914" i="31"/>
  <c r="M914" i="31"/>
  <c r="O914" i="31"/>
  <c r="Q914" i="31"/>
  <c r="C915" i="31"/>
  <c r="E915" i="31"/>
  <c r="G915" i="31"/>
  <c r="I915" i="31"/>
  <c r="K915" i="31"/>
  <c r="M915" i="31"/>
  <c r="O915" i="31"/>
  <c r="Q915" i="31"/>
  <c r="C916" i="31"/>
  <c r="E916" i="31"/>
  <c r="G916" i="31"/>
  <c r="I916" i="31"/>
  <c r="K916" i="31"/>
  <c r="M916" i="31"/>
  <c r="O916" i="31"/>
  <c r="Q916" i="31"/>
  <c r="C917" i="31"/>
  <c r="E917" i="31"/>
  <c r="G917" i="31"/>
  <c r="I917" i="31"/>
  <c r="K917" i="31"/>
  <c r="M917" i="31"/>
  <c r="O917" i="31"/>
  <c r="Q917" i="31"/>
  <c r="C918" i="31"/>
  <c r="E918" i="31"/>
  <c r="G918" i="31"/>
  <c r="I918" i="31"/>
  <c r="K918" i="31"/>
  <c r="M918" i="31"/>
  <c r="O918" i="31"/>
  <c r="Q918" i="31"/>
  <c r="C919" i="31"/>
  <c r="E919" i="31"/>
  <c r="G919" i="31"/>
  <c r="I919" i="31"/>
  <c r="K919" i="31"/>
  <c r="M919" i="31"/>
  <c r="O919" i="31"/>
  <c r="Q919" i="31"/>
  <c r="C920" i="31"/>
  <c r="E920" i="31"/>
  <c r="G920" i="31"/>
  <c r="I920" i="31"/>
  <c r="K920" i="31"/>
  <c r="M920" i="31"/>
  <c r="O920" i="31"/>
  <c r="Q920" i="31"/>
  <c r="C921" i="31"/>
  <c r="E921" i="31"/>
  <c r="G921" i="31"/>
  <c r="I921" i="31"/>
  <c r="K921" i="31"/>
  <c r="M921" i="31"/>
  <c r="O921" i="31"/>
  <c r="Q921" i="31"/>
  <c r="C922" i="31"/>
  <c r="E922" i="31"/>
  <c r="G922" i="31"/>
  <c r="I922" i="31"/>
  <c r="K922" i="31"/>
  <c r="M922" i="31"/>
  <c r="O922" i="31"/>
  <c r="Q922" i="31"/>
  <c r="C923" i="31"/>
  <c r="E923" i="31"/>
  <c r="G923" i="31"/>
  <c r="I923" i="31"/>
  <c r="K923" i="31"/>
  <c r="M923" i="31"/>
  <c r="O923" i="31"/>
  <c r="Q923" i="31"/>
  <c r="C924" i="31"/>
  <c r="E924" i="31"/>
  <c r="G924" i="31"/>
  <c r="I924" i="31"/>
  <c r="K924" i="31"/>
  <c r="M924" i="31"/>
  <c r="O924" i="31"/>
  <c r="Q924" i="31"/>
  <c r="C925" i="31"/>
  <c r="E925" i="31"/>
  <c r="G925" i="31"/>
  <c r="I925" i="31"/>
  <c r="K925" i="31"/>
  <c r="M925" i="31"/>
  <c r="O925" i="31"/>
  <c r="Q925" i="31"/>
  <c r="C926" i="31"/>
  <c r="E926" i="31"/>
  <c r="G926" i="31"/>
  <c r="I926" i="31"/>
  <c r="K926" i="31"/>
  <c r="M926" i="31"/>
  <c r="O926" i="31"/>
  <c r="Q926" i="31"/>
  <c r="C927" i="31"/>
  <c r="E927" i="31"/>
  <c r="G927" i="31"/>
  <c r="I927" i="31"/>
  <c r="K927" i="31"/>
  <c r="M927" i="31"/>
  <c r="O927" i="31"/>
  <c r="Q927" i="31"/>
  <c r="C928" i="31"/>
  <c r="E928" i="31"/>
  <c r="G928" i="31"/>
  <c r="I928" i="31"/>
  <c r="K928" i="31"/>
  <c r="M928" i="31"/>
  <c r="O928" i="31"/>
  <c r="Q928" i="31"/>
  <c r="C929" i="31"/>
  <c r="E929" i="31"/>
  <c r="G929" i="31"/>
  <c r="I929" i="31"/>
  <c r="K929" i="31"/>
  <c r="M929" i="31"/>
  <c r="O929" i="31"/>
  <c r="Q929" i="31"/>
  <c r="C930" i="31"/>
  <c r="E930" i="31"/>
  <c r="G930" i="31"/>
  <c r="I930" i="31"/>
  <c r="K930" i="31"/>
  <c r="M930" i="31"/>
  <c r="O930" i="31"/>
  <c r="Q930" i="31"/>
  <c r="C931" i="31"/>
  <c r="E931" i="31"/>
  <c r="G931" i="31"/>
  <c r="I931" i="31"/>
  <c r="K931" i="31"/>
  <c r="M931" i="31"/>
  <c r="O931" i="31"/>
  <c r="Q931" i="31"/>
  <c r="C932" i="31"/>
  <c r="E932" i="31"/>
  <c r="G932" i="31"/>
  <c r="I932" i="31"/>
  <c r="K932" i="31"/>
  <c r="M932" i="31"/>
  <c r="O932" i="31"/>
  <c r="Q932" i="31"/>
  <c r="C933" i="31"/>
  <c r="E933" i="31"/>
  <c r="G933" i="31"/>
  <c r="I933" i="31"/>
  <c r="K933" i="31"/>
  <c r="M933" i="31"/>
  <c r="O933" i="31"/>
  <c r="Q933" i="31"/>
  <c r="C934" i="31"/>
  <c r="E934" i="31"/>
  <c r="G934" i="31"/>
  <c r="I934" i="31"/>
  <c r="K934" i="31"/>
  <c r="M934" i="31"/>
  <c r="O934" i="31"/>
  <c r="Q934" i="31"/>
  <c r="C935" i="31"/>
  <c r="E935" i="31"/>
  <c r="G935" i="31"/>
  <c r="I935" i="31"/>
  <c r="K935" i="31"/>
  <c r="M935" i="31"/>
  <c r="O935" i="31"/>
  <c r="Q935" i="31"/>
  <c r="C936" i="31"/>
  <c r="E936" i="31"/>
  <c r="G936" i="31"/>
  <c r="I936" i="31"/>
  <c r="K936" i="31"/>
  <c r="M936" i="31"/>
  <c r="O936" i="31"/>
  <c r="Q936" i="31"/>
  <c r="C937" i="31"/>
  <c r="E937" i="31"/>
  <c r="G937" i="31"/>
  <c r="I937" i="31"/>
  <c r="K937" i="31"/>
  <c r="M937" i="31"/>
  <c r="O937" i="31"/>
  <c r="Q937" i="31"/>
  <c r="C938" i="31"/>
  <c r="E938" i="31"/>
  <c r="G938" i="31"/>
  <c r="I938" i="31"/>
  <c r="K938" i="31"/>
  <c r="M938" i="31"/>
  <c r="O938" i="31"/>
  <c r="Q938" i="31"/>
  <c r="C939" i="31"/>
  <c r="E939" i="31"/>
  <c r="G939" i="31"/>
  <c r="I939" i="31"/>
  <c r="K939" i="31"/>
  <c r="M939" i="31"/>
  <c r="O939" i="31"/>
  <c r="Q939" i="31"/>
  <c r="C940" i="31"/>
  <c r="E940" i="31"/>
  <c r="G940" i="31"/>
  <c r="I940" i="31"/>
  <c r="K940" i="31"/>
  <c r="M940" i="31"/>
  <c r="O940" i="31"/>
  <c r="Q940" i="31"/>
  <c r="C941" i="31"/>
  <c r="E941" i="31"/>
  <c r="G941" i="31"/>
  <c r="I941" i="31"/>
  <c r="K941" i="31"/>
  <c r="M941" i="31"/>
  <c r="O941" i="31"/>
  <c r="Q941" i="31"/>
  <c r="C942" i="31"/>
  <c r="E942" i="31"/>
  <c r="G942" i="31"/>
  <c r="I942" i="31"/>
  <c r="K942" i="31"/>
  <c r="M942" i="31"/>
  <c r="O942" i="31"/>
  <c r="Q942" i="31"/>
  <c r="C943" i="31"/>
  <c r="E943" i="31"/>
  <c r="G943" i="31"/>
  <c r="I943" i="31"/>
  <c r="K943" i="31"/>
  <c r="M943" i="31"/>
  <c r="O943" i="31"/>
  <c r="Q943" i="31"/>
  <c r="C944" i="31"/>
  <c r="E944" i="31"/>
  <c r="G944" i="31"/>
  <c r="I944" i="31"/>
  <c r="K944" i="31"/>
  <c r="M944" i="31"/>
  <c r="O944" i="31"/>
  <c r="Q944" i="31"/>
  <c r="C945" i="31"/>
  <c r="E945" i="31"/>
  <c r="G945" i="31"/>
  <c r="I945" i="31"/>
  <c r="K945" i="31"/>
  <c r="M945" i="31"/>
  <c r="O945" i="31"/>
  <c r="Q945" i="31"/>
  <c r="C946" i="31"/>
  <c r="E946" i="31"/>
  <c r="G946" i="31"/>
  <c r="I946" i="31"/>
  <c r="K946" i="31"/>
  <c r="M946" i="31"/>
  <c r="O946" i="31"/>
  <c r="Q946" i="31"/>
  <c r="C947" i="31"/>
  <c r="E947" i="31"/>
  <c r="G947" i="31"/>
  <c r="I947" i="31"/>
  <c r="K947" i="31"/>
  <c r="M947" i="31"/>
  <c r="O947" i="31"/>
  <c r="Q947" i="31"/>
  <c r="C948" i="31"/>
  <c r="E948" i="31"/>
  <c r="G948" i="31"/>
  <c r="I948" i="31"/>
  <c r="K948" i="31"/>
  <c r="M948" i="31"/>
  <c r="O948" i="31"/>
  <c r="Q948" i="31"/>
  <c r="C949" i="31"/>
  <c r="E949" i="31"/>
  <c r="G949" i="31"/>
  <c r="I949" i="31"/>
  <c r="K949" i="31"/>
  <c r="M949" i="31"/>
  <c r="O949" i="31"/>
  <c r="Q949" i="31"/>
  <c r="C950" i="31"/>
  <c r="E950" i="31"/>
  <c r="G950" i="31"/>
  <c r="I950" i="31"/>
  <c r="K950" i="31"/>
  <c r="M950" i="31"/>
  <c r="O950" i="31"/>
  <c r="Q950" i="31"/>
  <c r="C951" i="31"/>
  <c r="E951" i="31"/>
  <c r="G951" i="31"/>
  <c r="I951" i="31"/>
  <c r="K951" i="31"/>
  <c r="M951" i="31"/>
  <c r="O951" i="31"/>
  <c r="Q951" i="31"/>
  <c r="C952" i="31"/>
  <c r="E952" i="31"/>
  <c r="G952" i="31"/>
  <c r="I952" i="31"/>
  <c r="K952" i="31"/>
  <c r="M952" i="31"/>
  <c r="O952" i="31"/>
  <c r="Q952" i="31"/>
  <c r="C953" i="31"/>
  <c r="E953" i="31"/>
  <c r="G953" i="31"/>
  <c r="I953" i="31"/>
  <c r="K953" i="31"/>
  <c r="M953" i="31"/>
  <c r="O953" i="31"/>
  <c r="Q953" i="31"/>
  <c r="C954" i="31"/>
  <c r="E954" i="31"/>
  <c r="G954" i="31"/>
  <c r="I954" i="31"/>
  <c r="K954" i="31"/>
  <c r="M954" i="31"/>
  <c r="O954" i="31"/>
  <c r="Q954" i="31"/>
  <c r="C955" i="31"/>
  <c r="E955" i="31"/>
  <c r="G955" i="31"/>
  <c r="I955" i="31"/>
  <c r="K955" i="31"/>
  <c r="M955" i="31"/>
  <c r="O955" i="31"/>
  <c r="Q955"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C578" i="31"/>
  <c r="E578" i="31"/>
  <c r="G578" i="31"/>
  <c r="I578" i="31"/>
  <c r="K578" i="31"/>
  <c r="M578" i="31"/>
  <c r="O578" i="31"/>
  <c r="Q578" i="31"/>
  <c r="C579" i="31"/>
  <c r="E579" i="31"/>
  <c r="G579" i="31"/>
  <c r="I579" i="31"/>
  <c r="K579" i="31"/>
  <c r="M579" i="31"/>
  <c r="O579" i="31"/>
  <c r="Q579" i="31"/>
  <c r="C580" i="31"/>
  <c r="E580" i="31"/>
  <c r="G580" i="31"/>
  <c r="I580" i="31"/>
  <c r="K580" i="31"/>
  <c r="M580" i="31"/>
  <c r="O580" i="31"/>
  <c r="Q580" i="31"/>
  <c r="C581" i="31"/>
  <c r="E581" i="3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G587" i="31"/>
  <c r="I587" i="31"/>
  <c r="K587" i="31"/>
  <c r="M587" i="31"/>
  <c r="O587" i="31"/>
  <c r="Q587" i="31"/>
  <c r="C588"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C596"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C599" i="31"/>
  <c r="E599" i="31"/>
  <c r="G599" i="31"/>
  <c r="I599" i="31"/>
  <c r="K599" i="31"/>
  <c r="M599" i="31"/>
  <c r="O599" i="31"/>
  <c r="Q599" i="31"/>
  <c r="C600" i="31"/>
  <c r="E600" i="31"/>
  <c r="G600" i="31"/>
  <c r="I600" i="31"/>
  <c r="K600" i="31"/>
  <c r="M600" i="31"/>
  <c r="O600" i="31"/>
  <c r="Q600" i="31"/>
  <c r="C601" i="31"/>
  <c r="E601" i="31"/>
  <c r="G601" i="31"/>
  <c r="I601" i="31"/>
  <c r="K601" i="31"/>
  <c r="M601" i="31"/>
  <c r="O601" i="31"/>
  <c r="Q601" i="31"/>
  <c r="C602" i="31"/>
  <c r="E602" i="31"/>
  <c r="G602" i="31"/>
  <c r="I602" i="31"/>
  <c r="K602" i="31"/>
  <c r="M602" i="31"/>
  <c r="O602" i="31"/>
  <c r="Q602" i="31"/>
  <c r="C603" i="31"/>
  <c r="E603" i="31"/>
  <c r="G603" i="31"/>
  <c r="I603" i="31"/>
  <c r="K603" i="31"/>
  <c r="M603" i="31"/>
  <c r="O603" i="31"/>
  <c r="Q603" i="31"/>
  <c r="C604" i="31"/>
  <c r="E604" i="31"/>
  <c r="G604" i="31"/>
  <c r="I604" i="31"/>
  <c r="K604" i="31"/>
  <c r="M604" i="31"/>
  <c r="O604" i="31"/>
  <c r="Q604" i="31"/>
  <c r="C605" i="31"/>
  <c r="E605" i="31"/>
  <c r="G605" i="31"/>
  <c r="I605" i="31"/>
  <c r="K605" i="31"/>
  <c r="M605" i="31"/>
  <c r="O605" i="31"/>
  <c r="Q605" i="31"/>
  <c r="C606" i="31"/>
  <c r="E606" i="31"/>
  <c r="G606" i="31"/>
  <c r="I606" i="31"/>
  <c r="K606" i="31"/>
  <c r="M606" i="31"/>
  <c r="O606" i="31"/>
  <c r="Q606" i="31"/>
  <c r="C607"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G611" i="31"/>
  <c r="I611" i="31"/>
  <c r="K611" i="31"/>
  <c r="M611" i="31"/>
  <c r="O611" i="31"/>
  <c r="Q611" i="31"/>
  <c r="C612"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618" i="31"/>
  <c r="E618" i="31"/>
  <c r="G618" i="31"/>
  <c r="I618" i="31"/>
  <c r="K618" i="31"/>
  <c r="M618" i="31"/>
  <c r="O618" i="31"/>
  <c r="Q618" i="31"/>
  <c r="C619" i="31"/>
  <c r="E619" i="31"/>
  <c r="G619" i="31"/>
  <c r="I619" i="31"/>
  <c r="K619" i="31"/>
  <c r="M619" i="31"/>
  <c r="O619" i="31"/>
  <c r="Q619" i="31"/>
  <c r="C620" i="31"/>
  <c r="E620" i="31"/>
  <c r="G620" i="31"/>
  <c r="I620" i="31"/>
  <c r="K620" i="31"/>
  <c r="M620" i="31"/>
  <c r="O620" i="31"/>
  <c r="Q620" i="31"/>
  <c r="C621" i="31"/>
  <c r="E621" i="31"/>
  <c r="G621" i="31"/>
  <c r="I621" i="31"/>
  <c r="K621" i="31"/>
  <c r="M621" i="31"/>
  <c r="O621" i="31"/>
  <c r="Q621" i="31"/>
  <c r="C622"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C626" i="31"/>
  <c r="E626" i="31"/>
  <c r="G626" i="31"/>
  <c r="I626" i="31"/>
  <c r="K626" i="31"/>
  <c r="M626" i="31"/>
  <c r="O626" i="31"/>
  <c r="Q626" i="31"/>
  <c r="C627" i="31"/>
  <c r="E627" i="31"/>
  <c r="G627" i="31"/>
  <c r="I627" i="31"/>
  <c r="K627" i="31"/>
  <c r="M627" i="31"/>
  <c r="O627" i="31"/>
  <c r="Q627" i="31"/>
  <c r="C628"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G635" i="31"/>
  <c r="I635" i="31"/>
  <c r="K635" i="31"/>
  <c r="M635" i="31"/>
  <c r="O635" i="31"/>
  <c r="Q635" i="31"/>
  <c r="C636" i="31"/>
  <c r="E636" i="31"/>
  <c r="G636" i="31"/>
  <c r="I636" i="31"/>
  <c r="K636" i="31"/>
  <c r="M636" i="31"/>
  <c r="O636" i="31"/>
  <c r="Q636"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B2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A44" i="31"/>
  <c r="B44" i="31"/>
  <c r="A45" i="31"/>
  <c r="B45" i="31"/>
  <c r="B25" i="31"/>
  <c r="A25" i="31"/>
  <c r="A24" i="31"/>
  <c r="C33" i="21"/>
  <c r="G22" i="6"/>
  <c r="F20" i="6"/>
  <c r="O15" i="3"/>
  <c r="M15" i="3"/>
  <c r="I15" i="3"/>
  <c r="O21" i="81"/>
  <c r="N21" i="81"/>
  <c r="M21" i="81"/>
  <c r="L21" i="81"/>
  <c r="J21" i="81"/>
  <c r="I21" i="81"/>
  <c r="H21" i="81"/>
  <c r="K20" i="81"/>
  <c r="K19" i="81"/>
  <c r="K18" i="81"/>
  <c r="K21" i="81" s="1"/>
  <c r="I18" i="81"/>
  <c r="G18" i="81"/>
  <c r="G21" i="81" s="1"/>
  <c r="I8" i="81"/>
  <c r="I7" i="81"/>
  <c r="H7" i="81"/>
  <c r="G7" i="81"/>
  <c r="F7" i="81"/>
  <c r="J7" i="81" s="1"/>
  <c r="I6" i="81"/>
  <c r="H6" i="81"/>
  <c r="G6" i="81"/>
  <c r="F6" i="81"/>
  <c r="J6" i="81" s="1"/>
  <c r="I5" i="81"/>
  <c r="H5" i="81"/>
  <c r="H8" i="81" s="1"/>
  <c r="G5" i="81"/>
  <c r="G8" i="81" s="1"/>
  <c r="F5" i="81"/>
  <c r="J5" i="81" s="1"/>
  <c r="J8" i="81" s="1"/>
  <c r="F8" i="81" l="1"/>
  <c r="E525" i="3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Q532" i="31"/>
  <c r="E533" i="31"/>
  <c r="G533" i="31"/>
  <c r="I533" i="31"/>
  <c r="K533" i="31"/>
  <c r="M533" i="31"/>
  <c r="O533" i="31"/>
  <c r="Q533" i="31"/>
  <c r="E534" i="31"/>
  <c r="G534" i="31"/>
  <c r="I534" i="31"/>
  <c r="K534" i="31"/>
  <c r="M534" i="31"/>
  <c r="O534" i="31"/>
  <c r="Q534" i="31"/>
  <c r="E535" i="31"/>
  <c r="G535" i="31"/>
  <c r="I535" i="31"/>
  <c r="K535" i="31"/>
  <c r="M535" i="31"/>
  <c r="O535" i="31"/>
  <c r="Q535" i="31"/>
  <c r="E536" i="31"/>
  <c r="G536" i="31"/>
  <c r="I536" i="31"/>
  <c r="K536" i="31"/>
  <c r="M536" i="31"/>
  <c r="O536" i="31"/>
  <c r="Q536" i="31"/>
  <c r="E537" i="31"/>
  <c r="G537" i="31"/>
  <c r="I537" i="31"/>
  <c r="K537" i="31"/>
  <c r="M537" i="31"/>
  <c r="O537" i="31"/>
  <c r="Q537" i="31"/>
  <c r="E538" i="31"/>
  <c r="G538" i="31"/>
  <c r="I538" i="31"/>
  <c r="K538" i="31"/>
  <c r="M538" i="31"/>
  <c r="O538" i="31"/>
  <c r="Q538" i="31"/>
  <c r="E539" i="31"/>
  <c r="G539" i="31"/>
  <c r="I539" i="31"/>
  <c r="K539" i="31"/>
  <c r="M539" i="31"/>
  <c r="O539" i="31"/>
  <c r="Q539" i="31"/>
  <c r="E540" i="31"/>
  <c r="G540" i="31"/>
  <c r="I540" i="31"/>
  <c r="K540" i="31"/>
  <c r="M540" i="31"/>
  <c r="O540" i="31"/>
  <c r="Q540" i="31"/>
  <c r="E541" i="31"/>
  <c r="G541" i="31"/>
  <c r="I541" i="31"/>
  <c r="K541" i="31"/>
  <c r="M541" i="31"/>
  <c r="O541" i="31"/>
  <c r="Q541" i="31"/>
  <c r="E542" i="31"/>
  <c r="G542" i="31"/>
  <c r="I542" i="31"/>
  <c r="K542" i="31"/>
  <c r="M542" i="31"/>
  <c r="O542" i="31"/>
  <c r="Q542" i="31"/>
  <c r="E543" i="31"/>
  <c r="G543" i="31"/>
  <c r="I543" i="31"/>
  <c r="K543" i="31"/>
  <c r="M543" i="31"/>
  <c r="O543" i="31"/>
  <c r="Q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C525" i="31"/>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54" i="31"/>
  <c r="C555" i="31"/>
  <c r="C556" i="31"/>
  <c r="C557" i="31"/>
  <c r="C558" i="31"/>
  <c r="C559" i="31"/>
  <c r="C560" i="31"/>
  <c r="C561" i="31"/>
  <c r="C562" i="31"/>
  <c r="C563" i="31"/>
  <c r="C564" i="31"/>
  <c r="C565" i="31"/>
  <c r="C566" i="31"/>
  <c r="C567" i="31"/>
  <c r="C568" i="31"/>
  <c r="C569" i="31"/>
  <c r="C570" i="31"/>
  <c r="C571" i="31"/>
  <c r="C572" i="31"/>
  <c r="C573" i="31"/>
  <c r="C574" i="31"/>
  <c r="C575" i="31"/>
  <c r="C576" i="31"/>
  <c r="C577" i="31"/>
  <c r="A46" i="31" l="1"/>
  <c r="B46" i="31"/>
  <c r="T24" i="31" l="1"/>
  <c r="AM9" i="1" l="1"/>
  <c r="E92" i="35"/>
  <c r="F92" i="35"/>
  <c r="E46" i="39"/>
  <c r="E38" i="39"/>
  <c r="E7" i="39"/>
  <c r="E5" i="39"/>
  <c r="D104" i="21" l="1"/>
  <c r="E104" i="21" s="1"/>
  <c r="F104" i="21" s="1"/>
  <c r="G104" i="21" s="1"/>
  <c r="K78" i="83" l="1"/>
  <c r="K77" i="83"/>
  <c r="K76" i="83"/>
  <c r="M78" i="83"/>
  <c r="M77" i="83"/>
  <c r="C88" i="83" l="1"/>
  <c r="I91" i="83"/>
  <c r="K79" i="83"/>
  <c r="K79" i="9"/>
  <c r="AM8" i="1" l="1"/>
  <c r="AK8" i="1"/>
  <c r="AC22" i="1" l="1"/>
  <c r="AC21" i="1"/>
  <c r="AB21" i="1"/>
  <c r="X23" i="1"/>
  <c r="D4" i="31"/>
  <c r="E4" i="31"/>
  <c r="F4" i="31"/>
  <c r="G4" i="31"/>
  <c r="C4" i="31"/>
  <c r="E91" i="21"/>
  <c r="D91" i="21"/>
  <c r="D18" i="31"/>
  <c r="C18" i="31"/>
  <c r="F117" i="39"/>
  <c r="G117" i="39"/>
  <c r="E117" i="39"/>
  <c r="K23" i="21"/>
  <c r="K21" i="21"/>
  <c r="K17" i="21"/>
  <c r="Q10" i="1"/>
  <c r="N10" i="1"/>
  <c r="L10" i="1"/>
  <c r="J10" i="1"/>
  <c r="I10" i="1"/>
  <c r="H10" i="1"/>
  <c r="G41" i="89"/>
  <c r="F38" i="89"/>
  <c r="E37" i="89"/>
  <c r="F36" i="89"/>
  <c r="F35" i="89"/>
  <c r="F30" i="89"/>
  <c r="F48" i="89"/>
  <c r="G22" i="89"/>
  <c r="F21" i="89"/>
  <c r="F40" i="89" s="1"/>
  <c r="F20" i="89"/>
  <c r="F39" i="89" s="1"/>
  <c r="E19" i="89"/>
  <c r="E10" i="89"/>
  <c r="E9" i="89"/>
  <c r="F7" i="89"/>
  <c r="H1" i="89"/>
  <c r="F38" i="39"/>
  <c r="E18" i="31"/>
  <c r="N70" i="39"/>
  <c r="O70" i="39"/>
  <c r="R46" i="39"/>
  <c r="AH9" i="1"/>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F20" i="82"/>
  <c r="F39" i="82" s="1"/>
  <c r="E19" i="82"/>
  <c r="C19" i="82"/>
  <c r="E10" i="82"/>
  <c r="E9" i="82"/>
  <c r="F7" i="82"/>
  <c r="G1" i="82"/>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E22" i="6"/>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s="1"/>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98" i="39"/>
  <c r="F98" i="39"/>
  <c r="G98" i="39"/>
  <c r="D98" i="39"/>
  <c r="G96" i="39"/>
  <c r="F96" i="39"/>
  <c r="E96" i="39"/>
  <c r="D96" i="39"/>
  <c r="D94" i="39"/>
  <c r="E94" i="39" s="1"/>
  <c r="G92" i="39"/>
  <c r="F92" i="39"/>
  <c r="E92" i="39"/>
  <c r="D92" i="39"/>
  <c r="D90" i="39"/>
  <c r="E90" i="39" s="1"/>
  <c r="D88" i="39"/>
  <c r="E88" i="39" s="1"/>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B52" i="1"/>
  <c r="B43" i="1"/>
  <c r="B41" i="1"/>
  <c r="B31" i="1"/>
  <c r="V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C15" i="3"/>
  <c r="H15" i="3"/>
  <c r="G15" i="3" s="1"/>
  <c r="BT14" i="3"/>
  <c r="BS14" i="3"/>
  <c r="BR14" i="3"/>
  <c r="BQ14" i="3"/>
  <c r="BP14" i="3"/>
  <c r="BO14" i="3"/>
  <c r="BN14" i="3"/>
  <c r="BM14" i="3"/>
  <c r="BL14" i="3" s="1"/>
  <c r="BK14" i="3"/>
  <c r="BJ14" i="3"/>
  <c r="BJ5" i="3" s="1"/>
  <c r="BI14" i="3"/>
  <c r="BH14" i="3"/>
  <c r="BG14" i="3"/>
  <c r="BF14" i="3"/>
  <c r="BE14" i="3"/>
  <c r="BD14" i="3"/>
  <c r="BC14" i="3"/>
  <c r="AX14" i="3"/>
  <c r="AW14" i="3"/>
  <c r="AV14" i="3"/>
  <c r="AC14" i="3"/>
  <c r="H14" i="3"/>
  <c r="BT13" i="3"/>
  <c r="BT5" i="3"/>
  <c r="BS13" i="3"/>
  <c r="BR13" i="3"/>
  <c r="BQ13" i="3"/>
  <c r="BP13" i="3"/>
  <c r="BP5" i="3" s="1"/>
  <c r="BO13" i="3"/>
  <c r="BN13" i="3"/>
  <c r="BM13" i="3"/>
  <c r="BL13" i="3" s="1"/>
  <c r="BK13" i="3"/>
  <c r="BJ13" i="3"/>
  <c r="BI13" i="3"/>
  <c r="BH13" i="3"/>
  <c r="BH5" i="3" s="1"/>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s="1"/>
  <c r="BN5" i="3"/>
  <c r="G29"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K5" i="4" s="1"/>
  <c r="B47" i="48" s="1"/>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s="1"/>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U44" i="21"/>
  <c r="S44" i="21"/>
  <c r="W44" i="21"/>
  <c r="G1" i="89"/>
  <c r="S33" i="21"/>
  <c r="U26" i="21"/>
  <c r="S26" i="21"/>
  <c r="W26" i="21"/>
  <c r="U27" i="21"/>
  <c r="S27" i="21"/>
  <c r="W27" i="21"/>
  <c r="U25" i="21"/>
  <c r="S25" i="21"/>
  <c r="W25" i="21"/>
  <c r="U21" i="21"/>
  <c r="S21" i="21"/>
  <c r="W21" i="21"/>
  <c r="F3" i="35"/>
  <c r="P74" i="79"/>
  <c r="P74" i="67"/>
  <c r="G17" i="43"/>
  <c r="C16" i="43"/>
  <c r="C5" i="43" s="1"/>
  <c r="BO5" i="3"/>
  <c r="BQ5" i="3"/>
  <c r="BS5" i="3"/>
  <c r="F28" i="6" s="1"/>
  <c r="F30" i="6" s="1"/>
  <c r="C18" i="9"/>
  <c r="D18" i="9"/>
  <c r="S31" i="35"/>
  <c r="AC31" i="35"/>
  <c r="U42" i="21"/>
  <c r="U31" i="39"/>
  <c r="S31" i="39"/>
  <c r="W31" i="39"/>
  <c r="F66" i="35"/>
  <c r="G66" i="35"/>
  <c r="F101" i="21"/>
  <c r="G101" i="21"/>
  <c r="H101" i="21"/>
  <c r="I101" i="21"/>
  <c r="J101" i="21"/>
  <c r="K101" i="21"/>
  <c r="L101" i="21"/>
  <c r="M101" i="21"/>
  <c r="J32" i="21"/>
  <c r="F32" i="21"/>
  <c r="H32" i="21"/>
  <c r="J15" i="21"/>
  <c r="F15" i="21"/>
  <c r="F77" i="21"/>
  <c r="G77" i="21"/>
  <c r="H15" i="21"/>
  <c r="O10" i="1"/>
  <c r="P10" i="1" s="1"/>
  <c r="BG5" i="3"/>
  <c r="BI5" i="3"/>
  <c r="BK5" i="3"/>
  <c r="BM5" i="3"/>
  <c r="F29" i="6"/>
  <c r="O13" i="1"/>
  <c r="P13" i="1" s="1"/>
  <c r="O11" i="1"/>
  <c r="P11" i="1" s="1"/>
  <c r="P12" i="1"/>
  <c r="J23" i="21"/>
  <c r="E85" i="21"/>
  <c r="H23" i="21"/>
  <c r="E70" i="35"/>
  <c r="H20" i="35"/>
  <c r="AB20" i="35" s="1"/>
  <c r="J20" i="35"/>
  <c r="U25" i="39"/>
  <c r="S25" i="39"/>
  <c r="W25" i="39"/>
  <c r="L9" i="1"/>
  <c r="N8" i="1"/>
  <c r="N9" i="1" s="1"/>
  <c r="H16" i="35"/>
  <c r="AB16" i="35" s="1"/>
  <c r="F16" i="35"/>
  <c r="AA16" i="35" s="1"/>
  <c r="J16" i="35"/>
  <c r="W16" i="35" s="1"/>
  <c r="AB32" i="21"/>
  <c r="U32" i="21"/>
  <c r="AC32" i="21"/>
  <c r="W32" i="21"/>
  <c r="AA32" i="21"/>
  <c r="S32" i="21"/>
  <c r="AB15" i="21"/>
  <c r="U15" i="21"/>
  <c r="AA15" i="21"/>
  <c r="S15" i="21"/>
  <c r="AC15" i="21"/>
  <c r="W15" i="21"/>
  <c r="O8" i="1"/>
  <c r="P8" i="1" s="1"/>
  <c r="AC20" i="35"/>
  <c r="W20" i="35"/>
  <c r="F70" i="35"/>
  <c r="G70" i="35"/>
  <c r="F20" i="35"/>
  <c r="AA20" i="35" s="1"/>
  <c r="F85" i="21"/>
  <c r="G85" i="21"/>
  <c r="F23" i="21"/>
  <c r="AB23" i="21"/>
  <c r="U23" i="21"/>
  <c r="AC23" i="21"/>
  <c r="W23" i="21"/>
  <c r="O9" i="1"/>
  <c r="P9" i="1" s="1"/>
  <c r="O7" i="1"/>
  <c r="P7" i="1" s="1"/>
  <c r="O6" i="1"/>
  <c r="P6" i="1" s="1"/>
  <c r="F22" i="89"/>
  <c r="AA23" i="21"/>
  <c r="S23" i="21"/>
  <c r="F41" i="89"/>
  <c r="C26" i="89"/>
  <c r="D22" i="89" s="1"/>
  <c r="F22" i="87"/>
  <c r="F24" i="88"/>
  <c r="F22" i="11"/>
  <c r="F22" i="82"/>
  <c r="M18" i="9"/>
  <c r="B118" i="9" s="1"/>
  <c r="D3" i="21"/>
  <c r="O14" i="1"/>
  <c r="F22" i="68"/>
  <c r="F25" i="12"/>
  <c r="F24" i="67"/>
  <c r="C24" i="67"/>
  <c r="F22" i="69"/>
  <c r="F24" i="79"/>
  <c r="C24" i="79"/>
  <c r="F41" i="87"/>
  <c r="C24" i="88"/>
  <c r="F41" i="82"/>
  <c r="F41" i="68"/>
  <c r="P14" i="1"/>
  <c r="C26" i="69"/>
  <c r="D22" i="69" s="1"/>
  <c r="F41" i="69"/>
  <c r="C19" i="89"/>
  <c r="C24" i="89"/>
  <c r="C19" i="69"/>
  <c r="C24" i="69"/>
  <c r="F27" i="89"/>
  <c r="E2" i="89"/>
  <c r="M9" i="88"/>
  <c r="J15" i="67"/>
  <c r="E2" i="68"/>
  <c r="M8" i="88"/>
  <c r="F38" i="67"/>
  <c r="D9" i="69"/>
  <c r="F36" i="67"/>
  <c r="F26" i="79"/>
  <c r="AO10" i="1"/>
  <c r="M28" i="67"/>
  <c r="M24" i="88"/>
  <c r="F16" i="79"/>
  <c r="F20" i="31"/>
  <c r="C76" i="79"/>
  <c r="F6" i="88"/>
  <c r="F8" i="88"/>
  <c r="C36" i="69"/>
  <c r="B11" i="76"/>
  <c r="B10" i="76"/>
  <c r="M26" i="88"/>
  <c r="F9" i="88"/>
  <c r="F16" i="67"/>
  <c r="M26" i="79"/>
  <c r="M28" i="88"/>
  <c r="C36" i="82"/>
  <c r="E13" i="76"/>
  <c r="J15" i="88"/>
  <c r="F13" i="88"/>
  <c r="M27" i="67"/>
  <c r="E12" i="76"/>
  <c r="F37" i="79"/>
  <c r="M23" i="67"/>
  <c r="F37" i="88"/>
  <c r="D9" i="87"/>
  <c r="F42" i="88"/>
  <c r="M23" i="79"/>
  <c r="M22" i="67"/>
  <c r="F37" i="67"/>
  <c r="C36" i="87"/>
  <c r="F9" i="79"/>
  <c r="L47" i="88"/>
  <c r="M6" i="88"/>
  <c r="F36" i="79"/>
  <c r="F6" i="67"/>
  <c r="M9" i="79"/>
  <c r="F8" i="79"/>
  <c r="E11" i="76"/>
  <c r="D2" i="36"/>
  <c r="L47" i="67"/>
  <c r="E2" i="82"/>
  <c r="F36" i="88"/>
  <c r="M9" i="67"/>
  <c r="E2" i="69"/>
  <c r="M8" i="67"/>
  <c r="F42" i="67"/>
  <c r="AO11" i="1"/>
  <c r="F16" i="88"/>
  <c r="J15" i="79"/>
  <c r="B8" i="76"/>
  <c r="F7" i="88"/>
  <c r="F6" i="79"/>
  <c r="B13" i="76"/>
  <c r="D2" i="35"/>
  <c r="F26" i="67"/>
  <c r="F8" i="67"/>
  <c r="F40" i="67"/>
  <c r="F38" i="88"/>
  <c r="C76" i="67"/>
  <c r="M24" i="67"/>
  <c r="M26" i="67"/>
  <c r="E8" i="76"/>
  <c r="M23" i="88"/>
  <c r="M8" i="79"/>
  <c r="AO6" i="1"/>
  <c r="D2" i="21"/>
  <c r="E7" i="76"/>
  <c r="M27" i="79"/>
  <c r="F26" i="88"/>
  <c r="F9" i="67"/>
  <c r="D2" i="33"/>
  <c r="B9" i="76"/>
  <c r="B7" i="76"/>
  <c r="F13" i="67"/>
  <c r="M6" i="79"/>
  <c r="C76" i="88"/>
  <c r="E9" i="76"/>
  <c r="M6" i="67"/>
  <c r="M22" i="88"/>
  <c r="M28" i="79"/>
  <c r="F40" i="79"/>
  <c r="F13" i="79"/>
  <c r="F40" i="88"/>
  <c r="F42" i="79"/>
  <c r="D9" i="82"/>
  <c r="L47" i="79"/>
  <c r="D2" i="37"/>
  <c r="M27" i="88"/>
  <c r="AO13" i="1"/>
  <c r="E2" i="87"/>
  <c r="E10" i="76"/>
  <c r="M24" i="79"/>
  <c r="F38" i="79"/>
  <c r="AO12" i="1"/>
  <c r="F27" i="87"/>
  <c r="M22" i="79"/>
  <c r="B12" i="76"/>
  <c r="F27" i="69"/>
  <c r="F27" i="82"/>
  <c r="D2" i="34"/>
  <c r="AC16" i="35" l="1"/>
  <c r="J27" i="39"/>
  <c r="AC27" i="39" s="1"/>
  <c r="AC18" i="35"/>
  <c r="S18" i="35"/>
  <c r="E100" i="39"/>
  <c r="H15" i="39"/>
  <c r="F88" i="39"/>
  <c r="G88" i="39" s="1"/>
  <c r="J15" i="39"/>
  <c r="F15" i="39"/>
  <c r="W33" i="21"/>
  <c r="D5" i="43"/>
  <c r="BL5" i="3"/>
  <c r="BF5" i="3"/>
  <c r="G30" i="6"/>
  <c r="E29" i="6"/>
  <c r="K15" i="1" s="1"/>
  <c r="E28" i="6"/>
  <c r="J41" i="39"/>
  <c r="G123" i="39"/>
  <c r="H123" i="39" s="1"/>
  <c r="I123" i="39" s="1"/>
  <c r="J123" i="39" s="1"/>
  <c r="K123" i="39" s="1"/>
  <c r="L123" i="39" s="1"/>
  <c r="M123" i="39" s="1"/>
  <c r="U41" i="39"/>
  <c r="S41" i="39"/>
  <c r="U18" i="35"/>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U16" i="35"/>
  <c r="S20" i="35"/>
  <c r="S16"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BA14" i="3"/>
  <c r="BD5" i="3"/>
  <c r="K78" i="86"/>
  <c r="K78" i="85"/>
  <c r="G27" i="6"/>
  <c r="G31" i="6" s="1"/>
  <c r="M18" i="86"/>
  <c r="B118" i="86" s="1"/>
  <c r="K9" i="1"/>
  <c r="P16" i="1"/>
  <c r="C11" i="12" s="1"/>
  <c r="C12" i="12" s="1"/>
  <c r="M18" i="85"/>
  <c r="B118" i="85" s="1"/>
  <c r="E7" i="12"/>
  <c r="K8" i="1"/>
  <c r="K77" i="85"/>
  <c r="K77" i="86"/>
  <c r="G14" i="3"/>
  <c r="F40" i="68"/>
  <c r="F40" i="69"/>
  <c r="C21" i="89"/>
  <c r="C40" i="11"/>
  <c r="F40" i="82"/>
  <c r="C40" i="87"/>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47" i="87"/>
  <c r="D45" i="87" s="1"/>
  <c r="Q71" i="88"/>
  <c r="F68" i="88"/>
  <c r="F51" i="88"/>
  <c r="F66" i="79"/>
  <c r="F65" i="79"/>
  <c r="F64" i="79"/>
  <c r="C27" i="79"/>
  <c r="F51" i="79"/>
  <c r="C9" i="82"/>
  <c r="C47" i="82"/>
  <c r="D45" i="82" s="1"/>
  <c r="F45" i="82"/>
  <c r="B11" i="49"/>
  <c r="D9" i="89"/>
  <c r="F43" i="67"/>
  <c r="F43" i="79"/>
  <c r="F43" i="88"/>
  <c r="M29" i="67"/>
  <c r="M29" i="88"/>
  <c r="L48" i="79"/>
  <c r="C36" i="89"/>
  <c r="F7" i="79"/>
  <c r="M29" i="79"/>
  <c r="F7" i="67"/>
  <c r="L48" i="67"/>
  <c r="L48" i="88"/>
  <c r="W27" i="39" l="1"/>
  <c r="F27" i="39"/>
  <c r="H27" i="39"/>
  <c r="F100" i="39"/>
  <c r="G100" i="39" s="1"/>
  <c r="AA15" i="39"/>
  <c r="S15" i="39"/>
  <c r="W15" i="39"/>
  <c r="AC15" i="39"/>
  <c r="U15" i="39"/>
  <c r="AB15" i="39"/>
  <c r="F101" i="43"/>
  <c r="D101" i="43"/>
  <c r="AG11" i="43"/>
  <c r="AG13" i="43" s="1"/>
  <c r="J22" i="43"/>
  <c r="AH11" i="43"/>
  <c r="AH13" i="43" s="1"/>
  <c r="AF11" i="43"/>
  <c r="AF13" i="43" s="1"/>
  <c r="K101" i="43"/>
  <c r="N101" i="43"/>
  <c r="AC11" i="43"/>
  <c r="AC13" i="43" s="1"/>
  <c r="AD11" i="43"/>
  <c r="AD13" i="43" s="1"/>
  <c r="L101" i="43"/>
  <c r="AJ11" i="43"/>
  <c r="AJ13" i="43" s="1"/>
  <c r="AA11" i="43"/>
  <c r="AA13" i="43" s="1"/>
  <c r="Z7" i="43"/>
  <c r="E101" i="43"/>
  <c r="Y11" i="43"/>
  <c r="Y13" i="43" s="1"/>
  <c r="Z11" i="43"/>
  <c r="Z13" i="43" s="1"/>
  <c r="M101" i="43"/>
  <c r="M102" i="43" s="1"/>
  <c r="C101" i="43"/>
  <c r="C106" i="43" s="1"/>
  <c r="N104" i="46"/>
  <c r="E22" i="43"/>
  <c r="G22" i="43"/>
  <c r="B113" i="43"/>
  <c r="G101" i="43"/>
  <c r="G107" i="43" s="1"/>
  <c r="AI11" i="43"/>
  <c r="AI13" i="43" s="1"/>
  <c r="J101" i="43"/>
  <c r="J106" i="43" s="1"/>
  <c r="E30" i="6"/>
  <c r="K14" i="1"/>
  <c r="M14" i="1" s="1"/>
  <c r="C9" i="89"/>
  <c r="AP10" i="1"/>
  <c r="AC41" i="39"/>
  <c r="W41" i="39"/>
  <c r="AB21" i="39"/>
  <c r="U21" i="39"/>
  <c r="W17" i="21"/>
  <c r="AC17" i="21"/>
  <c r="W21" i="39"/>
  <c r="AC21" i="39"/>
  <c r="AB17" i="21"/>
  <c r="U17" i="21"/>
  <c r="AA21" i="39"/>
  <c r="S21" i="39"/>
  <c r="AA17" i="21"/>
  <c r="S17" i="21"/>
  <c r="W17" i="39"/>
  <c r="AC17" i="39"/>
  <c r="AA17" i="39"/>
  <c r="H101" i="43"/>
  <c r="H104" i="43" s="1"/>
  <c r="H22" i="43"/>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4" i="43"/>
  <c r="M107" i="43"/>
  <c r="U14" i="35"/>
  <c r="AB14" i="35"/>
  <c r="AC14" i="35"/>
  <c r="W14" i="35"/>
  <c r="AA14" i="35"/>
  <c r="S14" i="35"/>
  <c r="E19" i="6"/>
  <c r="C7" i="12" s="1"/>
  <c r="I104" i="43"/>
  <c r="K76" i="85"/>
  <c r="C88" i="85" s="1"/>
  <c r="C89" i="85" s="1"/>
  <c r="C87" i="85" s="1"/>
  <c r="C103" i="43"/>
  <c r="C104" i="43"/>
  <c r="C105" i="43"/>
  <c r="E14" i="6"/>
  <c r="E63" i="39" s="1"/>
  <c r="I105" i="43"/>
  <c r="C88" i="86"/>
  <c r="C89" i="86" s="1"/>
  <c r="C87" i="86" s="1"/>
  <c r="C107" i="43"/>
  <c r="C102" i="43"/>
  <c r="I106" i="43"/>
  <c r="E12" i="6"/>
  <c r="E57" i="40"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D22" i="43"/>
  <c r="M9" i="1"/>
  <c r="E15" i="6"/>
  <c r="E10" i="6"/>
  <c r="F71" i="67"/>
  <c r="M7" i="67"/>
  <c r="J6" i="67" s="1"/>
  <c r="C6" i="67"/>
  <c r="F50" i="67"/>
  <c r="C49" i="67" s="1"/>
  <c r="M8" i="1"/>
  <c r="E58" i="40"/>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AB19" i="21"/>
  <c r="U19" i="21"/>
  <c r="AC19" i="21"/>
  <c r="W19" i="21"/>
  <c r="AA19" i="21"/>
  <c r="S19" i="21"/>
  <c r="C49" i="88"/>
  <c r="D4" i="49"/>
  <c r="C4" i="4"/>
  <c r="B4" i="62" s="1"/>
  <c r="B71" i="72" s="1"/>
  <c r="D11" i="49"/>
  <c r="E4" i="4"/>
  <c r="C32" i="88"/>
  <c r="D9" i="68"/>
  <c r="F3" i="73"/>
  <c r="D7" i="73"/>
  <c r="C16" i="79"/>
  <c r="D5" i="73"/>
  <c r="F5" i="73"/>
  <c r="C16" i="88"/>
  <c r="F4" i="73"/>
  <c r="D4" i="73"/>
  <c r="D6" i="73"/>
  <c r="C16" i="67"/>
  <c r="F6" i="73"/>
  <c r="F7" i="73"/>
  <c r="D3" i="73"/>
  <c r="C32" i="79" l="1"/>
  <c r="AB27" i="39"/>
  <c r="U27" i="39"/>
  <c r="AA27" i="39"/>
  <c r="S27" i="39"/>
  <c r="E32" i="6"/>
  <c r="L23" i="6" s="1"/>
  <c r="K6" i="1"/>
  <c r="H16" i="1" s="1"/>
  <c r="G109" i="43"/>
  <c r="G106" i="43"/>
  <c r="M106" i="43"/>
  <c r="M109" i="43"/>
  <c r="E27" i="6"/>
  <c r="K19" i="6" s="1"/>
  <c r="G104" i="43"/>
  <c r="G102" i="43"/>
  <c r="G105" i="43"/>
  <c r="G103" i="43"/>
  <c r="M103" i="43"/>
  <c r="I109" i="43"/>
  <c r="H109" i="43"/>
  <c r="H106" i="43"/>
  <c r="H103" i="43"/>
  <c r="E61" i="39"/>
  <c r="H107" i="43"/>
  <c r="E56" i="39"/>
  <c r="H105"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13" i="12"/>
  <c r="N59" i="67"/>
  <c r="I54" i="67"/>
  <c r="L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J53" i="79"/>
  <c r="I54" i="79"/>
  <c r="N59" i="79"/>
  <c r="J57" i="79"/>
  <c r="J55" i="79" s="1"/>
  <c r="J58" i="79" s="1"/>
  <c r="Q50" i="79" s="1"/>
  <c r="P22" i="43"/>
  <c r="P23" i="43"/>
  <c r="B70" i="39" s="1"/>
  <c r="P25" i="43"/>
  <c r="O19" i="43"/>
  <c r="C19" i="43" s="1"/>
  <c r="M20" i="43"/>
  <c r="P24" i="43"/>
  <c r="B66" i="40" s="1"/>
  <c r="P21" i="43"/>
  <c r="C65" i="40"/>
  <c r="D63" i="40"/>
  <c r="J57" i="88"/>
  <c r="J55" i="88" s="1"/>
  <c r="J58" i="88" s="1"/>
  <c r="Q50" i="88" s="1"/>
  <c r="J53" i="88"/>
  <c r="L59" i="88"/>
  <c r="N59" i="88"/>
  <c r="I54" i="88"/>
  <c r="D46" i="36"/>
  <c r="E46" i="36" s="1"/>
  <c r="F46" i="36" s="1"/>
  <c r="G46" i="36" s="1"/>
  <c r="H46" i="36" s="1"/>
  <c r="I46" i="36" s="1"/>
  <c r="J46" i="36" s="1"/>
  <c r="K46" i="36" s="1"/>
  <c r="L46" i="36" s="1"/>
  <c r="M46" i="36" s="1"/>
  <c r="N46" i="36" s="1"/>
  <c r="O46" i="36" s="1"/>
  <c r="L60" i="79"/>
  <c r="C7" i="74"/>
  <c r="AZ5" i="3"/>
  <c r="E64" i="39"/>
  <c r="E60" i="40"/>
  <c r="C115" i="43"/>
  <c r="D113" i="43" s="1"/>
  <c r="E65" i="39"/>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15" i="3"/>
  <c r="AV15" i="3" s="1"/>
  <c r="AN6" i="3"/>
  <c r="AD6" i="3"/>
  <c r="T6" i="3"/>
  <c r="E75" i="3"/>
  <c r="E66" i="3"/>
  <c r="E57" i="3"/>
  <c r="E46" i="3"/>
  <c r="E39" i="3"/>
  <c r="E32" i="3"/>
  <c r="E25" i="3"/>
  <c r="E18" i="3"/>
  <c r="AO6" i="3"/>
  <c r="AG6" i="3"/>
  <c r="W6" i="3"/>
  <c r="O6" i="3"/>
  <c r="S6" i="1"/>
  <c r="G16" i="1"/>
  <c r="M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47" i="68"/>
  <c r="D45" i="68" s="1"/>
  <c r="F45" i="68"/>
  <c r="S7" i="37"/>
  <c r="AA7" i="37"/>
  <c r="R42" i="37" s="1"/>
  <c r="AC7" i="36"/>
  <c r="V36" i="36" s="1"/>
  <c r="I36" i="36" s="1"/>
  <c r="W7" i="36"/>
  <c r="F7" i="33"/>
  <c r="H7" i="35"/>
  <c r="Q57" i="67"/>
  <c r="Q66" i="67"/>
  <c r="J7" i="34"/>
  <c r="J7" i="21"/>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F27" i="11"/>
  <c r="M16" i="1"/>
  <c r="AR6" i="1"/>
  <c r="AQ6" i="1"/>
  <c r="T6" i="1"/>
  <c r="S7" i="1"/>
  <c r="M20" i="6"/>
  <c r="I20" i="6" s="1"/>
  <c r="J10" i="40"/>
  <c r="J10" i="39"/>
  <c r="F10" i="40"/>
  <c r="F10" i="39"/>
  <c r="H10" i="40"/>
  <c r="H10" i="39"/>
  <c r="S26" i="6"/>
  <c r="S24" i="6"/>
  <c r="M19" i="6"/>
  <c r="S25" i="6"/>
  <c r="M21" i="6"/>
  <c r="I21" i="6" s="1"/>
  <c r="S8" i="1"/>
  <c r="K27" i="6"/>
  <c r="H6" i="3"/>
  <c r="E6" i="3" s="1"/>
  <c r="C17" i="79"/>
  <c r="C34" i="69"/>
  <c r="AE9" i="1"/>
  <c r="C14" i="67"/>
  <c r="C17" i="67"/>
  <c r="D10" i="89"/>
  <c r="C34" i="89"/>
  <c r="D10" i="87"/>
  <c r="AE7" i="1"/>
  <c r="AE8" i="1"/>
  <c r="C17" i="88"/>
  <c r="D10" i="82"/>
  <c r="D10" i="69"/>
  <c r="U7" i="37" l="1"/>
  <c r="C18" i="4"/>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E6" i="6"/>
  <c r="D10" i="68" s="1"/>
  <c r="D3" i="34"/>
  <c r="D23" i="6"/>
  <c r="M19" i="9" s="1"/>
  <c r="C118" i="9" s="1"/>
  <c r="D15" i="6"/>
  <c r="D14" i="6"/>
  <c r="D13" i="6"/>
  <c r="D20" i="6"/>
  <c r="M19" i="83" s="1"/>
  <c r="C118" i="83" s="1"/>
  <c r="C17" i="4"/>
  <c r="D21" i="6"/>
  <c r="M19" i="85" s="1"/>
  <c r="C118" i="85" s="1"/>
  <c r="D9" i="6"/>
  <c r="D10" i="6"/>
  <c r="D5" i="6"/>
  <c r="D11" i="6"/>
  <c r="D19" i="6"/>
  <c r="D3" i="37"/>
  <c r="D25" i="6"/>
  <c r="R25" i="6" s="1"/>
  <c r="D28" i="6"/>
  <c r="D19" i="11"/>
  <c r="C19" i="11" s="1"/>
  <c r="D22" i="6"/>
  <c r="M19" i="86" s="1"/>
  <c r="C118" i="86" s="1"/>
  <c r="D14" i="12"/>
  <c r="D12" i="6"/>
  <c r="D26" i="6"/>
  <c r="R26" i="6" s="1"/>
  <c r="D8" i="6"/>
  <c r="D24" i="6"/>
  <c r="R24" i="6" s="1"/>
  <c r="D3" i="33"/>
  <c r="D29" i="6"/>
  <c r="C35" i="69"/>
  <c r="C38" i="69"/>
  <c r="D19" i="69"/>
  <c r="D37" i="69" s="1"/>
  <c r="C37" i="69" s="1"/>
  <c r="C10" i="69"/>
  <c r="C8" i="69" s="1"/>
  <c r="C15" i="67"/>
  <c r="C18" i="67"/>
  <c r="C10" i="82"/>
  <c r="C8" i="82" s="1"/>
  <c r="D19" i="82"/>
  <c r="D37" i="82" s="1"/>
  <c r="C10" i="87"/>
  <c r="D19" i="87"/>
  <c r="D37" i="87" s="1"/>
  <c r="D19" i="89"/>
  <c r="D37" i="89" s="1"/>
  <c r="C37" i="89" s="1"/>
  <c r="C10" i="89"/>
  <c r="C8" i="89" s="1"/>
  <c r="C38" i="89"/>
  <c r="C35" i="89"/>
  <c r="U10" i="39"/>
  <c r="AB10" i="39"/>
  <c r="T8" i="1"/>
  <c r="AQ8" i="1"/>
  <c r="E8" i="70"/>
  <c r="AR8" i="1"/>
  <c r="I19" i="6"/>
  <c r="M27" i="6"/>
  <c r="AA10" i="40"/>
  <c r="S10" i="40"/>
  <c r="H20" i="6"/>
  <c r="L18" i="83"/>
  <c r="S20" i="6"/>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29" i="11" s="1"/>
  <c r="D27" i="11" s="1"/>
  <c r="L16" i="1"/>
  <c r="AQ10" i="1"/>
  <c r="AR10" i="1"/>
  <c r="T10" i="1"/>
  <c r="C14" i="79"/>
  <c r="C14" i="88"/>
  <c r="F41" i="88"/>
  <c r="F41" i="79"/>
  <c r="F41" i="67"/>
  <c r="C24" i="82" l="1"/>
  <c r="C24" i="87"/>
  <c r="B23" i="1"/>
  <c r="C24" i="68"/>
  <c r="B24" i="1"/>
  <c r="C44" i="68"/>
  <c r="D41" i="68" s="1"/>
  <c r="C44" i="82"/>
  <c r="D41" i="82" s="1"/>
  <c r="C29" i="82"/>
  <c r="D27" i="82" s="1"/>
  <c r="C29" i="87"/>
  <c r="D27" i="87" s="1"/>
  <c r="C44" i="87"/>
  <c r="D41" i="87" s="1"/>
  <c r="C44" i="11"/>
  <c r="D41" i="11" s="1"/>
  <c r="C29" i="68"/>
  <c r="D27" i="68" s="1"/>
  <c r="D16" i="6"/>
  <c r="R49" i="21"/>
  <c r="C48" i="21" s="1"/>
  <c r="F69" i="79"/>
  <c r="F69" i="67"/>
  <c r="F69" i="88"/>
  <c r="J29" i="67"/>
  <c r="J29" i="88"/>
  <c r="J29" i="79"/>
  <c r="C10" i="68"/>
  <c r="B29" i="1" s="1"/>
  <c r="C8" i="68" s="1"/>
  <c r="D19" i="68"/>
  <c r="D37"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B4" i="52"/>
  <c r="B43" i="72" s="1"/>
  <c r="A10" i="51"/>
  <c r="B9" i="72" s="1"/>
  <c r="A7" i="51"/>
  <c r="B7" i="72" s="1"/>
  <c r="D10" i="11"/>
  <c r="C10" i="11" s="1"/>
  <c r="D6" i="6"/>
  <c r="D20" i="12"/>
  <c r="C20" i="12" s="1"/>
  <c r="C33" i="89"/>
  <c r="C42" i="89" s="1"/>
  <c r="C15" i="88"/>
  <c r="C18" i="88"/>
  <c r="C15" i="79"/>
  <c r="C18" i="79"/>
  <c r="L19" i="85"/>
  <c r="R21" i="6"/>
  <c r="R8" i="1" s="1"/>
  <c r="R22" i="6"/>
  <c r="R9" i="1" s="1"/>
  <c r="L19" i="86"/>
  <c r="R20" i="6"/>
  <c r="R7" i="1" s="1"/>
  <c r="L19" i="83"/>
  <c r="H19" i="6"/>
  <c r="I27" i="6"/>
  <c r="S19" i="6"/>
  <c r="S27" i="6" s="1"/>
  <c r="R23" i="6"/>
  <c r="R10" i="1" s="1"/>
  <c r="L19" i="9"/>
  <c r="F50" i="11"/>
  <c r="F50" i="89"/>
  <c r="F50" i="87"/>
  <c r="F50" i="82"/>
  <c r="F50" i="68"/>
  <c r="F50" i="69"/>
  <c r="B6" i="76"/>
  <c r="M21" i="88"/>
  <c r="F35" i="67"/>
  <c r="F35" i="79"/>
  <c r="M21" i="79"/>
  <c r="M21" i="67"/>
  <c r="F35" i="88"/>
  <c r="F34" i="87"/>
  <c r="E6" i="76"/>
  <c r="F34" i="82"/>
  <c r="C39" i="69" l="1"/>
  <c r="C43" i="69" s="1"/>
  <c r="C37" i="87"/>
  <c r="C37" i="82"/>
  <c r="F34" i="68"/>
  <c r="C37" i="68" s="1"/>
  <c r="F34" i="11"/>
  <c r="F11" i="12"/>
  <c r="C14" i="12" s="1"/>
  <c r="C16" i="12" s="1"/>
  <c r="M59" i="88"/>
  <c r="M59" i="67"/>
  <c r="M59" i="79"/>
  <c r="L59" i="79" s="1"/>
  <c r="C26" i="12"/>
  <c r="D25" i="12" s="1"/>
  <c r="C29" i="12"/>
  <c r="D28" i="12" s="1"/>
  <c r="C26" i="11"/>
  <c r="D22" i="11" s="1"/>
  <c r="C26" i="68"/>
  <c r="D22" i="68" s="1"/>
  <c r="C26" i="87"/>
  <c r="D22" i="87" s="1"/>
  <c r="C26" i="82"/>
  <c r="D22" i="82" s="1"/>
  <c r="C23" i="11"/>
  <c r="C18" i="12"/>
  <c r="C91" i="83"/>
  <c r="C92" i="83" s="1"/>
  <c r="E2" i="76"/>
  <c r="B2" i="76"/>
  <c r="C91" i="9"/>
  <c r="C37" i="36"/>
  <c r="B2" i="36" s="1"/>
  <c r="B3" i="36" s="1"/>
  <c r="C36" i="36"/>
  <c r="C48" i="33"/>
  <c r="C49" i="33"/>
  <c r="B2" i="33" s="1"/>
  <c r="B3" i="33" s="1"/>
  <c r="C49" i="34"/>
  <c r="C50" i="34"/>
  <c r="B2" i="34" s="1"/>
  <c r="B3" i="34" s="1"/>
  <c r="E41" i="36"/>
  <c r="F41" i="36" s="1"/>
  <c r="E40" i="36"/>
  <c r="F40" i="36" s="1"/>
  <c r="I41" i="36"/>
  <c r="J41" i="36" s="1"/>
  <c r="G65" i="40"/>
  <c r="H63" i="40"/>
  <c r="C39" i="35"/>
  <c r="C38" i="35"/>
  <c r="G69" i="39"/>
  <c r="H67" i="39"/>
  <c r="E42" i="35"/>
  <c r="F42" i="35" s="1"/>
  <c r="E43" i="35"/>
  <c r="F43" i="35" s="1"/>
  <c r="I43" i="35"/>
  <c r="J43" i="35" s="1"/>
  <c r="E52" i="33"/>
  <c r="F52" i="33" s="1"/>
  <c r="E53" i="33"/>
  <c r="F53" i="33" s="1"/>
  <c r="E54" i="34"/>
  <c r="F54" i="34" s="1"/>
  <c r="E53" i="34"/>
  <c r="F53" i="34" s="1"/>
  <c r="B2" i="21"/>
  <c r="B3" i="21"/>
  <c r="R24" i="31" s="1"/>
  <c r="B3" i="43"/>
  <c r="C19" i="88"/>
  <c r="C20" i="88" s="1"/>
  <c r="C26" i="88" s="1"/>
  <c r="D31" i="6"/>
  <c r="I6" i="6" s="1"/>
  <c r="C39" i="89"/>
  <c r="C43" i="89" s="1"/>
  <c r="C41" i="89" s="1"/>
  <c r="C25" i="11"/>
  <c r="C28" i="11"/>
  <c r="C27" i="11" s="1"/>
  <c r="C21" i="12"/>
  <c r="C22" i="12" s="1"/>
  <c r="C19" i="79"/>
  <c r="C20" i="79" s="1"/>
  <c r="C23" i="79" s="1"/>
  <c r="C46" i="69"/>
  <c r="C45" i="69" s="1"/>
  <c r="C23" i="67"/>
  <c r="C29" i="67" s="1"/>
  <c r="C36" i="67" s="1"/>
  <c r="C41" i="69"/>
  <c r="F63" i="79"/>
  <c r="C62" i="79" s="1"/>
  <c r="C34" i="79"/>
  <c r="C31" i="79" s="1"/>
  <c r="J20" i="79"/>
  <c r="J20" i="67"/>
  <c r="F63" i="67"/>
  <c r="C62" i="67" s="1"/>
  <c r="C34" i="67"/>
  <c r="C31" i="67" s="1"/>
  <c r="F63" i="88"/>
  <c r="C62" i="88" s="1"/>
  <c r="C34" i="88"/>
  <c r="C31" i="88" s="1"/>
  <c r="J20" i="88"/>
  <c r="H27" i="6"/>
  <c r="R19" i="6"/>
  <c r="C34" i="87"/>
  <c r="C34" i="82"/>
  <c r="Q61" i="79" l="1"/>
  <c r="Q74" i="79"/>
  <c r="C22" i="11"/>
  <c r="C35" i="82"/>
  <c r="C33" i="82" s="1"/>
  <c r="C39" i="82" s="1"/>
  <c r="C43" i="82" s="1"/>
  <c r="C38" i="82"/>
  <c r="C38" i="87"/>
  <c r="C35" i="87"/>
  <c r="C33" i="87" s="1"/>
  <c r="C36" i="11"/>
  <c r="C34" i="11"/>
  <c r="C37" i="11"/>
  <c r="C36" i="68"/>
  <c r="C34" i="68"/>
  <c r="C92" i="9"/>
  <c r="C94" i="9"/>
  <c r="C94" i="83"/>
  <c r="Q49" i="67"/>
  <c r="H69" i="39"/>
  <c r="I67" i="39"/>
  <c r="H65" i="40"/>
  <c r="I63" i="40"/>
  <c r="B3" i="35"/>
  <c r="F6" i="12" s="1"/>
  <c r="B2" i="35"/>
  <c r="F8" i="12" s="1"/>
  <c r="M16" i="12" s="1"/>
  <c r="B3" i="76"/>
  <c r="J19" i="67"/>
  <c r="J17" i="67" s="1"/>
  <c r="J59" i="67"/>
  <c r="J60" i="67" s="1"/>
  <c r="L46" i="67" s="1"/>
  <c r="C57" i="67"/>
  <c r="C64" i="67" s="1"/>
  <c r="C13" i="67"/>
  <c r="Q70" i="67" s="1"/>
  <c r="J14" i="67"/>
  <c r="J22" i="67" s="1"/>
  <c r="I5" i="6"/>
  <c r="C31" i="11"/>
  <c r="C46" i="89"/>
  <c r="C45" i="89" s="1"/>
  <c r="C49" i="89" s="1"/>
  <c r="C51" i="89" s="1"/>
  <c r="C49" i="69"/>
  <c r="C51" i="69" s="1"/>
  <c r="C14" i="74"/>
  <c r="B2" i="74" s="1"/>
  <c r="D7" i="74" s="1"/>
  <c r="R27" i="6"/>
  <c r="R6" i="1"/>
  <c r="R16" i="1" s="1"/>
  <c r="C23" i="88"/>
  <c r="C29" i="88" s="1"/>
  <c r="C26" i="79"/>
  <c r="C29" i="79" s="1"/>
  <c r="C20" i="86"/>
  <c r="C19" i="86"/>
  <c r="C46" i="82" l="1"/>
  <c r="C45" i="82" s="1"/>
  <c r="C39" i="87"/>
  <c r="C43" i="87" s="1"/>
  <c r="C46" i="87"/>
  <c r="C45" i="87" s="1"/>
  <c r="C42" i="87"/>
  <c r="C41" i="87" s="1"/>
  <c r="C49" i="87" s="1"/>
  <c r="C51" i="87" s="1"/>
  <c r="C42" i="82"/>
  <c r="C41" i="82" s="1"/>
  <c r="C49" i="82" s="1"/>
  <c r="C51" i="82" s="1"/>
  <c r="C38" i="68"/>
  <c r="C35" i="68"/>
  <c r="C35" i="11"/>
  <c r="C38" i="11"/>
  <c r="C37" i="67"/>
  <c r="C30" i="67" s="1"/>
  <c r="C39" i="67" s="1"/>
  <c r="Q69" i="67" s="1"/>
  <c r="Q68" i="67" s="1"/>
  <c r="C103" i="86"/>
  <c r="C102" i="86"/>
  <c r="C21" i="86"/>
  <c r="I69" i="39"/>
  <c r="J67" i="39"/>
  <c r="J63" i="40"/>
  <c r="I65" i="40"/>
  <c r="C61" i="67"/>
  <c r="C59" i="67" s="1"/>
  <c r="Q48" i="67"/>
  <c r="C56" i="67"/>
  <c r="C65" i="67" s="1"/>
  <c r="C75" i="67"/>
  <c r="J13" i="67"/>
  <c r="J23" i="67" s="1"/>
  <c r="J16" i="67" s="1"/>
  <c r="J25" i="67" s="1"/>
  <c r="C36" i="88"/>
  <c r="C13" i="88"/>
  <c r="J14" i="88"/>
  <c r="J59" i="88"/>
  <c r="J60" i="88" s="1"/>
  <c r="C57" i="88"/>
  <c r="J19" i="88"/>
  <c r="J17" i="88" s="1"/>
  <c r="Q49" i="88"/>
  <c r="C36" i="79"/>
  <c r="Q49" i="79"/>
  <c r="J59" i="79"/>
  <c r="J60" i="79" s="1"/>
  <c r="C57" i="79"/>
  <c r="J14" i="79"/>
  <c r="C13" i="79"/>
  <c r="J19" i="79"/>
  <c r="J17" i="79" s="1"/>
  <c r="C33" i="68" l="1"/>
  <c r="C39" i="68" s="1"/>
  <c r="C43" i="68" s="1"/>
  <c r="C33" i="11"/>
  <c r="C42" i="11"/>
  <c r="C39" i="11"/>
  <c r="C43" i="11" s="1"/>
  <c r="C41" i="11" s="1"/>
  <c r="C91" i="85"/>
  <c r="C91" i="86"/>
  <c r="C42" i="68"/>
  <c r="C40" i="67"/>
  <c r="Q47" i="67" s="1"/>
  <c r="Q53" i="67" s="1"/>
  <c r="C80" i="67"/>
  <c r="C79" i="67" s="1"/>
  <c r="C58" i="67"/>
  <c r="C67" i="67" s="1"/>
  <c r="C68" i="67" s="1"/>
  <c r="C71" i="67" s="1"/>
  <c r="J65" i="40"/>
  <c r="K63" i="40"/>
  <c r="K67" i="39"/>
  <c r="J69" i="39"/>
  <c r="C61" i="79"/>
  <c r="C59" i="79" s="1"/>
  <c r="C64" i="79"/>
  <c r="C37" i="88"/>
  <c r="C30" i="88" s="1"/>
  <c r="C39" i="88" s="1"/>
  <c r="Q70" i="88"/>
  <c r="C75" i="88"/>
  <c r="C56" i="88"/>
  <c r="C65" i="88" s="1"/>
  <c r="C61" i="88"/>
  <c r="C59" i="88" s="1"/>
  <c r="C64" i="88"/>
  <c r="C75" i="79"/>
  <c r="Q70" i="79"/>
  <c r="C37" i="79"/>
  <c r="C30" i="79" s="1"/>
  <c r="C39" i="79" s="1"/>
  <c r="C56" i="79"/>
  <c r="C65" i="79" s="1"/>
  <c r="Q48" i="88"/>
  <c r="L46" i="88"/>
  <c r="L46" i="79"/>
  <c r="Q48" i="79"/>
  <c r="J13" i="79"/>
  <c r="J23" i="79" s="1"/>
  <c r="J22" i="79"/>
  <c r="J22" i="88"/>
  <c r="J13" i="88"/>
  <c r="J23" i="88" s="1"/>
  <c r="L51" i="79"/>
  <c r="L51" i="67"/>
  <c r="L51" i="88"/>
  <c r="C46" i="11" l="1"/>
  <c r="C45" i="11" s="1"/>
  <c r="C49" i="11"/>
  <c r="C51" i="11" s="1"/>
  <c r="C52" i="11" s="1"/>
  <c r="B2" i="11" s="1"/>
  <c r="B3" i="11" s="1"/>
  <c r="Q65" i="67"/>
  <c r="Q75" i="67" s="1"/>
  <c r="Q56" i="67"/>
  <c r="Q62" i="67" s="1"/>
  <c r="C43" i="67"/>
  <c r="D2" i="67"/>
  <c r="B3" i="67" s="1"/>
  <c r="C83" i="67"/>
  <c r="C82" i="67" s="1"/>
  <c r="C41" i="68"/>
  <c r="C92" i="86"/>
  <c r="C94" i="86"/>
  <c r="C46" i="68"/>
  <c r="C45" i="68" s="1"/>
  <c r="C56" i="11"/>
  <c r="C57" i="11" s="1"/>
  <c r="C94" i="85"/>
  <c r="C92" i="85"/>
  <c r="Q67" i="67"/>
  <c r="C45" i="67"/>
  <c r="C46" i="67" s="1"/>
  <c r="K69" i="39"/>
  <c r="L67" i="39"/>
  <c r="L63" i="40"/>
  <c r="K65" i="40"/>
  <c r="C58" i="88"/>
  <c r="C67" i="88" s="1"/>
  <c r="C68" i="88" s="1"/>
  <c r="C71" i="88" s="1"/>
  <c r="J16" i="88"/>
  <c r="J25" i="88" s="1"/>
  <c r="J16" i="79"/>
  <c r="J25" i="79" s="1"/>
  <c r="Q67" i="88"/>
  <c r="Q67" i="79"/>
  <c r="B2" i="67"/>
  <c r="C40" i="88"/>
  <c r="Q69" i="88"/>
  <c r="Q68" i="88" s="1"/>
  <c r="Q69" i="79"/>
  <c r="Q68" i="79" s="1"/>
  <c r="C40" i="79"/>
  <c r="C80" i="88"/>
  <c r="C79" i="88" s="1"/>
  <c r="C80" i="79"/>
  <c r="C79" i="79" s="1"/>
  <c r="C58" i="79"/>
  <c r="C67" i="79" s="1"/>
  <c r="C68" i="79" s="1"/>
  <c r="AO8" i="1"/>
  <c r="D19" i="85"/>
  <c r="D20" i="85"/>
  <c r="C49" i="68" l="1"/>
  <c r="C51" i="68" s="1"/>
  <c r="L65" i="40"/>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6"/>
  <c r="AO9" i="1"/>
  <c r="D19" i="83"/>
  <c r="AO7" i="1"/>
  <c r="M69" i="39" l="1"/>
  <c r="N67" i="39"/>
  <c r="N63" i="40"/>
  <c r="M65" i="40"/>
  <c r="B7" i="70"/>
  <c r="D102" i="83"/>
  <c r="D21" i="83"/>
  <c r="D21" i="86"/>
  <c r="G19" i="86"/>
  <c r="D22" i="86"/>
  <c r="D102" i="86"/>
  <c r="B9" i="70"/>
  <c r="D8" i="12"/>
  <c r="B3" i="79"/>
  <c r="B3" i="88"/>
  <c r="D20" i="83"/>
  <c r="D20" i="86"/>
  <c r="N65" i="40" l="1"/>
  <c r="O63" i="40"/>
  <c r="O65" i="40" s="1"/>
  <c r="N69" i="39"/>
  <c r="O67" i="39"/>
  <c r="O69" i="39" s="1"/>
  <c r="B2" i="70"/>
  <c r="B3" i="70" s="1"/>
  <c r="D103" i="86"/>
  <c r="G20" i="86"/>
  <c r="D103" i="83"/>
  <c r="D6" i="12"/>
  <c r="G21" i="86"/>
  <c r="C32" i="86"/>
  <c r="K22" i="86"/>
  <c r="K23" i="86" s="1"/>
  <c r="J7" i="39" l="1"/>
  <c r="F7" i="39"/>
  <c r="H7" i="39"/>
  <c r="F7" i="40"/>
  <c r="J7" i="40"/>
  <c r="H7" i="40"/>
  <c r="E17" i="74"/>
  <c r="F17" i="74"/>
  <c r="H118" i="86"/>
  <c r="S7" i="40" l="1"/>
  <c r="AA7" i="40"/>
  <c r="R42" i="40" s="1"/>
  <c r="U7" i="39"/>
  <c r="AB7" i="39"/>
  <c r="T47" i="39" s="1"/>
  <c r="G47" i="39" s="1"/>
  <c r="AB7" i="40"/>
  <c r="T42" i="40" s="1"/>
  <c r="G42" i="40" s="1"/>
  <c r="U7" i="40"/>
  <c r="AA7" i="39"/>
  <c r="R47" i="39" s="1"/>
  <c r="S7" i="39"/>
  <c r="W7" i="40"/>
  <c r="AC7" i="40"/>
  <c r="V42" i="40" s="1"/>
  <c r="I42" i="40" s="1"/>
  <c r="AC7" i="39"/>
  <c r="V47" i="39" s="1"/>
  <c r="I47" i="39" s="1"/>
  <c r="W7" i="39"/>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7" i="68"/>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3"/>
  <c r="B3" i="87"/>
  <c r="D34" i="85"/>
  <c r="D35" i="9"/>
  <c r="C19" i="85"/>
  <c r="D35" i="83"/>
  <c r="D34" i="9"/>
  <c r="B3" i="69"/>
  <c r="D35" i="86"/>
  <c r="C20" i="83"/>
  <c r="D35" i="85"/>
  <c r="C103" i="83" l="1"/>
  <c r="G20" i="83"/>
  <c r="B2" i="89"/>
  <c r="C57" i="69"/>
  <c r="C56" i="69" s="1"/>
  <c r="C57" i="87"/>
  <c r="C56" i="87" s="1"/>
  <c r="C35" i="86"/>
  <c r="C21" i="85"/>
  <c r="D22" i="85"/>
  <c r="G19" i="85"/>
  <c r="C102" i="85"/>
  <c r="C32" i="83"/>
  <c r="K22" i="83"/>
  <c r="K23" i="83" s="1"/>
  <c r="G21" i="83"/>
  <c r="J23" i="87"/>
  <c r="C19" i="9"/>
  <c r="C20" i="85"/>
  <c r="B3" i="89"/>
  <c r="C103" i="85" l="1"/>
  <c r="G20" i="85"/>
  <c r="C21" i="9"/>
  <c r="C102" i="9"/>
  <c r="F118" i="86"/>
  <c r="C34" i="86"/>
  <c r="D118" i="86" s="1"/>
  <c r="D119" i="86" s="1"/>
  <c r="K22" i="85"/>
  <c r="K23" i="85" s="1"/>
  <c r="C32" i="85"/>
  <c r="G21" i="85"/>
  <c r="H118" i="83"/>
  <c r="C35" i="83"/>
  <c r="F118" i="83" s="1"/>
  <c r="C20" i="9"/>
  <c r="C103" i="9" l="1"/>
  <c r="C34" i="83"/>
  <c r="D118" i="83" s="1"/>
  <c r="D119" i="83" s="1"/>
  <c r="F119" i="83"/>
  <c r="G118" i="83"/>
  <c r="H118" i="85"/>
  <c r="C35" i="85"/>
  <c r="F118" i="85" s="1"/>
  <c r="H101" i="83"/>
  <c r="H119" i="83"/>
  <c r="C104" i="83"/>
  <c r="I118" i="83"/>
  <c r="G118" i="86"/>
  <c r="E118" i="86" s="1"/>
  <c r="F119" i="86"/>
  <c r="R637" i="31" l="1"/>
  <c r="S637" i="31" s="1"/>
  <c r="R639" i="31"/>
  <c r="S639" i="31" s="1"/>
  <c r="R641" i="31"/>
  <c r="S641" i="31" s="1"/>
  <c r="R643" i="31"/>
  <c r="S643"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689" i="31"/>
  <c r="S689"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741" i="31"/>
  <c r="S741" i="31" s="1"/>
  <c r="R743" i="31"/>
  <c r="S743" i="31" s="1"/>
  <c r="R745" i="31"/>
  <c r="S745" i="31" s="1"/>
  <c r="R747" i="31"/>
  <c r="S747" i="31" s="1"/>
  <c r="R749" i="31"/>
  <c r="S749" i="31" s="1"/>
  <c r="R751" i="31"/>
  <c r="S751" i="31" s="1"/>
  <c r="R753" i="31"/>
  <c r="S753" i="31" s="1"/>
  <c r="R755" i="31"/>
  <c r="S755" i="31" s="1"/>
  <c r="R757" i="31"/>
  <c r="S757" i="31" s="1"/>
  <c r="R759" i="31"/>
  <c r="S759" i="31" s="1"/>
  <c r="R761" i="31"/>
  <c r="S761" i="31" s="1"/>
  <c r="R763" i="31"/>
  <c r="S763" i="31" s="1"/>
  <c r="R765" i="31"/>
  <c r="S765" i="31" s="1"/>
  <c r="R767" i="31"/>
  <c r="S767" i="31" s="1"/>
  <c r="R769" i="31"/>
  <c r="S769" i="31" s="1"/>
  <c r="R771" i="31"/>
  <c r="S771" i="31" s="1"/>
  <c r="R773" i="31"/>
  <c r="S773" i="31" s="1"/>
  <c r="R775" i="31"/>
  <c r="S775" i="31" s="1"/>
  <c r="R777" i="31"/>
  <c r="S777" i="31" s="1"/>
  <c r="R779" i="31"/>
  <c r="S779" i="31" s="1"/>
  <c r="R781" i="31"/>
  <c r="S781" i="31" s="1"/>
  <c r="R783" i="31"/>
  <c r="S783" i="31" s="1"/>
  <c r="R785" i="31"/>
  <c r="S785" i="31" s="1"/>
  <c r="R787" i="31"/>
  <c r="S787" i="31" s="1"/>
  <c r="R789" i="31"/>
  <c r="S789" i="31" s="1"/>
  <c r="R791" i="31"/>
  <c r="S791" i="31" s="1"/>
  <c r="R793" i="31"/>
  <c r="S793" i="31" s="1"/>
  <c r="R795" i="31"/>
  <c r="S795" i="31" s="1"/>
  <c r="R797" i="31"/>
  <c r="S797" i="31" s="1"/>
  <c r="R799" i="31"/>
  <c r="S799" i="31" s="1"/>
  <c r="R801" i="31"/>
  <c r="S801" i="31" s="1"/>
  <c r="R803" i="31"/>
  <c r="S803" i="31" s="1"/>
  <c r="R805" i="31"/>
  <c r="S805" i="31" s="1"/>
  <c r="R638" i="31"/>
  <c r="S638" i="31" s="1"/>
  <c r="R640" i="31"/>
  <c r="S640" i="31" s="1"/>
  <c r="R642" i="31"/>
  <c r="S642"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6" i="31"/>
  <c r="S666"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0" i="31"/>
  <c r="S690" i="31" s="1"/>
  <c r="R692" i="31"/>
  <c r="S692" i="31" s="1"/>
  <c r="R694" i="31"/>
  <c r="S694" i="31" s="1"/>
  <c r="R696" i="31"/>
  <c r="S696" i="31" s="1"/>
  <c r="R698" i="31"/>
  <c r="S698" i="31" s="1"/>
  <c r="R700" i="31"/>
  <c r="S700" i="31" s="1"/>
  <c r="R702" i="31"/>
  <c r="S702" i="31" s="1"/>
  <c r="R704" i="31"/>
  <c r="S704"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732" i="31"/>
  <c r="S732" i="31" s="1"/>
  <c r="R734" i="31"/>
  <c r="S734" i="31" s="1"/>
  <c r="R736" i="31"/>
  <c r="S736" i="31" s="1"/>
  <c r="R738" i="31"/>
  <c r="S738" i="31" s="1"/>
  <c r="R740" i="31"/>
  <c r="S740" i="31" s="1"/>
  <c r="R742" i="31"/>
  <c r="S742" i="31" s="1"/>
  <c r="R744" i="31"/>
  <c r="S744" i="31" s="1"/>
  <c r="R746" i="31"/>
  <c r="S746" i="31" s="1"/>
  <c r="R748" i="31"/>
  <c r="S748" i="31" s="1"/>
  <c r="R750" i="31"/>
  <c r="S750" i="31" s="1"/>
  <c r="R752" i="31"/>
  <c r="S752" i="31" s="1"/>
  <c r="R754" i="31"/>
  <c r="S754" i="31" s="1"/>
  <c r="R756" i="31"/>
  <c r="S756" i="31" s="1"/>
  <c r="R758" i="31"/>
  <c r="S758" i="31" s="1"/>
  <c r="R760" i="31"/>
  <c r="S760" i="31" s="1"/>
  <c r="R762" i="31"/>
  <c r="S762" i="31" s="1"/>
  <c r="R764" i="31"/>
  <c r="S764" i="31" s="1"/>
  <c r="R766" i="31"/>
  <c r="S766" i="31" s="1"/>
  <c r="R768" i="31"/>
  <c r="S768" i="31" s="1"/>
  <c r="R770" i="31"/>
  <c r="S770" i="31" s="1"/>
  <c r="R772" i="31"/>
  <c r="S772" i="31" s="1"/>
  <c r="R774" i="31"/>
  <c r="S774" i="31" s="1"/>
  <c r="R776" i="31"/>
  <c r="S776" i="31" s="1"/>
  <c r="R778" i="31"/>
  <c r="S778" i="31" s="1"/>
  <c r="R780" i="31"/>
  <c r="S780" i="31" s="1"/>
  <c r="R782" i="31"/>
  <c r="S782" i="31" s="1"/>
  <c r="R784" i="31"/>
  <c r="S784" i="31" s="1"/>
  <c r="R786" i="31"/>
  <c r="S786" i="31" s="1"/>
  <c r="R788" i="31"/>
  <c r="S788" i="31" s="1"/>
  <c r="R790" i="31"/>
  <c r="S790" i="31" s="1"/>
  <c r="R792" i="31"/>
  <c r="S792" i="31" s="1"/>
  <c r="R794" i="31"/>
  <c r="S794" i="31" s="1"/>
  <c r="R796" i="31"/>
  <c r="S796" i="31" s="1"/>
  <c r="R798" i="31"/>
  <c r="S798" i="31" s="1"/>
  <c r="R800" i="31"/>
  <c r="S800" i="31" s="1"/>
  <c r="R802" i="31"/>
  <c r="S802" i="31" s="1"/>
  <c r="R804" i="31"/>
  <c r="S804" i="31" s="1"/>
  <c r="R807" i="31"/>
  <c r="S807" i="31" s="1"/>
  <c r="R809" i="31"/>
  <c r="S809" i="31" s="1"/>
  <c r="R811" i="31"/>
  <c r="S811" i="31" s="1"/>
  <c r="R813" i="31"/>
  <c r="S813" i="31" s="1"/>
  <c r="R815" i="31"/>
  <c r="S815" i="31" s="1"/>
  <c r="R817" i="31"/>
  <c r="S817" i="31" s="1"/>
  <c r="R819" i="31"/>
  <c r="S819" i="31" s="1"/>
  <c r="R821" i="31"/>
  <c r="S821" i="31" s="1"/>
  <c r="R823" i="31"/>
  <c r="S823" i="31" s="1"/>
  <c r="R825" i="31"/>
  <c r="S825" i="31" s="1"/>
  <c r="R827" i="31"/>
  <c r="S827" i="31" s="1"/>
  <c r="R829" i="31"/>
  <c r="S829" i="31" s="1"/>
  <c r="R831" i="31"/>
  <c r="S831" i="31" s="1"/>
  <c r="R833" i="31"/>
  <c r="S833" i="31" s="1"/>
  <c r="R835" i="31"/>
  <c r="S835" i="31" s="1"/>
  <c r="R837" i="31"/>
  <c r="S837" i="31" s="1"/>
  <c r="R839" i="31"/>
  <c r="S839" i="31" s="1"/>
  <c r="R841" i="31"/>
  <c r="S841" i="31" s="1"/>
  <c r="R843" i="31"/>
  <c r="S843" i="31" s="1"/>
  <c r="R845" i="31"/>
  <c r="S845" i="31" s="1"/>
  <c r="R847" i="31"/>
  <c r="S847" i="31" s="1"/>
  <c r="R849" i="31"/>
  <c r="S849" i="31" s="1"/>
  <c r="R851" i="31"/>
  <c r="S851" i="31" s="1"/>
  <c r="R853" i="31"/>
  <c r="S853" i="31" s="1"/>
  <c r="R855" i="31"/>
  <c r="S855" i="31" s="1"/>
  <c r="R857" i="31"/>
  <c r="S857" i="31" s="1"/>
  <c r="R859" i="31"/>
  <c r="S859" i="31" s="1"/>
  <c r="R861" i="31"/>
  <c r="S861" i="31" s="1"/>
  <c r="R863" i="31"/>
  <c r="S863" i="31" s="1"/>
  <c r="R865" i="31"/>
  <c r="S865" i="31" s="1"/>
  <c r="R867" i="31"/>
  <c r="S867" i="31" s="1"/>
  <c r="R869" i="31"/>
  <c r="S869" i="31" s="1"/>
  <c r="R871" i="31"/>
  <c r="S871" i="31" s="1"/>
  <c r="R873" i="31"/>
  <c r="S873" i="31" s="1"/>
  <c r="R875" i="31"/>
  <c r="S875" i="31" s="1"/>
  <c r="R877" i="31"/>
  <c r="S877" i="31" s="1"/>
  <c r="R879" i="31"/>
  <c r="S879" i="31" s="1"/>
  <c r="R881" i="31"/>
  <c r="S881" i="31" s="1"/>
  <c r="R883" i="31"/>
  <c r="S883" i="31" s="1"/>
  <c r="R885" i="31"/>
  <c r="S885" i="31" s="1"/>
  <c r="R887" i="31"/>
  <c r="S887" i="31" s="1"/>
  <c r="R889" i="31"/>
  <c r="S889" i="31" s="1"/>
  <c r="R891" i="31"/>
  <c r="S891" i="31" s="1"/>
  <c r="R893" i="31"/>
  <c r="S893" i="31" s="1"/>
  <c r="R895" i="31"/>
  <c r="S895" i="31" s="1"/>
  <c r="R897" i="31"/>
  <c r="S897" i="31" s="1"/>
  <c r="R899" i="31"/>
  <c r="S899" i="31" s="1"/>
  <c r="R901" i="31"/>
  <c r="S901" i="31" s="1"/>
  <c r="R903" i="31"/>
  <c r="S903" i="31" s="1"/>
  <c r="R905" i="31"/>
  <c r="S905" i="31" s="1"/>
  <c r="R907" i="31"/>
  <c r="S907" i="31" s="1"/>
  <c r="R909" i="31"/>
  <c r="S909" i="31" s="1"/>
  <c r="R911" i="31"/>
  <c r="S911" i="31" s="1"/>
  <c r="R913" i="31"/>
  <c r="S913" i="31" s="1"/>
  <c r="R915" i="31"/>
  <c r="S915" i="31" s="1"/>
  <c r="R917" i="31"/>
  <c r="S917" i="31" s="1"/>
  <c r="R919" i="31"/>
  <c r="S919" i="31" s="1"/>
  <c r="R921" i="31"/>
  <c r="S921" i="31" s="1"/>
  <c r="R923" i="31"/>
  <c r="S923" i="31" s="1"/>
  <c r="R925" i="31"/>
  <c r="S925" i="31" s="1"/>
  <c r="R927" i="31"/>
  <c r="S927" i="31" s="1"/>
  <c r="R929" i="31"/>
  <c r="S929" i="31" s="1"/>
  <c r="R931" i="31"/>
  <c r="S931" i="31" s="1"/>
  <c r="R933" i="31"/>
  <c r="S933" i="31" s="1"/>
  <c r="R935" i="31"/>
  <c r="S935" i="31" s="1"/>
  <c r="R937" i="31"/>
  <c r="S937" i="31" s="1"/>
  <c r="R939" i="31"/>
  <c r="S939" i="31" s="1"/>
  <c r="R941" i="31"/>
  <c r="S941" i="31" s="1"/>
  <c r="R943" i="31"/>
  <c r="S943" i="31" s="1"/>
  <c r="R945" i="31"/>
  <c r="S945" i="31" s="1"/>
  <c r="R947" i="31"/>
  <c r="S947" i="31" s="1"/>
  <c r="R949" i="31"/>
  <c r="S949" i="31" s="1"/>
  <c r="R951" i="31"/>
  <c r="S951" i="31" s="1"/>
  <c r="R953" i="31"/>
  <c r="S953" i="31" s="1"/>
  <c r="R955" i="31"/>
  <c r="S955" i="31" s="1"/>
  <c r="R806" i="31"/>
  <c r="S806" i="31" s="1"/>
  <c r="R808" i="31"/>
  <c r="S808" i="31" s="1"/>
  <c r="R810" i="31"/>
  <c r="S810" i="31" s="1"/>
  <c r="R812" i="31"/>
  <c r="S812" i="31" s="1"/>
  <c r="R814" i="31"/>
  <c r="S814" i="31" s="1"/>
  <c r="R816" i="31"/>
  <c r="S816" i="31" s="1"/>
  <c r="R818" i="31"/>
  <c r="S818" i="31" s="1"/>
  <c r="R820" i="31"/>
  <c r="S820" i="31" s="1"/>
  <c r="R822" i="31"/>
  <c r="S822" i="31" s="1"/>
  <c r="R824" i="31"/>
  <c r="S824" i="31" s="1"/>
  <c r="R826" i="31"/>
  <c r="S826" i="31" s="1"/>
  <c r="R828" i="31"/>
  <c r="S828" i="31" s="1"/>
  <c r="R830" i="31"/>
  <c r="S830" i="31" s="1"/>
  <c r="R832" i="31"/>
  <c r="S832" i="31" s="1"/>
  <c r="R834" i="31"/>
  <c r="S834" i="31" s="1"/>
  <c r="R836" i="31"/>
  <c r="S836" i="31" s="1"/>
  <c r="R838" i="31"/>
  <c r="S838" i="31" s="1"/>
  <c r="R840" i="31"/>
  <c r="S840" i="31" s="1"/>
  <c r="R842" i="31"/>
  <c r="S842" i="31" s="1"/>
  <c r="R844" i="31"/>
  <c r="S844" i="31" s="1"/>
  <c r="R846" i="31"/>
  <c r="S846" i="31" s="1"/>
  <c r="R848" i="31"/>
  <c r="S848" i="31" s="1"/>
  <c r="R850" i="31"/>
  <c r="S850" i="31" s="1"/>
  <c r="R852" i="31"/>
  <c r="S852" i="31" s="1"/>
  <c r="R854" i="31"/>
  <c r="S854" i="31" s="1"/>
  <c r="R856" i="31"/>
  <c r="S856" i="31" s="1"/>
  <c r="R858" i="31"/>
  <c r="S858" i="31" s="1"/>
  <c r="R860" i="31"/>
  <c r="S860" i="31" s="1"/>
  <c r="R862" i="31"/>
  <c r="S862" i="31" s="1"/>
  <c r="R864" i="31"/>
  <c r="S864" i="31" s="1"/>
  <c r="R866" i="31"/>
  <c r="S866" i="31" s="1"/>
  <c r="R868" i="31"/>
  <c r="S868" i="31" s="1"/>
  <c r="R870" i="31"/>
  <c r="S870" i="31" s="1"/>
  <c r="R872" i="31"/>
  <c r="S872" i="31" s="1"/>
  <c r="R874" i="31"/>
  <c r="S874" i="31" s="1"/>
  <c r="R876" i="31"/>
  <c r="S876" i="31" s="1"/>
  <c r="R878" i="31"/>
  <c r="S878" i="31" s="1"/>
  <c r="R880" i="31"/>
  <c r="S880" i="31" s="1"/>
  <c r="R882" i="31"/>
  <c r="S882" i="31" s="1"/>
  <c r="R884" i="31"/>
  <c r="S884" i="31" s="1"/>
  <c r="R886" i="31"/>
  <c r="S886" i="31" s="1"/>
  <c r="R888" i="31"/>
  <c r="S888" i="31" s="1"/>
  <c r="R890" i="31"/>
  <c r="S890" i="31" s="1"/>
  <c r="R892" i="31"/>
  <c r="S892" i="31" s="1"/>
  <c r="R894" i="31"/>
  <c r="S894" i="31" s="1"/>
  <c r="R896" i="31"/>
  <c r="S896" i="31" s="1"/>
  <c r="R898" i="31"/>
  <c r="S898" i="31" s="1"/>
  <c r="R900" i="31"/>
  <c r="S900" i="31" s="1"/>
  <c r="R902" i="31"/>
  <c r="S902" i="31" s="1"/>
  <c r="R904" i="31"/>
  <c r="S904" i="31" s="1"/>
  <c r="R906" i="31"/>
  <c r="S906" i="31" s="1"/>
  <c r="R908" i="31"/>
  <c r="S908" i="31" s="1"/>
  <c r="R910" i="31"/>
  <c r="S910" i="31" s="1"/>
  <c r="R912" i="31"/>
  <c r="S912" i="31" s="1"/>
  <c r="R914" i="31"/>
  <c r="S914" i="31" s="1"/>
  <c r="R916" i="31"/>
  <c r="S916" i="31" s="1"/>
  <c r="R918" i="31"/>
  <c r="S918" i="31" s="1"/>
  <c r="R920" i="31"/>
  <c r="S920" i="31" s="1"/>
  <c r="R922" i="31"/>
  <c r="S922" i="31" s="1"/>
  <c r="R924" i="31"/>
  <c r="S924" i="31" s="1"/>
  <c r="R926" i="31"/>
  <c r="S926" i="31" s="1"/>
  <c r="R928" i="31"/>
  <c r="S928" i="31" s="1"/>
  <c r="R930" i="31"/>
  <c r="S930" i="31" s="1"/>
  <c r="R932" i="31"/>
  <c r="S932" i="31" s="1"/>
  <c r="R934" i="31"/>
  <c r="S934" i="31" s="1"/>
  <c r="R936" i="31"/>
  <c r="S936" i="31" s="1"/>
  <c r="R938" i="31"/>
  <c r="S938" i="31" s="1"/>
  <c r="R940" i="31"/>
  <c r="S940" i="31" s="1"/>
  <c r="R942" i="31"/>
  <c r="S942" i="31" s="1"/>
  <c r="R944" i="31"/>
  <c r="S944" i="31" s="1"/>
  <c r="R946" i="31"/>
  <c r="S946" i="31" s="1"/>
  <c r="R948" i="31"/>
  <c r="S948" i="31" s="1"/>
  <c r="R950" i="31"/>
  <c r="S950" i="31" s="1"/>
  <c r="R952" i="31"/>
  <c r="S952" i="31" s="1"/>
  <c r="R954" i="31"/>
  <c r="S954" i="31" s="1"/>
  <c r="R598" i="31"/>
  <c r="S598" i="31" s="1"/>
  <c r="R600" i="31"/>
  <c r="S600" i="31" s="1"/>
  <c r="R604" i="31"/>
  <c r="S604" i="31" s="1"/>
  <c r="R608" i="31"/>
  <c r="S608" i="31" s="1"/>
  <c r="R612" i="31"/>
  <c r="S612" i="31" s="1"/>
  <c r="R616" i="31"/>
  <c r="S616" i="31" s="1"/>
  <c r="R620" i="31"/>
  <c r="S620" i="31" s="1"/>
  <c r="R624" i="31"/>
  <c r="S624" i="31" s="1"/>
  <c r="R628" i="31"/>
  <c r="S628" i="31" s="1"/>
  <c r="R632" i="31"/>
  <c r="S632" i="31" s="1"/>
  <c r="R636" i="31"/>
  <c r="S636" i="31" s="1"/>
  <c r="R603" i="31"/>
  <c r="S603" i="31" s="1"/>
  <c r="R607" i="31"/>
  <c r="S607" i="31" s="1"/>
  <c r="R609" i="31"/>
  <c r="S609" i="31" s="1"/>
  <c r="R613" i="31"/>
  <c r="S613" i="31" s="1"/>
  <c r="R617" i="31"/>
  <c r="S617" i="31" s="1"/>
  <c r="R621" i="31"/>
  <c r="S621" i="31" s="1"/>
  <c r="R625" i="31"/>
  <c r="S625" i="31" s="1"/>
  <c r="R629" i="31"/>
  <c r="S629" i="31" s="1"/>
  <c r="R633" i="31"/>
  <c r="S633" i="31" s="1"/>
  <c r="R595" i="31"/>
  <c r="S595" i="31" s="1"/>
  <c r="R597" i="31"/>
  <c r="S597" i="31" s="1"/>
  <c r="R599" i="31"/>
  <c r="S599" i="31" s="1"/>
  <c r="R601" i="31"/>
  <c r="S601" i="31" s="1"/>
  <c r="R605" i="31"/>
  <c r="S605" i="31" s="1"/>
  <c r="R611" i="31"/>
  <c r="S611" i="31" s="1"/>
  <c r="R615" i="31"/>
  <c r="S615" i="31" s="1"/>
  <c r="R619" i="31"/>
  <c r="S619" i="31" s="1"/>
  <c r="R623" i="31"/>
  <c r="S623" i="31" s="1"/>
  <c r="R627" i="31"/>
  <c r="S627" i="31" s="1"/>
  <c r="R631" i="31"/>
  <c r="S631" i="31" s="1"/>
  <c r="R635" i="31"/>
  <c r="S635" i="31" s="1"/>
  <c r="R594" i="31"/>
  <c r="S594" i="31" s="1"/>
  <c r="R596" i="31"/>
  <c r="S596" i="31" s="1"/>
  <c r="R602" i="31"/>
  <c r="S602" i="31" s="1"/>
  <c r="R606" i="31"/>
  <c r="S606" i="31" s="1"/>
  <c r="R610" i="31"/>
  <c r="S610" i="31" s="1"/>
  <c r="R614" i="31"/>
  <c r="S614" i="31" s="1"/>
  <c r="R618" i="31"/>
  <c r="S618" i="31" s="1"/>
  <c r="R622" i="31"/>
  <c r="S622" i="31" s="1"/>
  <c r="R626" i="31"/>
  <c r="S626" i="31" s="1"/>
  <c r="R630" i="31"/>
  <c r="S630" i="31" s="1"/>
  <c r="R634" i="31"/>
  <c r="S634" i="31" s="1"/>
  <c r="R578" i="31"/>
  <c r="S578" i="31" s="1"/>
  <c r="R580" i="31"/>
  <c r="S580" i="31" s="1"/>
  <c r="R582" i="31"/>
  <c r="S582" i="31" s="1"/>
  <c r="R584" i="31"/>
  <c r="S584" i="31" s="1"/>
  <c r="R586" i="31"/>
  <c r="S586" i="31" s="1"/>
  <c r="R588" i="31"/>
  <c r="S588" i="31" s="1"/>
  <c r="R590" i="31"/>
  <c r="S590" i="31" s="1"/>
  <c r="R592" i="31"/>
  <c r="S592" i="31" s="1"/>
  <c r="R579" i="31"/>
  <c r="S579" i="31" s="1"/>
  <c r="R581" i="31"/>
  <c r="S581" i="31" s="1"/>
  <c r="R583" i="31"/>
  <c r="S583" i="31" s="1"/>
  <c r="R585" i="31"/>
  <c r="S585" i="31" s="1"/>
  <c r="R587" i="31"/>
  <c r="S587" i="31" s="1"/>
  <c r="R589" i="31"/>
  <c r="S589" i="31" s="1"/>
  <c r="R591" i="31"/>
  <c r="S591" i="31" s="1"/>
  <c r="R593" i="31"/>
  <c r="S59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21" i="31"/>
  <c r="S521" i="31" s="1"/>
  <c r="R517" i="31"/>
  <c r="S517" i="31" s="1"/>
  <c r="R524" i="31"/>
  <c r="S524" i="31" s="1"/>
  <c r="R520" i="31"/>
  <c r="S520" i="31" s="1"/>
  <c r="R516" i="31"/>
  <c r="S516" i="31" s="1"/>
  <c r="R523" i="31"/>
  <c r="S523" i="31" s="1"/>
  <c r="R519" i="31"/>
  <c r="S519" i="31" s="1"/>
  <c r="R515" i="31"/>
  <c r="S515" i="31" s="1"/>
  <c r="R522" i="31"/>
  <c r="S522" i="31" s="1"/>
  <c r="R518" i="31"/>
  <c r="S518" i="31" s="1"/>
  <c r="R35" i="31"/>
  <c r="S35"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60" i="31"/>
  <c r="S460" i="31" s="1"/>
  <c r="R459" i="31"/>
  <c r="S459" i="31" s="1"/>
  <c r="R461" i="31"/>
  <c r="S461" i="31" s="1"/>
  <c r="R444" i="3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F119" i="85"/>
  <c r="G118" i="85"/>
  <c r="H107" i="83"/>
  <c r="C104" i="85"/>
  <c r="H101" i="85"/>
  <c r="H119" i="85"/>
  <c r="I118" i="85"/>
  <c r="E118" i="83"/>
  <c r="AD21" i="1"/>
  <c r="AD22" i="1" s="1"/>
  <c r="C105" i="83"/>
  <c r="H102" i="83"/>
  <c r="F15" i="74"/>
  <c r="E15" i="74"/>
  <c r="S22" i="31" l="1"/>
  <c r="C8" i="12" s="1"/>
  <c r="C4" i="12" s="1"/>
  <c r="D122" i="83"/>
  <c r="D123" i="83" s="1"/>
  <c r="H108" i="83"/>
  <c r="E16" i="74"/>
  <c r="F16" i="74"/>
  <c r="M48" i="85"/>
  <c r="H107" i="85"/>
  <c r="D45" i="85"/>
  <c r="C105" i="85"/>
  <c r="H102" i="85"/>
  <c r="E118" i="85"/>
  <c r="C23" i="12" l="1"/>
  <c r="C31" i="12"/>
  <c r="R22" i="31"/>
  <c r="C6" i="12" s="1"/>
  <c r="B20" i="31"/>
  <c r="B21" i="31" s="1"/>
  <c r="M49" i="85"/>
  <c r="D122" i="85"/>
  <c r="D123" i="85" s="1"/>
  <c r="H108" i="85"/>
  <c r="D52" i="85"/>
  <c r="D55" i="85"/>
  <c r="M53" i="85" s="1"/>
  <c r="C78" i="85"/>
  <c r="C73" i="85" s="1"/>
  <c r="C93" i="85"/>
  <c r="C86" i="85" s="1"/>
  <c r="C64" i="85"/>
  <c r="C63" i="85" s="1"/>
  <c r="C67" i="85" s="1"/>
  <c r="C68" i="85" s="1"/>
  <c r="D54" i="85" s="1"/>
  <c r="C72" i="85"/>
  <c r="C85" i="85"/>
  <c r="D53" i="85"/>
  <c r="D48" i="85" s="1"/>
  <c r="M52" i="85" s="1"/>
  <c r="C30" i="12" l="1"/>
  <c r="C28" i="12" s="1"/>
  <c r="C27" i="12"/>
  <c r="C25" i="12" s="1"/>
  <c r="C32" i="12" s="1"/>
  <c r="B2" i="12" s="1"/>
  <c r="C79" i="85"/>
  <c r="C80" i="85" s="1"/>
  <c r="E80" i="85" s="1"/>
  <c r="E81" i="85" s="1"/>
  <c r="L65" i="85"/>
  <c r="M65" i="85" s="1"/>
  <c r="L67" i="85"/>
  <c r="M67" i="85" s="1"/>
  <c r="L64" i="85"/>
  <c r="M64" i="85" s="1"/>
  <c r="L63" i="85"/>
  <c r="M63" i="85" s="1"/>
  <c r="L68" i="85"/>
  <c r="M68" i="85" s="1"/>
  <c r="L66" i="85"/>
  <c r="M66" i="85" s="1"/>
  <c r="C95" i="85"/>
  <c r="D19" i="9"/>
  <c r="D102" i="9" l="1"/>
  <c r="D21" i="9"/>
  <c r="D22" i="9"/>
  <c r="G19" i="9"/>
  <c r="B3" i="12"/>
  <c r="C81" i="85"/>
  <c r="C97" i="85"/>
  <c r="D58" i="85" s="1"/>
  <c r="D56" i="85" s="1"/>
  <c r="M54" i="85" s="1"/>
  <c r="N57" i="85" s="1"/>
  <c r="C96" i="85"/>
  <c r="E96" i="85" s="1"/>
  <c r="E97" i="85" s="1"/>
  <c r="M69" i="85"/>
  <c r="N69" i="85" s="1"/>
  <c r="D20" i="9"/>
  <c r="D45" i="9" l="1"/>
  <c r="M48" i="9" s="1"/>
  <c r="M49" i="9" s="1"/>
  <c r="D103" i="9"/>
  <c r="G20" i="9"/>
  <c r="C32" i="9"/>
  <c r="M21" i="12"/>
  <c r="M22" i="12" s="1"/>
  <c r="D14" i="74"/>
  <c r="G21" i="9"/>
  <c r="K22" i="9"/>
  <c r="K23" i="9"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35" i="9" l="1"/>
  <c r="F118" i="9" s="1"/>
  <c r="H118" i="9"/>
  <c r="E14" i="74"/>
  <c r="F14" i="74"/>
  <c r="B5" i="74"/>
  <c r="G14" i="74"/>
  <c r="M69" i="9"/>
  <c r="N69" i="9" s="1"/>
  <c r="C79" i="9"/>
  <c r="C80" i="9" s="1"/>
  <c r="E80" i="9" s="1"/>
  <c r="E81" i="9" s="1"/>
  <c r="C95" i="9"/>
  <c r="N61" i="85"/>
  <c r="H112" i="85" s="1"/>
  <c r="L22" i="85"/>
  <c r="L23" i="85" s="1"/>
  <c r="N60" i="85"/>
  <c r="H111" i="85"/>
  <c r="D126" i="85" s="1"/>
  <c r="D127" i="85" s="1"/>
  <c r="C34" i="9" l="1"/>
  <c r="D118" i="9" s="1"/>
  <c r="B6" i="74"/>
  <c r="D4" i="52"/>
  <c r="B47" i="72" s="1"/>
  <c r="D119" i="9"/>
  <c r="D5" i="52" s="1"/>
  <c r="B49" i="72" s="1"/>
  <c r="C5" i="74"/>
  <c r="D5" i="74"/>
  <c r="I118" i="9"/>
  <c r="H101" i="9"/>
  <c r="H4" i="52"/>
  <c r="H119" i="9"/>
  <c r="H5" i="52" s="1"/>
  <c r="C104" i="9"/>
  <c r="G118" i="9"/>
  <c r="G4" i="52" s="1"/>
  <c r="B52" i="72" s="1"/>
  <c r="F119" i="9"/>
  <c r="F5" i="52" s="1"/>
  <c r="B53" i="72" s="1"/>
  <c r="F4" i="52"/>
  <c r="B51" i="72" s="1"/>
  <c r="C81" i="9"/>
  <c r="C96" i="9"/>
  <c r="E96" i="9" s="1"/>
  <c r="E97" i="9" s="1"/>
  <c r="C97" i="9" l="1"/>
  <c r="D58" i="9" s="1"/>
  <c r="D56" i="9" s="1"/>
  <c r="M54" i="9" s="1"/>
  <c r="N57" i="9" s="1"/>
  <c r="N58" i="9" s="1"/>
  <c r="D5" i="53"/>
  <c r="H107" i="9"/>
  <c r="C105" i="9"/>
  <c r="E118" i="9"/>
  <c r="E4" i="52" s="1"/>
  <c r="B48" i="72" s="1"/>
  <c r="H102" i="9"/>
  <c r="D7" i="53" s="1"/>
  <c r="B21" i="72" s="1"/>
  <c r="I4" i="52"/>
  <c r="D6" i="74"/>
  <c r="C6" i="74"/>
  <c r="N59" i="9" l="1"/>
  <c r="I14" i="74" s="1"/>
  <c r="P57" i="9"/>
  <c r="D13" i="53"/>
  <c r="H108" i="9"/>
  <c r="D15" i="53" s="1"/>
  <c r="B31" i="72" s="1"/>
  <c r="D122" i="9"/>
  <c r="B20" i="72"/>
  <c r="D6" i="53"/>
  <c r="B22" i="72" s="1"/>
  <c r="L22" i="9"/>
  <c r="L23" i="9" s="1"/>
  <c r="N60" i="9"/>
  <c r="H111" i="9"/>
  <c r="N61" i="9" l="1"/>
  <c r="H112" i="9" s="1"/>
  <c r="D21" i="53" s="1"/>
  <c r="B39" i="72" s="1"/>
  <c r="D123" i="9"/>
  <c r="D9" i="52" s="1"/>
  <c r="D8" i="52"/>
  <c r="B30" i="72"/>
  <c r="D14" i="53"/>
  <c r="B32" i="72" s="1"/>
  <c r="D19" i="53"/>
  <c r="D126" i="9"/>
  <c r="D12" i="52" l="1"/>
  <c r="D127" i="9"/>
  <c r="D13" i="52" s="1"/>
  <c r="B38" i="72"/>
  <c r="D20" i="53"/>
  <c r="B40" i="72" s="1"/>
  <c r="N6" i="81" l="1"/>
  <c r="D45" i="83" s="1"/>
  <c r="M48" i="83" l="1"/>
  <c r="M49" i="83" s="1"/>
  <c r="C93" i="83"/>
  <c r="C86" i="83" s="1"/>
  <c r="D55" i="83"/>
  <c r="M53" i="83" s="1"/>
  <c r="D52" i="83"/>
  <c r="D53" i="83"/>
  <c r="D48" i="83" s="1"/>
  <c r="M52" i="83" s="1"/>
  <c r="C72" i="83"/>
  <c r="C85" i="83"/>
  <c r="C64" i="83"/>
  <c r="C63" i="83" s="1"/>
  <c r="C67" i="83" s="1"/>
  <c r="C68" i="83" s="1"/>
  <c r="D54" i="83" s="1"/>
  <c r="C78" i="83"/>
  <c r="C73" i="83" s="1"/>
  <c r="C95" i="83" l="1"/>
  <c r="C96" i="83" s="1"/>
  <c r="E96" i="83" s="1"/>
  <c r="E97" i="83" s="1"/>
  <c r="C79" i="83"/>
  <c r="L65" i="83"/>
  <c r="M65" i="83" s="1"/>
  <c r="L64" i="83"/>
  <c r="M64" i="83" s="1"/>
  <c r="L68" i="83"/>
  <c r="M68" i="83" s="1"/>
  <c r="L66" i="83"/>
  <c r="M66" i="83" s="1"/>
  <c r="L63" i="83"/>
  <c r="M63" i="83" s="1"/>
  <c r="L67" i="83"/>
  <c r="M67" i="83" s="1"/>
  <c r="C97" i="83" l="1"/>
  <c r="D58" i="83" s="1"/>
  <c r="D56" i="83" s="1"/>
  <c r="M54" i="83" s="1"/>
  <c r="N57" i="83" s="1"/>
  <c r="P57" i="83" s="1"/>
  <c r="M69" i="83"/>
  <c r="N69" i="83" s="1"/>
  <c r="C80" i="83"/>
  <c r="E80" i="83" s="1"/>
  <c r="E81" i="83" s="1"/>
  <c r="C81" i="83"/>
  <c r="N59" i="83" l="1"/>
  <c r="N58" i="83"/>
  <c r="N61" i="83"/>
  <c r="H112" i="83" s="1"/>
  <c r="N60" i="83"/>
  <c r="L22" i="83"/>
  <c r="L23" i="83" s="1"/>
  <c r="H111" i="83"/>
  <c r="D126" i="83" s="1"/>
  <c r="D127" i="83" s="1"/>
  <c r="M5" i="81" l="1"/>
  <c r="K5" i="81" l="1"/>
  <c r="O5" i="81" s="1"/>
  <c r="K6" i="81"/>
  <c r="O6" i="81" s="1"/>
  <c r="B8" i="74" l="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<sst xmlns="http://schemas.openxmlformats.org/spreadsheetml/2006/main" count="16149" uniqueCount="4273">
  <si>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</si>
  <si>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</si>
  <si>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</si>
  <si>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</si>
  <si>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</si>
  <si>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</si>
  <si>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</si>
  <si>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</si>
  <si>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</si>
  <si>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</si>
  <si>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</si>
  <si>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</si>
  <si>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</si>
  <si>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</si>
  <si>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</si>
  <si>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</si>
  <si>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</si>
  <si>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</si>
  <si>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</si>
  <si>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</si>
  <si>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</si>
  <si>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</si>
  <si>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</si>
  <si>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</si>
  <si>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</si>
  <si>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</si>
  <si>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</si>
  <si>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</si>
  <si>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</si>
  <si>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</si>
  <si>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</si>
  <si>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</si>
  <si>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</si>
  <si>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</si>
  <si>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</si>
  <si>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</si>
  <si>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</si>
  <si>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</si>
  <si>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</si>
  <si>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</si>
  <si>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</si>
  <si>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</si>
  <si>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</si>
  <si>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</si>
  <si>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</si>
  <si>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</si>
  <si>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</si>
  <si>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</si>
  <si>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</si>
  <si>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</si>
  <si>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</si>
  <si>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</si>
  <si>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</si>
  <si>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</si>
  <si>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</si>
  <si>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</si>
  <si>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</si>
  <si>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</si>
  <si>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</si>
  <si>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</si>
  <si>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</si>
  <si>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</si>
  <si>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</si>
  <si>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</si>
  <si>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</si>
  <si>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</si>
  <si>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</si>
  <si>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</si>
  <si>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</si>
  <si>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</si>
  <si>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</si>
  <si>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</si>
  <si>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</si>
  <si>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</si>
  <si>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</si>
  <si>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</si>
  <si>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</si>
  <si>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</si>
  <si>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</si>
  <si>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</si>
  <si>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</si>
  <si>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</si>
  <si>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</si>
  <si>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</si>
  <si>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</si>
  <si>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</si>
  <si>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</si>
  <si>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</si>
  <si>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</si>
  <si>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</si>
  <si>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</si>
  <si>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</si>
  <si>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</si>
  <si>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</si>
  <si>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</si>
  <si>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</si>
  <si>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</si>
  <si>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</si>
  <si>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</si>
  <si>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</si>
  <si>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</si>
  <si>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</si>
  <si>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</si>
  <si>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</si>
  <si>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</si>
  <si>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</si>
  <si>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</si>
  <si>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</si>
  <si>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</si>
  <si>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</si>
  <si>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</si>
  <si>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</si>
  <si>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</si>
  <si>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</si>
  <si>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</si>
  <si>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</si>
  <si>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</si>
  <si>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</si>
  <si>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</si>
  <si>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</si>
  <si>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</si>
  <si>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</si>
  <si>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</si>
  <si>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</si>
  <si>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</si>
  <si>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</si>
  <si>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</si>
  <si>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</si>
  <si>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</si>
  <si>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</si>
  <si>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</si>
  <si>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</si>
  <si>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</si>
  <si>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</si>
  <si>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</si>
  <si>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</si>
  <si>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</si>
  <si>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</si>
  <si>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</si>
  <si>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</si>
  <si>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</si>
  <si>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</si>
  <si>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</si>
  <si>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</si>
  <si>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</si>
  <si>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</si>
  <si>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</si>
  <si>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</si>
  <si>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</si>
  <si>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</si>
  <si>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</si>
  <si>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</si>
  <si>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</si>
  <si>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</si>
  <si>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</si>
  <si>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</si>
  <si>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</si>
  <si>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</si>
  <si>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</si>
  <si>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</si>
  <si>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</si>
  <si>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</si>
  <si>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</si>
  <si>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</si>
  <si>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</si>
  <si>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</si>
  <si>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</si>
  <si>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</si>
  <si>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</si>
  <si>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</si>
  <si>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</si>
  <si>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</si>
  <si>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</si>
  <si>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</si>
  <si>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</si>
  <si>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</si>
  <si>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</si>
  <si>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</si>
  <si>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</si>
  <si>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</si>
  <si>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</si>
  <si>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</si>
  <si>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</si>
  <si>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</si>
  <si>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</si>
  <si>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</si>
  <si>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</si>
  <si>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</si>
  <si>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</si>
  <si>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</si>
  <si>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</si>
  <si>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</si>
  <si>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</si>
  <si>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</si>
  <si>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</si>
  <si>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</si>
  <si>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</si>
  <si>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</si>
  <si>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</si>
  <si>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</si>
  <si>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</si>
  <si>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</si>
  <si>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</si>
  <si>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</si>
  <si>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</si>
  <si>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</si>
  <si>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</si>
  <si>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</si>
  <si>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</si>
  <si>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</si>
  <si>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</si>
  <si>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</si>
  <si>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</si>
  <si>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</si>
  <si>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</si>
  <si>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</si>
  <si>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</si>
  <si>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</si>
  <si>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</si>
  <si>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</si>
  <si>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</si>
  <si>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</si>
  <si>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</si>
  <si>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</si>
  <si>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</si>
  <si>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</si>
  <si>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</si>
  <si>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</si>
  <si>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</si>
  <si>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</si>
  <si>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</si>
  <si>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</si>
  <si>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</si>
  <si>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</si>
  <si>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</si>
  <si>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</si>
  <si>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</si>
  <si>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</si>
  <si>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</si>
  <si>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</si>
  <si>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</si>
  <si>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</si>
  <si>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</si>
  <si>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</si>
  <si>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</si>
  <si>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</si>
  <si>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</si>
  <si>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</si>
  <si>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</si>
  <si>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</si>
  <si>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</si>
  <si>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</si>
  <si>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</si>
  <si>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</si>
  <si>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</si>
  <si>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</si>
  <si>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</si>
  <si>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</si>
  <si>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</si>
  <si>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</si>
  <si>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</si>
  <si>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</si>
  <si>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</si>
  <si>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</si>
  <si>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</si>
  <si>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</si>
  <si>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</si>
  <si>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</si>
  <si>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</si>
  <si>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</si>
  <si>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</si>
  <si>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</si>
  <si>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</si>
  <si>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</si>
  <si>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</si>
  <si>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</si>
  <si>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</si>
  <si>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</si>
  <si>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</si>
  <si>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</si>
  <si>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</si>
  <si>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</si>
  <si>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</si>
  <si>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</si>
  <si>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</si>
  <si>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</si>
  <si>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</si>
  <si>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</si>
  <si>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</si>
  <si>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</si>
  <si>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</si>
  <si>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</si>
  <si>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</si>
  <si>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</si>
  <si>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</si>
  <si>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</si>
  <si>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</si>
  <si>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</si>
  <si>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</si>
  <si>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</si>
  <si>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</si>
  <si>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</si>
  <si>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</si>
  <si>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</si>
  <si>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</si>
  <si>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</si>
  <si>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</si>
  <si>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</si>
  <si>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</si>
  <si>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</si>
  <si>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</si>
  <si>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</si>
  <si>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</si>
  <si>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</si>
  <si>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</si>
  <si>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</si>
  <si>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</si>
  <si>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</si>
  <si>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</si>
  <si>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</si>
  <si>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</si>
  <si>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</si>
  <si>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</si>
  <si>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</si>
  <si>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</si>
  <si>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</si>
  <si>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</si>
  <si>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</si>
  <si>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</si>
  <si>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</si>
  <si>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</si>
  <si>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</si>
  <si>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</si>
  <si>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</si>
  <si>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</si>
  <si>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</si>
  <si>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</si>
  <si>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</si>
  <si>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</si>
  <si>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</si>
  <si>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</si>
  <si>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</si>
  <si>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</si>
  <si>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</si>
  <si>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</si>
  <si>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</si>
  <si>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</si>
  <si>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</si>
  <si>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</si>
  <si>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</si>
  <si>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</si>
  <si>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</si>
  <si>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</si>
  <si>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</si>
  <si>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</si>
  <si>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</si>
  <si>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</si>
  <si>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</si>
  <si>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</si>
  <si>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</si>
  <si>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</si>
  <si>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</si>
  <si>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</si>
  <si>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</si>
  <si>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</si>
  <si>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</si>
  <si>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</si>
  <si>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</si>
  <si>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</si>
  <si>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</si>
  <si>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</si>
  <si>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</si>
  <si>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</si>
  <si>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</si>
  <si>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</si>
  <si>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</si>
  <si>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</si>
  <si>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</si>
  <si>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</si>
  <si>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</si>
  <si>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</si>
  <si>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</si>
  <si>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</si>
  <si>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</si>
  <si>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</si>
  <si>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</si>
  <si>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</si>
  <si>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</si>
  <si>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</si>
  <si>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</si>
  <si>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</si>
  <si>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</si>
  <si>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</si>
  <si>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</si>
  <si>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</si>
  <si>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</si>
  <si>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</si>
  <si>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</si>
  <si>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</si>
  <si>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</si>
  <si>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</si>
  <si>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</si>
  <si>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</si>
  <si>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</si>
  <si>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</si>
  <si>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</si>
  <si>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</si>
  <si>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</si>
  <si>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</si>
  <si>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</si>
  <si>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</si>
  <si>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</si>
  <si>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</si>
  <si>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</si>
  <si>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</si>
  <si>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</si>
  <si>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</si>
  <si>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</si>
  <si>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</si>
  <si>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</si>
  <si>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</si>
  <si>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</si>
  <si>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</si>
  <si>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</si>
  <si>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</si>
  <si>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</si>
  <si>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</si>
  <si>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</si>
  <si>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</si>
  <si>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</si>
  <si>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</si>
  <si>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</si>
  <si>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</si>
  <si>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</si>
  <si>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</si>
  <si>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</si>
  <si>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</si>
  <si>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</si>
  <si>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</si>
  <si>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</si>
  <si>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</si>
  <si>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</si>
  <si>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</si>
  <si>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</si>
  <si>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</si>
  <si>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</si>
  <si>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</si>
  <si>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</si>
  <si>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</si>
  <si>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</si>
  <si>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</si>
  <si>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</si>
  <si>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</si>
  <si>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</si>
  <si>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</si>
  <si>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</si>
  <si>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</si>
  <si>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</si>
  <si>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</si>
  <si>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</si>
  <si>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</si>
  <si>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</si>
  <si>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</si>
  <si>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</si>
  <si>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</si>
  <si>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</si>
  <si>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</si>
  <si>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</si>
  <si>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</si>
  <si>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</si>
  <si>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</si>
  <si>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</si>
  <si>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</si>
  <si>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</si>
  <si>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</si>
  <si>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</si>
  <si>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</si>
  <si>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</si>
  <si>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</si>
  <si>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</si>
  <si>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</si>
  <si>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</si>
  <si>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</si>
  <si>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</si>
  <si>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</si>
  <si>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</si>
  <si>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</si>
  <si>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</si>
  <si>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</si>
  <si>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</si>
  <si>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</si>
  <si>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</si>
  <si>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</si>
  <si>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</si>
  <si>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</si>
  <si>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</si>
  <si>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</si>
  <si>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</si>
  <si>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</si>
  <si>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</si>
  <si>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</si>
  <si>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</si>
  <si>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</si>
  <si>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</si>
  <si>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</si>
  <si>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</si>
  <si>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</si>
  <si>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</si>
  <si>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</si>
  <si>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</si>
  <si>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</si>
  <si>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</si>
  <si>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</si>
  <si>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</si>
  <si>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</si>
  <si>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</si>
  <si>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</si>
  <si>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</si>
  <si>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</si>
  <si>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</si>
  <si>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</si>
  <si>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</si>
  <si>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</si>
  <si>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</si>
  <si>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</si>
  <si>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</si>
  <si>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</si>
  <si>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</si>
  <si>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</si>
  <si>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</si>
  <si>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</si>
  <si>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</si>
  <si>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</si>
  <si>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</si>
  <si>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</si>
  <si>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</si>
  <si>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</si>
  <si>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</si>
  <si>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</si>
  <si>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</si>
  <si>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</si>
  <si>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</si>
  <si>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</si>
  <si>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</si>
  <si>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</si>
  <si>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</si>
  <si>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</si>
  <si>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</si>
  <si>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</si>
  <si>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</si>
  <si>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</si>
  <si>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</si>
  <si>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</si>
  <si>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</si>
  <si>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</si>
  <si>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</si>
  <si>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</si>
  <si>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</si>
  <si>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</si>
  <si>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</si>
  <si>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</si>
  <si>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</si>
  <si>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</si>
  <si>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</si>
  <si>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</si>
  <si>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</si>
  <si>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</si>
  <si>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</si>
  <si>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</si>
  <si>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</si>
  <si>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</si>
  <si>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</si>
  <si>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</si>
  <si>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</si>
  <si>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</si>
  <si>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</si>
  <si>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</si>
  <si>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</si>
  <si>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</si>
  <si>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</si>
  <si>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</si>
  <si>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</si>
  <si>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</si>
  <si>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</si>
  <si>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</si>
  <si>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</si>
  <si>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</si>
  <si>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</si>
  <si>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</si>
  <si>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</si>
  <si>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</si>
  <si>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</si>
  <si>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</si>
  <si>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</si>
  <si>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</si>
  <si>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</si>
  <si>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</si>
  <si>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</si>
  <si>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</si>
  <si>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</si>
  <si>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</si>
  <si>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</si>
  <si>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</si>
  <si>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</si>
  <si>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</si>
  <si>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</si>
  <si>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</si>
  <si>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</si>
  <si>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</si>
  <si>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</si>
  <si>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</si>
  <si>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</si>
  <si>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</si>
  <si>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</si>
  <si>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</si>
  <si>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</si>
  <si>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</si>
  <si>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</si>
  <si>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</si>
  <si>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</si>
  <si>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</si>
  <si>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</si>
  <si>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</si>
  <si>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</si>
  <si>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</si>
  <si>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</si>
  <si>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</si>
  <si>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</si>
  <si>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</si>
  <si>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</si>
  <si>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</si>
  <si>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</si>
  <si>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</si>
  <si>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</si>
  <si>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</si>
  <si>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</si>
  <si>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</si>
  <si>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</si>
  <si>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</si>
  <si>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</si>
  <si>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</si>
  <si>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</si>
  <si>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</si>
  <si>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</si>
  <si>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</si>
  <si>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</si>
  <si>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</si>
  <si>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</si>
  <si>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</si>
  <si>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</si>
  <si>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</si>
  <si>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</si>
  <si>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</si>
  <si>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</si>
  <si>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</si>
  <si>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</si>
  <si>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</si>
  <si>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</si>
  <si>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</si>
  <si>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</si>
  <si>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</si>
  <si>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</si>
  <si>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</si>
  <si>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</si>
  <si>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</si>
  <si>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</si>
  <si>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</si>
  <si>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</si>
  <si>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</si>
  <si>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</si>
  <si>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</si>
  <si>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</si>
  <si>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</si>
  <si>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</si>
  <si>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</si>
  <si>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</si>
  <si>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</si>
  <si>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</si>
  <si>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</si>
  <si>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</si>
  <si>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</si>
  <si>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</si>
  <si>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</si>
  <si>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</si>
  <si>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</si>
  <si>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</si>
  <si>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</si>
  <si>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</si>
  <si>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</si>
  <si>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</si>
  <si>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</si>
  <si>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</si>
  <si>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</si>
  <si>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</si>
  <si>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</si>
  <si>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</si>
  <si>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</si>
  <si>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</si>
  <si>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</si>
  <si>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</si>
  <si>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</si>
  <si>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</si>
  <si>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</si>
  <si>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</si>
  <si>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</si>
  <si>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</si>
  <si>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</si>
  <si>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</si>
  <si>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</si>
  <si>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</si>
  <si>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</si>
  <si>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</si>
  <si>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</si>
  <si>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</si>
  <si>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</si>
  <si>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</si>
  <si>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</si>
  <si>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</si>
  <si>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</si>
  <si>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</si>
  <si>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</si>
  <si>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</si>
  <si>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</si>
  <si>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</si>
  <si>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</si>
  <si>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</si>
  <si>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</si>
  <si>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</si>
  <si>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</si>
  <si>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</si>
  <si>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</si>
  <si>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</si>
  <si>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</si>
  <si>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</si>
  <si>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</si>
  <si>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</si>
  <si>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</si>
  <si>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</si>
  <si>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</si>
  <si>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</si>
  <si>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</si>
  <si>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</si>
  <si>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</si>
  <si>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</si>
  <si>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</si>
  <si>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</si>
  <si>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</si>
  <si>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</si>
  <si>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</si>
  <si>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</si>
  <si>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</si>
  <si>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</si>
  <si>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</si>
  <si>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</si>
  <si>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</si>
  <si>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</si>
  <si>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</si>
  <si>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</si>
  <si>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</si>
  <si>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</si>
  <si>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</si>
  <si>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</si>
  <si>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</si>
  <si>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</si>
  <si>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</si>
  <si>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</si>
  <si>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</si>
  <si>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</si>
  <si>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</si>
  <si>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</si>
  <si>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</si>
  <si>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</si>
  <si>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</si>
  <si>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</si>
  <si>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</si>
  <si>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</si>
  <si>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</si>
  <si>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</si>
  <si>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</si>
  <si>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</si>
  <si>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</si>
  <si>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</si>
  <si>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</si>
  <si>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</si>
  <si>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</si>
  <si>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</si>
  <si>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</si>
  <si>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</si>
  <si>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</si>
  <si>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</si>
  <si>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</si>
  <si>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</si>
  <si>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</si>
  <si>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</si>
  <si>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</si>
  <si>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</si>
  <si>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</si>
  <si>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</si>
  <si>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</si>
  <si>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</si>
  <si>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</si>
  <si>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</si>
  <si>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</si>
  <si>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</si>
  <si>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</si>
  <si>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</si>
  <si>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</si>
  <si>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</si>
  <si>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</si>
  <si>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</si>
  <si>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</si>
  <si>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</si>
  <si>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</si>
  <si>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</si>
  <si>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</si>
  <si>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</si>
  <si>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</si>
  <si>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</si>
  <si>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</si>
  <si>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</si>
  <si>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</si>
  <si>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</si>
  <si>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</si>
  <si>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</si>
  <si>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</si>
  <si>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</si>
  <si>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</si>
  <si>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</si>
  <si>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</si>
  <si>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</si>
  <si>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</si>
  <si>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</si>
  <si>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</si>
  <si>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</si>
  <si>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</si>
  <si>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</si>
  <si>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</si>
  <si>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</si>
  <si>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</si>
  <si>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</si>
  <si>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</si>
  <si>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</si>
  <si>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</si>
  <si>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</si>
  <si>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</si>
  <si>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</si>
  <si>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</si>
  <si>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</si>
  <si>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</si>
  <si>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</si>
  <si>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</si>
  <si>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</si>
  <si>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</si>
  <si>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</si>
  <si>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</si>
  <si>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</si>
  <si>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</si>
  <si>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</si>
  <si>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</si>
  <si>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</si>
  <si>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</si>
  <si>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</si>
  <si>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</si>
  <si>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</si>
  <si>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</si>
  <si>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</si>
  <si>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</si>
  <si>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</si>
  <si>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</si>
  <si>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</si>
  <si>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</si>
  <si>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</si>
  <si>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</si>
  <si>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</si>
  <si>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</si>
  <si>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</si>
  <si>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</si>
  <si>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</si>
  <si>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</si>
  <si>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</si>
  <si>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</si>
  <si>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</si>
  <si>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</si>
  <si>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</si>
  <si>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</si>
  <si>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</si>
  <si>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</si>
  <si>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</si>
  <si>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</si>
  <si>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</si>
  <si>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</si>
  <si>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</si>
  <si>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</si>
  <si>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</si>
  <si>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</si>
  <si>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</si>
  <si>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</si>
  <si>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</si>
  <si>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</si>
  <si>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</si>
  <si>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</si>
  <si>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</si>
  <si>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</si>
  <si>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</si>
  <si>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</si>
  <si>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</si>
  <si>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</si>
  <si>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</si>
  <si>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</si>
  <si>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</si>
  <si>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</si>
  <si>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</si>
  <si>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</si>
  <si>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</si>
  <si>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</si>
  <si>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</si>
  <si>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</si>
  <si>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</si>
  <si>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</si>
  <si>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</si>
  <si>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</si>
  <si>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</si>
  <si>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</si>
  <si>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</si>
  <si>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</si>
  <si>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</si>
  <si>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</si>
  <si>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</si>
  <si>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</si>
  <si>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</si>
  <si>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</si>
  <si>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</si>
  <si>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</si>
  <si>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</si>
  <si>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</si>
  <si>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</si>
  <si>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</si>
  <si>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</si>
  <si>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</si>
  <si>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</si>
  <si>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</si>
  <si>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</si>
  <si>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</si>
  <si>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</si>
  <si>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</si>
  <si>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</si>
  <si>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</si>
  <si>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</si>
  <si>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</si>
  <si>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</si>
  <si>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</si>
  <si>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</si>
  <si>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</si>
  <si>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</si>
  <si>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</si>
  <si>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</si>
  <si>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</si>
  <si>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</si>
  <si>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</si>
  <si>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</si>
  <si>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</si>
  <si>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</si>
  <si>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</si>
  <si>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</si>
  <si>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</si>
  <si>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</si>
  <si>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</si>
  <si>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</si>
  <si>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</si>
  <si>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</si>
  <si>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</si>
  <si>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</si>
  <si>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</si>
  <si>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</si>
  <si>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</si>
  <si>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</si>
  <si>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</si>
  <si>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</si>
  <si>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</si>
  <si>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</si>
  <si>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</si>
  <si>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</si>
  <si>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</si>
  <si>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</si>
  <si>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</si>
  <si>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</si>
  <si>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</si>
  <si>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</si>
  <si>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</si>
  <si>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</si>
  <si>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</si>
  <si>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</si>
  <si>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</si>
  <si>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</si>
  <si>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</si>
  <si>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</si>
  <si>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</si>
  <si>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</si>
  <si>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</si>
  <si>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</si>
  <si>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</si>
  <si>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</si>
  <si>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</si>
  <si>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</si>
  <si>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</si>
  <si>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</si>
  <si>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</si>
  <si>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</si>
  <si>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</si>
  <si>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</si>
  <si>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</si>
  <si>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</si>
  <si>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</si>
  <si>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</si>
  <si>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</si>
  <si>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</si>
  <si>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</si>
  <si>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</si>
  <si>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</si>
  <si>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</si>
  <si>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</si>
  <si>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</si>
  <si>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</si>
  <si>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</si>
  <si>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</si>
  <si>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</si>
  <si>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</si>
  <si>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</si>
  <si>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</si>
  <si>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</si>
  <si>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</si>
  <si>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</si>
  <si>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</si>
  <si>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</si>
  <si>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</si>
  <si>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</si>
  <si>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</si>
  <si>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</si>
  <si>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</si>
  <si>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</si>
  <si>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</si>
  <si>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</si>
  <si>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</si>
  <si>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</si>
  <si>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</si>
  <si>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</si>
  <si>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</si>
  <si>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</si>
  <si>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</si>
  <si>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</si>
  <si>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</si>
  <si>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</si>
  <si>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</si>
  <si>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</si>
  <si>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</si>
  <si>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</si>
  <si>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</si>
  <si>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</si>
  <si>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</si>
  <si>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</si>
  <si>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</si>
  <si>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</si>
  <si>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</si>
  <si>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</si>
  <si>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</si>
  <si>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</si>
  <si>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</si>
  <si>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</si>
  <si>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</si>
  <si>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</si>
  <si>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</si>
  <si>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</si>
  <si>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</si>
  <si>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</si>
  <si>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</si>
  <si>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</si>
  <si>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</si>
  <si>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</si>
  <si>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</si>
  <si>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</si>
  <si>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</si>
  <si>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</si>
  <si>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</si>
  <si>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</si>
  <si>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</si>
  <si>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</si>
  <si>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</si>
  <si>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</si>
  <si>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</si>
  <si>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</si>
  <si>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</si>
  <si>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</si>
  <si>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</si>
  <si>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</si>
  <si>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</si>
  <si>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</si>
  <si>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</si>
  <si>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</si>
  <si>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</si>
  <si>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</si>
  <si>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</si>
  <si>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</si>
  <si>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</si>
  <si>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</si>
  <si>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</si>
  <si>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</si>
  <si>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</si>
  <si>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</si>
  <si>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</si>
  <si>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</si>
  <si>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</si>
  <si>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</si>
  <si>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</si>
  <si>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</si>
  <si>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</si>
  <si>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</si>
  <si>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</si>
  <si>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</si>
  <si>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</si>
  <si>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</si>
  <si>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</si>
  <si>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</si>
  <si>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</si>
  <si>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</si>
  <si>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</si>
  <si>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</si>
  <si>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</si>
  <si>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</si>
  <si>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</si>
  <si>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</si>
  <si>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</si>
  <si>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</si>
  <si>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</si>
  <si>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</si>
  <si>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</si>
  <si>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</si>
  <si>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</si>
  <si>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</si>
  <si>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</si>
  <si>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</si>
  <si>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</si>
  <si>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</si>
  <si>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</si>
  <si>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</si>
  <si>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</si>
  <si>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</si>
  <si>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</si>
  <si>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</si>
  <si>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</si>
  <si>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</si>
  <si>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</si>
  <si>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</si>
  <si>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</si>
  <si>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</si>
  <si>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</si>
  <si>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</si>
  <si>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</si>
  <si>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</si>
  <si>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</si>
  <si>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</si>
  <si>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</si>
  <si>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</si>
  <si>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</si>
  <si>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</si>
  <si>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</si>
  <si>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</si>
  <si>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</si>
  <si>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</si>
  <si>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</si>
  <si>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</si>
  <si>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</si>
  <si>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</si>
  <si>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</si>
  <si>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</si>
  <si>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</si>
  <si>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</si>
  <si>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</si>
  <si>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</si>
  <si>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</si>
  <si>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</si>
  <si>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</si>
  <si>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</si>
  <si>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</si>
  <si>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</si>
  <si>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</si>
  <si>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</si>
  <si>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</si>
  <si>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</si>
  <si>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</si>
  <si>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</si>
  <si>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</si>
  <si>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</si>
  <si>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</si>
  <si>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</si>
  <si>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</si>
  <si>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</si>
  <si>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</si>
  <si>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</si>
  <si>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</si>
  <si>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</si>
  <si>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</si>
  <si>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</si>
  <si>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</si>
  <si>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</si>
  <si>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</si>
  <si>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</si>
  <si>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</si>
  <si>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</si>
  <si>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</si>
  <si>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</si>
  <si>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</si>
  <si>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</si>
  <si>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</si>
  <si>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</si>
  <si>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</si>
  <si>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</si>
  <si>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</si>
  <si>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</si>
  <si>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</si>
  <si>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</si>
  <si>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</si>
  <si>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</si>
  <si>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</si>
  <si>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</si>
  <si>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</si>
  <si>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</si>
  <si>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</si>
  <si>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</si>
  <si>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</si>
  <si>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</si>
  <si>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</si>
  <si>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</si>
  <si>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</si>
  <si>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</si>
  <si>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</si>
  <si>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</si>
  <si>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</si>
  <si>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</si>
  <si>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</si>
  <si>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</si>
  <si>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</si>
  <si>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</si>
  <si>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</si>
  <si>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</si>
  <si>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</si>
  <si>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</si>
  <si>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</si>
  <si>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</si>
  <si>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</si>
  <si>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</si>
  <si>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</si>
  <si>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</si>
  <si>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</si>
  <si>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</si>
  <si>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</si>
  <si>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</si>
  <si>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</si>
  <si>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</si>
  <si>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</si>
  <si>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</si>
  <si>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</si>
  <si>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</si>
  <si>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</si>
  <si>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</si>
  <si>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</si>
  <si>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</si>
  <si>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</si>
  <si>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</si>
  <si>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</si>
  <si>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</si>
  <si>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</si>
  <si>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</si>
  <si>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</si>
  <si>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</si>
  <si>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</si>
  <si>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</si>
  <si>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</si>
  <si>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</si>
  <si>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</si>
  <si>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</si>
  <si>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</si>
  <si>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</si>
  <si>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</si>
  <si>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</si>
  <si>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</si>
  <si>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</si>
  <si>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</si>
  <si>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</si>
  <si>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</si>
  <si>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</si>
  <si>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</si>
  <si>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</si>
  <si>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</si>
  <si>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</si>
  <si>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</si>
  <si>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</si>
  <si>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</si>
  <si>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</si>
  <si>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</si>
  <si>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</si>
  <si>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</si>
  <si>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</si>
  <si>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</si>
  <si>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</si>
  <si>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</si>
  <si>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</si>
  <si>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</si>
  <si>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</si>
  <si>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</si>
  <si>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</si>
  <si>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</si>
  <si>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</si>
  <si>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</si>
  <si>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</si>
  <si>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</si>
  <si>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</si>
  <si>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</si>
  <si>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</si>
  <si>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</si>
  <si>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</si>
  <si>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</si>
  <si>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</si>
  <si>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</si>
  <si>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</si>
  <si>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</si>
  <si>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</si>
  <si>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</si>
  <si>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</si>
  <si>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</si>
  <si>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</si>
  <si>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</si>
  <si>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</si>
  <si>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</si>
  <si>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</si>
  <si>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</si>
  <si>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</si>
  <si>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</si>
  <si>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</si>
  <si>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</si>
  <si>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</si>
  <si>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</si>
  <si>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</si>
  <si>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</si>
  <si>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</si>
  <si>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</si>
  <si>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</si>
  <si>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</si>
  <si>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</si>
  <si>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</si>
  <si>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</si>
  <si>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</si>
  <si>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</si>
  <si>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</si>
  <si>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</si>
  <si>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</si>
  <si>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</si>
  <si>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</si>
  <si>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</si>
  <si>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</si>
  <si>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</si>
  <si>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</si>
  <si>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</si>
  <si>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</si>
  <si>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</si>
  <si>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</si>
  <si>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</si>
  <si>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</si>
  <si>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</si>
  <si>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</si>
  <si>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</si>
  <si>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</si>
  <si>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</si>
  <si>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</si>
  <si>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</si>
  <si>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</si>
  <si>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</si>
  <si>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</si>
  <si>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</si>
  <si>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</si>
  <si>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</si>
  <si>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</si>
  <si>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</si>
  <si>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</si>
  <si>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</si>
  <si>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</si>
  <si>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</si>
  <si>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</si>
  <si>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</si>
  <si>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</si>
  <si>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</si>
  <si>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</si>
  <si>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</si>
  <si>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</si>
  <si>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</si>
  <si>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</si>
  <si>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</si>
  <si>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</si>
  <si>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</si>
  <si>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</si>
  <si>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</si>
  <si>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</si>
  <si>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</si>
  <si>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</si>
  <si>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</si>
  <si>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</si>
  <si>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</si>
  <si>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</si>
  <si>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</si>
  <si>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</si>
  <si>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</si>
  <si>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</si>
  <si>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</si>
  <si>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</si>
  <si>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</si>
  <si>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</si>
  <si>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</si>
  <si>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</si>
  <si>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</si>
  <si>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</si>
  <si>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</si>
  <si>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</si>
  <si>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</si>
  <si>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</si>
  <si>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</si>
  <si>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</si>
  <si>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</si>
  <si>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</si>
  <si>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</si>
  <si>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</si>
  <si>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</si>
  <si>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</si>
  <si>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</si>
  <si>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</si>
  <si>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</si>
  <si>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</si>
  <si>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</si>
  <si>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</si>
  <si>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</si>
  <si>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</si>
  <si>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</si>
  <si>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</si>
  <si>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</si>
  <si>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</si>
  <si>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</si>
  <si>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</si>
  <si>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</si>
  <si>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</si>
  <si>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</si>
  <si>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</si>
  <si>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</si>
  <si>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</si>
  <si>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</si>
  <si>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</si>
  <si>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</si>
  <si>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</si>
  <si>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</si>
  <si>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</si>
  <si>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</si>
  <si>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</si>
  <si>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</si>
  <si>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</si>
  <si>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</si>
  <si>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</si>
  <si>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</si>
  <si>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</si>
  <si>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</si>
  <si>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</si>
  <si>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</si>
  <si>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</si>
  <si>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</si>
  <si>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</si>
  <si>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</si>
  <si>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</si>
  <si>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</si>
  <si>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</si>
  <si>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</si>
  <si>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</si>
  <si>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</si>
  <si>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</si>
  <si>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</si>
  <si>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</si>
  <si>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</si>
  <si>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</si>
  <si>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</si>
  <si>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</si>
  <si>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</si>
  <si>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</si>
  <si>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</si>
  <si>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</si>
  <si>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</si>
  <si>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</si>
  <si>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</si>
  <si>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</si>
  <si>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</si>
  <si>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</si>
  <si>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</si>
  <si>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</si>
  <si>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</si>
  <si>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</si>
  <si>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</si>
  <si>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</si>
  <si>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</si>
  <si>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</si>
  <si>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</si>
  <si>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</si>
  <si>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</si>
  <si>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</si>
  <si>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</si>
  <si>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</si>
  <si>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</si>
  <si>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</si>
  <si>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</si>
  <si>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</si>
  <si>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</si>
  <si>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</si>
  <si>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</si>
  <si>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</si>
  <si>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</si>
  <si>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</si>
  <si>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</si>
  <si>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</si>
  <si>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</si>
  <si>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</si>
  <si>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</si>
  <si>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</si>
  <si>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</si>
  <si>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</si>
  <si>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</si>
  <si>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</si>
  <si>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</si>
  <si>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</si>
  <si>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</si>
  <si>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</si>
  <si>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</si>
  <si>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</si>
  <si>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</si>
  <si>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</si>
  <si>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</si>
  <si>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</si>
  <si>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</si>
  <si>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</si>
  <si>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</si>
  <si>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</si>
  <si>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</si>
  <si>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</si>
  <si>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</si>
  <si>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</si>
  <si>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</si>
  <si>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</si>
  <si>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</si>
  <si>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</si>
  <si>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</si>
  <si>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</si>
  <si>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</si>
  <si>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</si>
  <si>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</si>
  <si>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</si>
  <si>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</si>
  <si>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</si>
  <si>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</si>
  <si>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</si>
  <si>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</si>
  <si>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</si>
  <si>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</si>
  <si>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</si>
  <si>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</si>
  <si>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</si>
  <si>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</si>
  <si>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</si>
  <si>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</si>
  <si>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</si>
  <si>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</si>
  <si>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</si>
  <si>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</si>
  <si>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</si>
  <si>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</si>
  <si>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</si>
  <si>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</si>
  <si>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</si>
  <si>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</si>
  <si>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</si>
  <si>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</si>
  <si>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</si>
  <si>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</si>
  <si>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</si>
  <si>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</si>
  <si>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</si>
  <si>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</si>
  <si>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</si>
  <si>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</si>
  <si>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</si>
  <si>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</si>
  <si>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</si>
  <si>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</si>
  <si>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</si>
  <si>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</si>
  <si>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</si>
  <si>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</si>
  <si>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</si>
  <si>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</si>
  <si>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</si>
  <si>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</si>
  <si>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</si>
  <si>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</si>
  <si>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</si>
  <si>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</si>
  <si>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</si>
  <si>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</si>
  <si>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</si>
  <si>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</si>
  <si>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</si>
  <si>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</si>
  <si>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</si>
  <si>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</si>
  <si>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</si>
  <si>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</si>
  <si>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</si>
  <si>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</si>
  <si>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</si>
  <si>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</si>
  <si>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</si>
  <si>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</si>
  <si>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</si>
  <si>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</si>
  <si>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</si>
  <si>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</si>
  <si>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</si>
  <si>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</si>
  <si>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</si>
  <si>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</si>
  <si>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</si>
  <si>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</si>
  <si>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</si>
  <si>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</si>
  <si>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</si>
  <si>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</si>
  <si>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</si>
  <si>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</si>
  <si>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</si>
  <si>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</si>
  <si>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</si>
  <si>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</si>
  <si>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</si>
  <si>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</si>
  <si>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</si>
  <si>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</si>
  <si>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</si>
  <si>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</si>
  <si>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</si>
  <si>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</si>
  <si>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</si>
  <si>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</si>
  <si>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</si>
  <si>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</si>
  <si>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</si>
  <si>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</si>
  <si>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</si>
  <si>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</si>
  <si>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</si>
  <si>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</si>
  <si>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</si>
  <si>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</si>
  <si>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</si>
  <si>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</si>
  <si>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</si>
  <si>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</si>
  <si>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</si>
  <si>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</si>
  <si>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</si>
  <si>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</si>
  <si>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</si>
  <si>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</si>
  <si>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</si>
  <si>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</si>
  <si>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</si>
  <si>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</si>
  <si>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</si>
  <si>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</si>
  <si>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</si>
  <si>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</si>
  <si>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</si>
  <si>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</si>
  <si>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</si>
  <si>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</si>
  <si>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</si>
  <si>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</si>
  <si>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</si>
  <si>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</si>
  <si>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</si>
  <si>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</si>
  <si>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</si>
  <si>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</si>
  <si>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</si>
  <si>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</si>
  <si>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</si>
  <si>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</si>
  <si>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</si>
  <si>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</si>
  <si>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</si>
  <si>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</si>
  <si>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</si>
  <si>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</si>
  <si>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</si>
  <si>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</si>
  <si>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</si>
  <si>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</si>
  <si>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</si>
  <si>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</si>
  <si>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</si>
  <si>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</si>
  <si>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</si>
  <si>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</si>
  <si>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</si>
  <si>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</si>
  <si>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</si>
  <si>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</si>
  <si>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</si>
  <si>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</si>
  <si>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</si>
  <si>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</si>
  <si>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</si>
  <si>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</si>
  <si>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</si>
  <si>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</si>
  <si>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</si>
  <si>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</si>
  <si>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</si>
  <si>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</si>
  <si>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</si>
  <si>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</si>
  <si>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</si>
  <si>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</si>
  <si>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</si>
  <si>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</si>
  <si>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</si>
  <si>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</si>
  <si>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</si>
  <si>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</si>
  <si>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</si>
  <si>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</si>
  <si>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</si>
  <si>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</si>
  <si>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</si>
  <si>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</si>
  <si>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</si>
  <si>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</si>
  <si>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</si>
  <si>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</si>
  <si>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</si>
  <si>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</si>
  <si>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</si>
  <si>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</si>
  <si>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</si>
  <si>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</si>
  <si>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</si>
  <si>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</si>
  <si>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</si>
  <si>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</si>
  <si>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</si>
  <si>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</si>
  <si>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</si>
  <si>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</si>
  <si>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</si>
  <si>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</si>
  <si>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</si>
  <si>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</si>
  <si>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</si>
  <si>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</si>
  <si>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</si>
  <si>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</si>
  <si>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</si>
  <si>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</si>
  <si>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</si>
  <si>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</si>
  <si>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</si>
  <si>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</si>
  <si>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</si>
  <si>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</si>
  <si>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</si>
  <si>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</si>
  <si>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</si>
  <si>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</si>
  <si>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</si>
  <si>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</si>
  <si>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</si>
  <si>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</si>
  <si>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</si>
  <si>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</si>
  <si>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</si>
  <si>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</si>
  <si>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</si>
  <si>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</si>
  <si>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</si>
  <si>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</si>
  <si>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</si>
  <si>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</si>
  <si>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</si>
  <si>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</si>
  <si>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</si>
  <si>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</si>
  <si>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</si>
  <si>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</si>
  <si>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</si>
  <si>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</si>
  <si>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</si>
  <si>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</si>
  <si>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</si>
  <si>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</si>
  <si>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</si>
  <si>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</si>
  <si>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</si>
  <si>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</si>
  <si>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</si>
  <si>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</si>
  <si>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</si>
  <si>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</si>
  <si>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</si>
  <si>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</si>
  <si>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</si>
  <si>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</si>
  <si>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</si>
  <si>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</si>
  <si>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</si>
  <si>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</si>
  <si>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</si>
  <si>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</si>
  <si>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</si>
  <si>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</si>
  <si>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</si>
  <si>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</si>
  <si>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</si>
  <si>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</si>
  <si>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</si>
  <si>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</si>
  <si>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</si>
  <si>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</si>
  <si>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</si>
  <si>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</si>
  <si>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</si>
  <si>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</si>
  <si>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</si>
  <si>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</si>
  <si>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</si>
  <si>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</si>
  <si>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</si>
  <si>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</si>
  <si>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</si>
  <si>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</si>
  <si>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</si>
  <si>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</si>
  <si>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</si>
  <si>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</si>
  <si>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</si>
  <si>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</si>
  <si>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</si>
  <si>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</si>
  <si>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</si>
  <si>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</si>
  <si>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</si>
  <si>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</si>
  <si>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</si>
  <si>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</si>
  <si>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</si>
  <si>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</si>
  <si>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</si>
  <si>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</si>
  <si>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</si>
  <si>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</si>
  <si>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</si>
  <si>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</si>
  <si>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</si>
  <si>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</si>
  <si>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</si>
  <si>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</si>
  <si>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</si>
  <si>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</si>
  <si>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</si>
  <si>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</si>
  <si>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</si>
  <si>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</si>
  <si>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</si>
  <si>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</si>
  <si>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</si>
  <si>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</si>
  <si>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</si>
  <si>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</si>
  <si>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</si>
  <si>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</si>
  <si>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</si>
  <si>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</si>
  <si>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</si>
  <si>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</si>
  <si>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</si>
  <si>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</si>
  <si>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</si>
  <si>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</si>
  <si>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</si>
  <si>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</si>
  <si>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</si>
  <si>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</si>
  <si>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</si>
  <si>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</si>
  <si>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</si>
  <si>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</si>
  <si>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</si>
  <si>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</si>
  <si>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</si>
  <si>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</si>
  <si>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</si>
  <si>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</si>
  <si>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</si>
  <si>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</si>
  <si>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</si>
  <si>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</si>
  <si>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</si>
  <si>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</si>
  <si>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</si>
  <si>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</si>
  <si>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</si>
  <si>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</si>
  <si>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</si>
  <si>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</si>
  <si>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</si>
  <si>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</si>
  <si>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</si>
  <si>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</si>
  <si>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</si>
  <si>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</si>
  <si>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</si>
  <si>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</si>
  <si>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</si>
  <si>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</si>
  <si>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</si>
  <si>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</si>
  <si>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</si>
  <si>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</si>
  <si>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</si>
  <si>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</si>
  <si>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</si>
  <si>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</si>
  <si>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</si>
  <si>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</si>
  <si>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</si>
  <si>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</si>
  <si>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</si>
  <si>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</si>
  <si>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</si>
  <si>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</si>
  <si>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</si>
  <si>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</si>
  <si>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</si>
  <si>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</si>
  <si>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</si>
  <si>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</si>
  <si>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</si>
  <si>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</si>
  <si>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</si>
  <si>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</si>
  <si>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</si>
  <si>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</si>
  <si>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</si>
  <si>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</si>
  <si>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</si>
  <si>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</si>
  <si>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</si>
  <si>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</si>
  <si>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</si>
  <si>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</si>
  <si>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</si>
  <si>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</si>
  <si>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</si>
  <si>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</si>
  <si>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</si>
  <si>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</si>
  <si>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</si>
  <si>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</si>
  <si>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</si>
  <si>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</si>
  <si>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</si>
  <si>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</si>
  <si>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</si>
  <si>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</si>
  <si>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</si>
  <si>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</si>
  <si>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</si>
  <si>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</si>
  <si>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</si>
  <si>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</si>
  <si>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</si>
  <si>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</si>
  <si>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</si>
  <si>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</si>
  <si>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</si>
  <si>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</si>
  <si>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</si>
  <si>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</si>
  <si>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</si>
  <si>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</si>
  <si>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</si>
  <si>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</si>
  <si>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</si>
  <si>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</si>
  <si>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</si>
  <si>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</si>
  <si>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</si>
  <si>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</si>
  <si>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</si>
  <si>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</si>
  <si>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</si>
  <si>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</si>
  <si>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</si>
  <si>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</si>
  <si>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</si>
  <si>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</si>
  <si>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</si>
  <si>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</si>
  <si>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</si>
  <si>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</si>
  <si>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</si>
  <si>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</si>
  <si>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</si>
  <si>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</si>
  <si>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</si>
  <si>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</si>
  <si>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</si>
  <si>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</si>
  <si>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</si>
  <si>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</si>
  <si>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</si>
  <si>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</si>
  <si>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</si>
  <si>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</si>
  <si>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</si>
  <si>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</si>
  <si>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</si>
  <si>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</si>
  <si>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</si>
  <si>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</si>
  <si>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</si>
  <si>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</si>
  <si>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</si>
  <si>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</si>
  <si>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</si>
  <si>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</si>
  <si>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</si>
  <si>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</si>
  <si>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</si>
  <si>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</si>
  <si>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</si>
  <si>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</si>
  <si>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</si>
  <si>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</si>
  <si>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</si>
  <si>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</si>
  <si>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</si>
  <si>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</si>
  <si>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</si>
  <si>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</si>
  <si>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</si>
  <si>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</si>
  <si>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</si>
  <si>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</si>
  <si>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</si>
  <si>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</si>
  <si>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</si>
  <si>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</si>
  <si>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</si>
  <si>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</si>
  <si>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</si>
  <si>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</si>
  <si>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</si>
  <si>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</si>
  <si>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</si>
  <si>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</si>
  <si>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</si>
  <si>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</si>
  <si>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</si>
  <si>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</si>
  <si>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</si>
  <si>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</si>
  <si>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</si>
  <si>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</si>
  <si>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</si>
  <si>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</si>
  <si>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</si>
  <si>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</si>
  <si>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</si>
  <si>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</si>
  <si>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</si>
  <si>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</si>
  <si>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</si>
  <si>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</si>
  <si>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</si>
  <si>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</si>
  <si>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</si>
  <si>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</si>
  <si>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</si>
  <si>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</si>
  <si>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</si>
  <si>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</si>
  <si>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</si>
  <si>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</si>
  <si>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</si>
  <si>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</si>
  <si>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</si>
  <si>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</si>
  <si>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</si>
  <si>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</si>
  <si>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</si>
  <si>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</si>
  <si>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</si>
  <si>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</si>
  <si>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</si>
  <si>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</si>
  <si>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</si>
  <si>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</si>
  <si>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</si>
  <si>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</si>
  <si>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</si>
  <si>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</si>
  <si>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</si>
  <si>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</si>
  <si>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</si>
  <si>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</si>
  <si>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</si>
  <si>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</si>
  <si>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</si>
  <si>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</si>
  <si>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</si>
  <si>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</si>
  <si>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</si>
  <si>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</si>
  <si>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</si>
  <si>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</si>
  <si>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</si>
  <si>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</si>
  <si>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</si>
  <si>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</si>
  <si>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</si>
  <si>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</si>
  <si>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</si>
  <si>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</si>
  <si>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</si>
  <si>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</si>
  <si>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</si>
  <si>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</si>
  <si>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</si>
  <si>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</si>
  <si>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</si>
  <si>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</si>
  <si>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</si>
  <si>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</si>
  <si>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</si>
  <si>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</si>
  <si>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</si>
  <si>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</si>
  <si>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</si>
  <si>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</si>
  <si>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</si>
  <si>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</si>
  <si>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</si>
  <si>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</si>
  <si>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</si>
  <si>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</si>
  <si>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</si>
  <si>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</si>
  <si>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</si>
  <si>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</si>
  <si>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</si>
  <si>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</si>
  <si>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</si>
  <si>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</si>
  <si>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</si>
  <si>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</si>
  <si>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</si>
  <si>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</si>
  <si>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</si>
  <si>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</si>
  <si>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</si>
  <si>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</si>
  <si>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</si>
  <si>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</si>
  <si>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</si>
  <si>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</si>
  <si>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</si>
  <si>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</si>
  <si>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</si>
  <si>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</si>
  <si>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</si>
  <si>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</si>
  <si>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</si>
  <si>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</si>
  <si>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</si>
  <si>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</si>
  <si>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</si>
  <si>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</si>
  <si>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</si>
  <si>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</si>
  <si>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</si>
  <si>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</si>
  <si>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</si>
  <si>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</si>
  <si>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</si>
  <si>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</si>
  <si>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</si>
  <si>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</si>
  <si>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</si>
  <si>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</si>
  <si>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</si>
  <si>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</si>
  <si>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</si>
  <si>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</si>
  <si>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</si>
  <si>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</si>
  <si>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</si>
  <si>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</si>
  <si>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</si>
  <si>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</si>
  <si>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</si>
  <si>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</si>
  <si>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</si>
  <si>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</si>
  <si>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</si>
  <si>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</si>
  <si>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</si>
  <si>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</si>
  <si>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</si>
  <si>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</si>
  <si>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</si>
  <si>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</si>
  <si>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</si>
  <si>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</si>
  <si>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</si>
  <si>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</si>
  <si>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</si>
  <si>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</si>
  <si>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</si>
  <si>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</si>
  <si>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</si>
  <si>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</si>
  <si>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</si>
  <si>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</si>
  <si>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</si>
  <si>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</si>
  <si>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</si>
  <si>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</si>
  <si>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</si>
  <si>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</si>
  <si>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</si>
  <si>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</si>
  <si>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</si>
  <si>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</si>
  <si>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</si>
  <si>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</si>
  <si>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</si>
  <si>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</si>
  <si>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</si>
  <si>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</si>
  <si>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</si>
  <si>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</si>
  <si>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</si>
  <si>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</si>
  <si>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</si>
  <si>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</si>
  <si>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</si>
  <si>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</si>
  <si>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</si>
  <si>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</si>
  <si>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</si>
  <si>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</si>
  <si>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</si>
  <si>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</si>
  <si>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</si>
  <si>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</si>
  <si>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</si>
  <si>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</si>
  <si>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</si>
  <si>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</si>
  <si>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</si>
  <si>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</si>
  <si>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</si>
  <si>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</si>
  <si>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</si>
  <si>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</si>
  <si>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</si>
  <si>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</si>
  <si>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</si>
  <si>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</si>
  <si>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</si>
  <si>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</si>
  <si>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</si>
  <si>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</si>
  <si>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</si>
  <si>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</si>
  <si>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</si>
  <si>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</si>
  <si>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</si>
  <si>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</si>
  <si>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</si>
  <si>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</si>
  <si>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</si>
  <si>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</si>
  <si>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</si>
  <si>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</si>
  <si>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</si>
  <si>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</si>
  <si>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</si>
  <si>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</si>
  <si>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</si>
  <si>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</si>
  <si>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</si>
  <si>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</si>
  <si>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</si>
  <si>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</si>
  <si>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</si>
  <si>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</si>
  <si>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</si>
  <si>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</si>
  <si>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</si>
  <si>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</si>
  <si>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</si>
  <si>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</si>
  <si>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</si>
  <si>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</si>
  <si>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</si>
  <si>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</si>
  <si>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</si>
  <si>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</si>
  <si>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</si>
  <si>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</si>
  <si>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</si>
  <si>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</si>
  <si>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</si>
  <si>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</si>
  <si>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</si>
  <si>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</si>
  <si>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</si>
  <si>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</si>
  <si>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</si>
  <si>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</si>
  <si>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</si>
  <si>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</si>
  <si>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</si>
  <si>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</si>
  <si>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</si>
  <si>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</si>
  <si>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</si>
  <si>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</si>
  <si>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</si>
  <si>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</si>
  <si>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</si>
  <si>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</si>
  <si>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</si>
  <si>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</si>
  <si>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</si>
  <si>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</si>
  <si>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</si>
  <si>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</si>
  <si>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</si>
  <si>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</si>
  <si>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</si>
  <si>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</si>
  <si>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</si>
  <si>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</si>
  <si>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</si>
  <si>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</si>
  <si>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</si>
  <si>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</si>
  <si>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</si>
  <si>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</si>
  <si>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</si>
  <si>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</si>
  <si>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</si>
  <si>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</si>
  <si>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</si>
  <si>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</si>
  <si>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</si>
  <si>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</si>
  <si>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</si>
  <si>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</si>
  <si>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</si>
  <si>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</si>
  <si>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</si>
  <si>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</si>
  <si>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</si>
  <si>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</si>
  <si>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</si>
  <si>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</si>
  <si>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</si>
  <si>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</si>
  <si>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</si>
  <si>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</si>
  <si>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</si>
  <si>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</si>
  <si>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</si>
  <si>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</si>
  <si>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</si>
  <si>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</si>
  <si>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</si>
  <si>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</si>
  <si>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</si>
  <si>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</si>
  <si>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</si>
  <si>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</si>
  <si>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</si>
  <si>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</si>
  <si>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</si>
  <si>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</si>
  <si>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</si>
  <si>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</si>
  <si>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</si>
  <si>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</si>
  <si>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</si>
  <si>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</si>
  <si>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</si>
  <si>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</si>
  <si>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</si>
  <si>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</si>
  <si>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</si>
  <si>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</si>
  <si>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</si>
  <si>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</si>
  <si>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</si>
  <si>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</si>
  <si>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</si>
  <si>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</si>
  <si>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</si>
  <si>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</si>
  <si>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</si>
  <si>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</si>
  <si>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</si>
  <si>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</si>
  <si>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</si>
  <si>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</si>
  <si>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</si>
  <si>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</si>
  <si>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</si>
  <si>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</si>
  <si>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</si>
  <si>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</si>
  <si>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</si>
  <si>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</si>
  <si>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</si>
  <si>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</si>
  <si>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</si>
  <si>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</si>
  <si>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</si>
  <si>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</si>
  <si>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</si>
  <si>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</si>
  <si>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</si>
  <si>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</si>
  <si>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</si>
  <si>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</si>
  <si>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</si>
  <si>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</si>
  <si>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</si>
  <si>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</si>
  <si>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</si>
  <si>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</si>
  <si>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</si>
  <si>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</si>
  <si>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</si>
  <si>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</si>
  <si>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</si>
  <si>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</si>
  <si>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</si>
  <si>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</si>
  <si>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</si>
  <si>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</si>
  <si>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</si>
  <si>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</si>
  <si>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</si>
  <si>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</si>
  <si>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</si>
  <si>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</si>
  <si>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</si>
  <si>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</si>
  <si>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</si>
  <si>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</si>
  <si>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</si>
  <si>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</si>
  <si>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</si>
  <si>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</si>
  <si>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</si>
  <si>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</si>
  <si>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</si>
  <si>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</si>
  <si>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</si>
  <si>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</si>
  <si>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</si>
  <si>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</si>
  <si>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</si>
  <si>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</si>
  <si>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</si>
  <si>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</si>
  <si>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</si>
  <si>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</si>
  <si>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</si>
  <si>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</si>
  <si>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</si>
  <si>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</si>
  <si>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</si>
  <si>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</si>
  <si>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</si>
  <si>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</si>
  <si>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</si>
  <si>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</si>
  <si>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</si>
  <si>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</si>
  <si>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</si>
  <si>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</si>
  <si>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</si>
  <si>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</si>
  <si>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</si>
  <si>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</si>
  <si>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</si>
  <si>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</si>
  <si>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</si>
  <si>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</si>
  <si>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</si>
  <si>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</si>
  <si>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</si>
  <si>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</si>
  <si>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</si>
  <si>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</si>
  <si>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</si>
  <si>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</si>
  <si>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</si>
  <si>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</si>
  <si>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</si>
  <si>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</si>
  <si>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</si>
  <si>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</si>
  <si>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</si>
  <si>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</si>
  <si>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</si>
  <si>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</si>
  <si>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</si>
  <si>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</si>
  <si>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</si>
  <si>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</si>
  <si>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</si>
  <si>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</si>
  <si>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</si>
  <si>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</si>
  <si>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</si>
  <si>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</si>
  <si>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</si>
  <si>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</si>
  <si>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</si>
  <si>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</si>
  <si>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</si>
  <si>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</si>
  <si>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</si>
  <si>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</si>
  <si>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</si>
  <si>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</si>
  <si>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</si>
  <si>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</si>
  <si>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</si>
  <si>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</si>
  <si>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</si>
  <si>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</si>
  <si>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</si>
  <si>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</si>
  <si>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</si>
  <si>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</si>
  <si>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</si>
  <si>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</si>
  <si>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</si>
  <si>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</si>
  <si>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</si>
  <si>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</si>
  <si>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</si>
  <si>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</si>
  <si>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</si>
  <si>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</si>
  <si>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</si>
  <si>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</si>
  <si>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</si>
  <si>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</si>
  <si>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</si>
  <si>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</si>
  <si>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</si>
  <si>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</si>
  <si>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</si>
  <si>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</si>
  <si>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</si>
  <si>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</si>
  <si>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</si>
  <si>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</si>
  <si>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</si>
  <si>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</si>
  <si>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</si>
  <si>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</si>
  <si>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</si>
  <si>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</si>
  <si>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</si>
  <si>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</si>
  <si>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</si>
  <si>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</si>
  <si>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</si>
  <si>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</si>
  <si>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</si>
  <si>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</si>
  <si>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</si>
  <si>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</si>
  <si>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</si>
  <si>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</si>
  <si>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</si>
  <si>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</si>
  <si>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</si>
  <si>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</si>
  <si>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</si>
  <si>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</si>
  <si>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</si>
  <si>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</si>
  <si>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</si>
  <si>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</si>
  <si>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</si>
  <si>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</si>
  <si>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</si>
  <si>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</si>
  <si>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</si>
  <si>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</si>
  <si>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</si>
  <si>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</si>
  <si>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</si>
  <si>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</si>
  <si>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</si>
  <si>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</si>
  <si>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</si>
  <si>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</si>
  <si>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</si>
  <si>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</si>
  <si>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</si>
  <si>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</si>
  <si>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</si>
  <si>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</si>
  <si>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</si>
  <si>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</si>
  <si>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</si>
  <si>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</si>
  <si>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</si>
  <si>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</si>
  <si>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</si>
  <si>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</si>
  <si>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</si>
  <si>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</si>
  <si>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</si>
  <si>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</si>
  <si>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</si>
  <si>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</si>
  <si>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</si>
  <si>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</si>
  <si>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</si>
  <si>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</si>
  <si>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</si>
  <si>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</si>
  <si>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</si>
  <si>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</si>
  <si>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</si>
  <si>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</si>
  <si>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</si>
  <si>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</si>
  <si>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</si>
  <si>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</si>
  <si>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</si>
  <si>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</si>
  <si>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</si>
  <si>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</si>
  <si>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</si>
  <si>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</si>
  <si>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</si>
  <si>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</si>
  <si>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</si>
  <si>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</si>
  <si>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</si>
  <si>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</si>
  <si>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</si>
  <si>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</si>
  <si>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</si>
  <si>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</si>
  <si>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</si>
  <si>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</si>
  <si>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</si>
  <si>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</si>
  <si>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</si>
  <si>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</si>
  <si>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</si>
  <si>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</si>
  <si>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</si>
  <si>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</si>
  <si>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</si>
  <si>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</si>
  <si>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</si>
  <si>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</si>
  <si>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</si>
  <si>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</si>
  <si>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</si>
  <si>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</si>
  <si>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</si>
  <si>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</si>
  <si>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</si>
  <si>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</si>
  <si>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</si>
  <si>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</si>
  <si>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</si>
  <si>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</si>
  <si>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</si>
  <si>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</si>
  <si>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</si>
  <si>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</si>
  <si>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</si>
  <si>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</si>
  <si>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</si>
  <si>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</si>
  <si>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</si>
  <si>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</si>
  <si>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</si>
  <si>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</si>
  <si>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</si>
  <si>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</si>
  <si>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</si>
  <si>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</si>
  <si>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</si>
  <si>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</si>
  <si>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</si>
  <si>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</si>
  <si>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</si>
  <si>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</si>
  <si>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</si>
  <si>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</si>
  <si>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</si>
  <si>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</si>
  <si>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</si>
  <si>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</si>
  <si>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</si>
  <si>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</si>
  <si>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</si>
  <si>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</si>
  <si>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</si>
  <si>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</si>
  <si>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</si>
  <si>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</si>
  <si>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</si>
  <si>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</si>
  <si>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</si>
  <si>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</si>
  <si>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</si>
  <si>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</si>
  <si>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</si>
  <si>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</si>
  <si>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</si>
  <si>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</si>
  <si>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</si>
  <si>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</si>
  <si>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</si>
  <si>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</si>
  <si>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</si>
  <si>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</si>
  <si>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</si>
  <si>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</si>
  <si>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</si>
  <si>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</si>
  <si>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</si>
  <si>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</si>
  <si>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</si>
  <si>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</si>
  <si>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</si>
  <si>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</si>
  <si>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</si>
  <si>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</si>
  <si>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</si>
  <si>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</si>
  <si>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</si>
  <si>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</si>
  <si>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</si>
  <si>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</si>
  <si>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</si>
  <si>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</si>
  <si>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</si>
  <si>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</si>
  <si>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</si>
  <si>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</si>
  <si>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</si>
  <si>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</si>
  <si>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</si>
  <si>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</si>
  <si>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</si>
  <si>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</si>
  <si>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</si>
  <si>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</si>
  <si>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</si>
  <si>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</si>
  <si>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</si>
  <si>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</si>
  <si>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</si>
  <si>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</si>
  <si>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</si>
  <si>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</si>
  <si>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</si>
  <si>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</si>
  <si>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</si>
  <si>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</si>
  <si>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</si>
  <si>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</si>
  <si>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</si>
  <si>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</si>
  <si>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</si>
  <si>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</si>
  <si>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</si>
  <si>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</si>
  <si>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</si>
  <si>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</si>
  <si>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</si>
  <si>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</si>
  <si>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</si>
  <si>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</si>
  <si>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</si>
  <si>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</si>
  <si>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</si>
  <si>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</si>
  <si>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</si>
  <si>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</si>
  <si>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</si>
  <si>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</si>
  <si>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</si>
  <si>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</si>
  <si>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</si>
  <si>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</si>
  <si>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</si>
  <si>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</si>
  <si>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</si>
  <si>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</si>
  <si>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</si>
  <si>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</si>
  <si>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</si>
  <si>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</si>
  <si>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</si>
  <si>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</si>
  <si>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</si>
  <si>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</si>
  <si>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</si>
  <si>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</si>
  <si>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</si>
  <si>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</si>
  <si>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</si>
  <si>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</si>
  <si>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</si>
  <si>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</si>
  <si>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</si>
  <si>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</si>
  <si>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</si>
  <si>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</si>
  <si>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</si>
  <si>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</si>
  <si>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</si>
  <si>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</si>
  <si>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</si>
  <si>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</si>
  <si>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</si>
  <si>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</si>
  <si>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</si>
  <si>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</si>
  <si>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</si>
  <si>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</si>
  <si>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</si>
  <si>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</si>
  <si>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</si>
  <si>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</si>
  <si>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</si>
  <si>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</si>
  <si>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</si>
  <si>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</si>
  <si>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</si>
  <si>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</si>
  <si>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</si>
  <si>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</si>
  <si>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</si>
  <si>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</si>
  <si>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</si>
  <si>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</si>
  <si>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</si>
  <si>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</si>
  <si>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</si>
  <si>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</si>
  <si>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</si>
  <si>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</si>
  <si>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</si>
  <si>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</si>
  <si>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</si>
  <si>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</si>
  <si>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</si>
  <si>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</si>
  <si>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</si>
  <si>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</si>
  <si>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</si>
  <si>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</si>
  <si>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</si>
  <si>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</si>
  <si>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</si>
  <si>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</si>
  <si>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</si>
  <si>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</si>
  <si>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</si>
  <si>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</si>
  <si>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</si>
  <si>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</si>
  <si>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</si>
  <si>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</si>
  <si>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</si>
  <si>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</si>
  <si>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</si>
  <si>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</si>
  <si>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</si>
  <si>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</si>
  <si>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</si>
  <si>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</si>
  <si>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</si>
  <si>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</si>
  <si>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</si>
  <si>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</si>
  <si>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</si>
  <si>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</si>
  <si>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</si>
  <si>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</si>
  <si>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</si>
  <si>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</si>
  <si>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</si>
  <si>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</si>
  <si>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</si>
  <si>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</si>
  <si>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</si>
  <si>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</si>
  <si>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</si>
  <si>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</si>
  <si>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</si>
  <si>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</si>
  <si>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</si>
  <si>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</si>
  <si>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</si>
  <si>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</si>
  <si>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</si>
  <si>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</si>
  <si>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</si>
  <si>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</si>
  <si>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</si>
  <si>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</si>
  <si>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</si>
  <si>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</si>
  <si>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</si>
  <si>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</si>
  <si>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</si>
  <si>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</si>
  <si>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</si>
  <si>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</si>
  <si>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</si>
  <si>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</si>
  <si>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</si>
  <si>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</si>
  <si>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</si>
  <si>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</si>
  <si>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</si>
  <si>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</si>
  <si>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</si>
  <si>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</si>
  <si>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</si>
  <si>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</si>
  <si>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</si>
  <si>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</si>
  <si>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</si>
  <si>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</si>
  <si>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</si>
  <si>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</si>
  <si>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</si>
  <si>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</si>
  <si>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</si>
  <si>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</si>
  <si>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</si>
  <si>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</si>
  <si>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</si>
  <si>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</si>
  <si>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</si>
  <si>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</si>
  <si>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</si>
  <si>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</si>
  <si>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</si>
  <si>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</si>
  <si>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</si>
  <si>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</si>
  <si>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</si>
  <si>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</si>
  <si>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</si>
  <si>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</si>
  <si>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</si>
  <si>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</si>
  <si>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</si>
  <si>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</si>
  <si>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</si>
  <si>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</si>
  <si>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</si>
  <si>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</si>
  <si>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现房</t>
    <phoneticPr fontId="215" type="noConversion"/>
  </si>
  <si>
    <t>B地块</t>
    <phoneticPr fontId="215" type="noConversion"/>
  </si>
  <si>
    <t>在建</t>
    <phoneticPr fontId="215" type="noConversion"/>
  </si>
  <si>
    <t>否</t>
  </si>
  <si>
    <t>收益法商</t>
    <phoneticPr fontId="215" type="noConversion"/>
  </si>
  <si>
    <t>成本法商</t>
  </si>
  <si>
    <t>成本法商</t>
    <phoneticPr fontId="215" type="noConversion"/>
  </si>
  <si>
    <t>成本法仓</t>
  </si>
  <si>
    <t>成本法仓</t>
    <phoneticPr fontId="215" type="noConversion"/>
  </si>
  <si>
    <t>成本法车</t>
    <phoneticPr fontId="215" type="noConversion"/>
  </si>
  <si>
    <t>收益法 (元)</t>
  </si>
  <si>
    <t>收益法 (元)</t>
    <phoneticPr fontId="215" type="noConversion"/>
  </si>
  <si>
    <t>比较法-车位</t>
  </si>
  <si>
    <t>收益法车</t>
  </si>
  <si>
    <t>收益法车</t>
    <phoneticPr fontId="215" type="noConversion"/>
  </si>
  <si>
    <t>房号</t>
  </si>
  <si>
    <t>高</t>
  </si>
  <si>
    <t>高</t>
    <phoneticPr fontId="215" type="noConversion"/>
  </si>
  <si>
    <t>中</t>
  </si>
  <si>
    <t>中</t>
    <phoneticPr fontId="215" type="noConversion"/>
  </si>
  <si>
    <t>低</t>
  </si>
  <si>
    <t>低</t>
    <phoneticPr fontId="215" type="noConversion"/>
  </si>
  <si>
    <r>
      <rPr>
        <sz val="11"/>
        <color indexed="8"/>
        <rFont val="宋体"/>
        <family val="3"/>
        <charset val="134"/>
      </rPr>
      <t>楼层</t>
    </r>
    <r>
      <rPr>
        <sz val="11"/>
        <color indexed="8"/>
        <rFont val="Arial"/>
        <family val="2"/>
      </rPr>
      <t>-1</t>
    </r>
    <phoneticPr fontId="215" type="noConversion"/>
  </si>
  <si>
    <t>一般</t>
    <phoneticPr fontId="215" type="noConversion"/>
  </si>
  <si>
    <t>住宅基准601</t>
  </si>
  <si>
    <t>是</t>
    <phoneticPr fontId="215" type="noConversion"/>
  </si>
  <si>
    <t>否</t>
    <phoneticPr fontId="215" type="noConversion"/>
  </si>
  <si>
    <t>自定义</t>
  </si>
  <si>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</si>
  <si>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</si>
  <si>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</si>
  <si>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</si>
  <si>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</si>
  <si>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</si>
  <si>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</si>
  <si>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</si>
  <si>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</si>
  <si>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</si>
  <si>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</si>
  <si>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</si>
  <si>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</si>
  <si>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</si>
  <si>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</si>
  <si>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</si>
  <si>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</si>
  <si>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</si>
  <si>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</si>
  <si>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</si>
  <si>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</si>
  <si>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</si>
  <si>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</si>
  <si>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</si>
  <si>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</si>
  <si>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</si>
  <si>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</si>
  <si>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</si>
  <si>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</si>
  <si>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</si>
  <si>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</si>
  <si>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</si>
  <si>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</si>
  <si>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</si>
  <si>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</si>
  <si>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</si>
  <si>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</si>
  <si>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</si>
  <si>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</si>
  <si>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</si>
  <si>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</si>
  <si>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</si>
  <si>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</si>
  <si>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</si>
  <si>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</si>
  <si>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</si>
  <si>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</si>
  <si>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</si>
  <si>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</si>
  <si>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</si>
  <si>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</si>
  <si>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</si>
  <si>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</si>
  <si>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</si>
  <si>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</si>
  <si>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</si>
  <si>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</si>
  <si>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</si>
  <si>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</si>
  <si>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</si>
  <si>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</si>
  <si>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</si>
  <si>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</si>
  <si>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</si>
  <si>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</si>
  <si>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</si>
  <si>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</si>
  <si>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</si>
  <si>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</si>
  <si>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</si>
  <si>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</si>
  <si>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</si>
  <si>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</si>
  <si>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</si>
  <si>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</si>
  <si>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</si>
  <si>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</si>
  <si>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</si>
  <si>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</si>
  <si>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</si>
  <si>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</si>
  <si>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</si>
  <si>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</si>
  <si>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</si>
  <si>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</si>
  <si>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</si>
  <si>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</si>
  <si>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</si>
  <si>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</si>
  <si>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</si>
  <si>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</si>
  <si>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</si>
  <si>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</si>
  <si>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</si>
  <si>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</si>
  <si>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</si>
  <si>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</si>
  <si>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</si>
  <si>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</si>
  <si>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</si>
  <si>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</si>
  <si>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</si>
  <si>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</si>
  <si>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</si>
  <si>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</si>
  <si>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</si>
  <si>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</si>
  <si>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</si>
  <si>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</si>
  <si>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</si>
  <si>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</si>
  <si>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</si>
  <si>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</si>
  <si>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</si>
  <si>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</si>
  <si>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</si>
  <si>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</si>
  <si>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</si>
  <si>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</si>
  <si>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</si>
  <si>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</si>
  <si>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5" type="noConversion"/>
  </si>
  <si>
    <t>天汇紫薇苑</t>
    <phoneticPr fontId="215" type="noConversion"/>
  </si>
  <si>
    <t>合景·天汇广场</t>
    <phoneticPr fontId="215" type="noConversion"/>
  </si>
  <si>
    <t>诺德阅墅</t>
    <phoneticPr fontId="215" type="noConversion"/>
  </si>
  <si>
    <t>北辰·墅院1900</t>
    <phoneticPr fontId="215" type="noConversion"/>
  </si>
  <si>
    <t>住宅基准702</t>
  </si>
  <si>
    <t>现房</t>
  </si>
  <si>
    <t>假设开发法</t>
  </si>
  <si>
    <t>住宅基准902</t>
  </si>
  <si>
    <t>地块</t>
  </si>
  <si>
    <t>房屋用途</t>
  </si>
  <si>
    <t>C地块</t>
  </si>
  <si>
    <t>C-4-1001</t>
  </si>
  <si>
    <t>未网签</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</si>
  <si>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</si>
  <si>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</si>
  <si>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</si>
  <si>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</si>
  <si>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</si>
  <si>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</si>
  <si>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</si>
  <si>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</si>
  <si>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</si>
  <si>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</si>
  <si>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</si>
  <si>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</si>
  <si>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</si>
  <si>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</si>
  <si>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</si>
  <si>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</si>
  <si>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</si>
  <si>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</si>
  <si>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</si>
  <si>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</si>
  <si>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</si>
  <si>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</si>
  <si>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</si>
  <si>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</si>
  <si>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</si>
  <si>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</si>
  <si>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</si>
  <si>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</si>
  <si>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</si>
  <si>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</si>
  <si>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</si>
  <si>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</si>
  <si>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</si>
  <si>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</si>
  <si>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</si>
  <si>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</si>
  <si>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</si>
  <si>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</si>
  <si>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</si>
  <si>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</si>
  <si>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</si>
  <si>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</si>
  <si>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</si>
  <si>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</si>
  <si>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</si>
  <si>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</si>
  <si>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</si>
  <si>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</si>
  <si>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</si>
  <si>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</si>
  <si>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</si>
  <si>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</si>
  <si>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</si>
  <si>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</si>
  <si>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</si>
  <si>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</si>
  <si>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</si>
  <si>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</si>
  <si>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</si>
  <si>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</si>
  <si>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</si>
  <si>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</si>
  <si>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</si>
  <si>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</si>
  <si>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</si>
  <si>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</si>
  <si>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</si>
  <si>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</si>
  <si>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</si>
  <si>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</si>
  <si>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</si>
  <si>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</si>
  <si>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</si>
  <si>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</si>
  <si>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</si>
  <si>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</si>
  <si>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</si>
  <si>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</si>
  <si>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</si>
  <si>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</si>
  <si>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</si>
  <si>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</si>
  <si>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</si>
  <si>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</si>
  <si>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</si>
  <si>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</si>
  <si>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</si>
  <si>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</si>
  <si>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</si>
  <si>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</si>
  <si>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</si>
  <si>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</si>
  <si>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</si>
  <si>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</si>
  <si>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</si>
  <si>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</si>
  <si>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</si>
  <si>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</si>
  <si>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</si>
  <si>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</si>
  <si>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</si>
  <si>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</si>
  <si>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</si>
  <si>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</si>
  <si>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</si>
  <si>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</si>
  <si>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</si>
  <si>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</si>
  <si>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</si>
  <si>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</si>
  <si>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</si>
  <si>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</si>
  <si>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</si>
  <si>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</si>
  <si>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</si>
  <si>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</si>
  <si>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</si>
  <si>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</si>
  <si>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</si>
  <si>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</si>
  <si>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</si>
  <si>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</si>
  <si>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</si>
  <si>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</si>
  <si>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</si>
  <si>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</si>
  <si>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</si>
  <si>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</si>
  <si>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</si>
  <si>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</si>
  <si>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</si>
  <si>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</si>
  <si>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</si>
  <si>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</si>
  <si>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</si>
  <si>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</si>
  <si>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</si>
  <si>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</si>
  <si>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</si>
  <si>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</si>
  <si>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</si>
  <si>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</si>
  <si>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</si>
  <si>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</si>
  <si>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</si>
  <si>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</si>
  <si>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</si>
  <si>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</si>
  <si>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</si>
  <si>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</si>
  <si>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</si>
  <si>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</si>
  <si>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</si>
  <si>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</si>
  <si>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</si>
  <si>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</si>
  <si>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</si>
  <si>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</si>
  <si>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</si>
  <si>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</si>
  <si>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</si>
  <si>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</si>
  <si>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</si>
  <si>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</si>
  <si>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</si>
  <si>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</si>
  <si>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</si>
  <si>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</si>
  <si>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</si>
  <si>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</si>
  <si>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</si>
  <si>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</si>
  <si>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</si>
  <si>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</si>
  <si>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</si>
  <si>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</si>
  <si>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</si>
  <si>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</si>
  <si>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</si>
  <si>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</si>
  <si>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</si>
  <si>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</si>
  <si>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</si>
  <si>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</si>
  <si>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</si>
  <si>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</si>
  <si>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</si>
  <si>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</si>
  <si>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</si>
  <si>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</si>
  <si>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</si>
  <si>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</si>
  <si>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</si>
  <si>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</si>
  <si>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</si>
  <si>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</si>
  <si>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</si>
  <si>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</si>
  <si>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</si>
  <si>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</si>
  <si>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</si>
  <si>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</si>
  <si>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</si>
  <si>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</si>
  <si>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</si>
  <si>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</si>
  <si>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</si>
  <si>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</si>
  <si>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</si>
  <si>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</si>
  <si>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</si>
  <si>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</si>
  <si>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</si>
  <si>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</si>
  <si>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</si>
  <si>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</si>
  <si>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</si>
  <si>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</si>
  <si>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</si>
  <si>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</si>
  <si>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</si>
  <si>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</si>
  <si>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</si>
  <si>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</si>
  <si>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</si>
  <si>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</si>
  <si>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</si>
  <si>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</si>
  <si>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</si>
  <si>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</si>
  <si>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</si>
  <si>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</si>
  <si>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</si>
  <si>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</si>
  <si>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</si>
  <si>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</si>
  <si>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</si>
  <si>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</si>
  <si>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</si>
  <si>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</si>
  <si>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</si>
  <si>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</si>
  <si>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</si>
  <si>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</si>
  <si>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</si>
  <si>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</si>
  <si>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</si>
  <si>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</si>
  <si>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</si>
  <si>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</si>
  <si>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</si>
  <si>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</si>
  <si>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</si>
  <si>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</si>
  <si>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</si>
  <si>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</si>
  <si>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</si>
  <si>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</si>
  <si>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</si>
  <si>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</si>
  <si>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</si>
  <si>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</si>
  <si>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</si>
  <si>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</si>
  <si>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</si>
  <si>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</si>
  <si>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</si>
  <si>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</si>
  <si>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</si>
  <si>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</si>
  <si>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</si>
  <si>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</si>
  <si>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</si>
  <si>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</si>
  <si>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</si>
  <si>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</si>
  <si>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</si>
  <si>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</si>
  <si>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</si>
  <si>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</si>
  <si>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</si>
  <si>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</si>
  <si>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</si>
  <si>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</si>
  <si>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</si>
  <si>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</si>
  <si>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</si>
  <si>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</si>
  <si>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</si>
  <si>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</si>
  <si>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</si>
  <si>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</si>
  <si>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</si>
  <si>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</si>
  <si>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</si>
  <si>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</si>
  <si>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</si>
  <si>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</si>
  <si>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</si>
  <si>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</si>
  <si>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</si>
  <si>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</si>
  <si>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</si>
  <si>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</si>
  <si>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</si>
  <si>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</si>
  <si>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</si>
  <si>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</si>
  <si>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</si>
  <si>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</si>
  <si>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</si>
  <si>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</si>
  <si>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</si>
  <si>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</si>
  <si>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</si>
  <si>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</si>
  <si>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</si>
  <si>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</si>
  <si>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</si>
  <si>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</si>
  <si>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</si>
  <si>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</si>
  <si>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</si>
  <si>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</si>
  <si>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</si>
  <si>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</si>
  <si>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</si>
  <si>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</si>
  <si>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</si>
  <si>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</si>
  <si>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</si>
  <si>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</si>
  <si>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</si>
  <si>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</si>
  <si>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</si>
  <si>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</si>
  <si>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</si>
  <si>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</si>
  <si>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</si>
  <si>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</si>
  <si>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</si>
  <si>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</si>
  <si>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</si>
  <si>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</si>
  <si>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</si>
  <si>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</si>
  <si>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</si>
  <si>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</si>
  <si>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</si>
  <si>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</si>
  <si>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</si>
  <si>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</si>
  <si>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</si>
  <si>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</si>
  <si>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</si>
  <si>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</si>
  <si>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</si>
  <si>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</si>
  <si>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</si>
  <si>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</si>
  <si>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</si>
  <si>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</si>
  <si>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</si>
  <si>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</si>
  <si>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</si>
  <si>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</si>
  <si>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</si>
  <si>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</si>
  <si>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</si>
  <si>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</si>
  <si>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</si>
  <si>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</si>
  <si>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</si>
  <si>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</si>
  <si>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</si>
  <si>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</si>
  <si>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</si>
  <si>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</si>
  <si>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</si>
  <si>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</si>
  <si>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</si>
  <si>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</si>
  <si>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</si>
  <si>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</si>
  <si>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</si>
  <si>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</si>
  <si>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</si>
  <si>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</si>
  <si>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</si>
  <si>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</si>
  <si>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</si>
  <si>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</si>
  <si>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</si>
  <si>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</si>
  <si>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</si>
  <si>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</si>
  <si>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</si>
  <si>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</si>
  <si>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</si>
  <si>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</si>
  <si>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</si>
  <si>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</si>
  <si>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</si>
  <si>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</si>
  <si>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</si>
  <si>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</si>
  <si>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</si>
  <si>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</si>
  <si>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</si>
  <si>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</si>
  <si>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</si>
  <si>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</si>
  <si>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</si>
  <si>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</si>
  <si>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</si>
  <si>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</si>
  <si>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</si>
  <si>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</si>
  <si>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</si>
  <si>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</si>
  <si>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</si>
  <si>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</si>
  <si>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</si>
  <si>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</si>
  <si>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</si>
  <si>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</si>
  <si>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</si>
  <si>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</si>
  <si>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</si>
  <si>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</si>
  <si>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</si>
  <si>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</si>
  <si>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</si>
  <si>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</si>
  <si>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</si>
  <si>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</si>
  <si>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</si>
  <si>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</si>
  <si>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</si>
  <si>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</si>
  <si>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</si>
  <si>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</si>
  <si>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</si>
  <si>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</si>
  <si>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</si>
  <si>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</si>
  <si>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</si>
  <si>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</si>
  <si>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</si>
  <si>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</si>
  <si>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</si>
  <si>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</si>
  <si>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</si>
  <si>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</si>
  <si>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</si>
  <si>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</si>
  <si>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</si>
  <si>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</si>
  <si>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</si>
  <si>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</si>
  <si>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</si>
  <si>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</si>
  <si>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</si>
  <si>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</si>
  <si>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</si>
  <si>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</si>
  <si>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</si>
  <si>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</si>
  <si>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</si>
  <si>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</si>
  <si>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</si>
  <si>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</si>
  <si>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</si>
  <si>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</si>
  <si>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</si>
  <si>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</si>
  <si>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</si>
  <si>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</si>
  <si>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</si>
  <si>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</si>
  <si>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</si>
  <si>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</si>
  <si>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</si>
  <si>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</si>
  <si>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</si>
  <si>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</si>
  <si>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</si>
  <si>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</si>
  <si>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</si>
  <si>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</si>
  <si>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</si>
  <si>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</si>
  <si>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</si>
  <si>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</si>
  <si>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</si>
  <si>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</si>
  <si>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</si>
  <si>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</si>
  <si>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</si>
  <si>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</si>
  <si>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</si>
  <si>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</si>
  <si>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</si>
  <si>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</si>
  <si>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</si>
  <si>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</si>
  <si>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</si>
  <si>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</si>
  <si>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</si>
  <si>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</si>
  <si>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</si>
  <si>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</si>
  <si>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</si>
  <si>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</si>
  <si>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</si>
  <si>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</si>
  <si>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</si>
  <si>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</si>
  <si>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</si>
  <si>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</si>
  <si>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</si>
  <si>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</si>
  <si>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</si>
  <si>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</si>
  <si>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</si>
  <si>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</si>
  <si>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</si>
  <si>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</si>
  <si>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规划建筑面积（㎡）</t>
  </si>
  <si>
    <t>B地块</t>
  </si>
  <si>
    <t>B-4-1-701</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</si>
  <si>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</si>
  <si>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</si>
  <si>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</si>
  <si>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</si>
  <si>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</si>
  <si>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</si>
  <si>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</si>
  <si>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</si>
  <si>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</si>
  <si>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</si>
  <si>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</si>
  <si>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</si>
  <si>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</si>
  <si>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</si>
  <si>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</si>
  <si>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</si>
  <si>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</si>
  <si>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</si>
  <si>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</si>
  <si>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</si>
  <si>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</si>
  <si>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</si>
  <si>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</si>
  <si>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</si>
  <si>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</si>
  <si>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</si>
  <si>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</si>
  <si>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</si>
  <si>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</si>
  <si>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</si>
  <si>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</si>
  <si>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</si>
  <si>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</si>
  <si>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</si>
  <si>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</si>
  <si>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</si>
  <si>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</si>
  <si>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</si>
  <si>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</si>
  <si>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</si>
  <si>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</si>
  <si>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</si>
  <si>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</si>
  <si>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</si>
  <si>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</si>
  <si>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</si>
  <si>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</si>
  <si>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</si>
  <si>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</si>
  <si>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</si>
  <si>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</si>
  <si>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</si>
  <si>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</si>
  <si>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</si>
  <si>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</si>
  <si>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</si>
  <si>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</si>
  <si>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</si>
  <si>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</si>
  <si>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</si>
  <si>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</si>
  <si>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</si>
  <si>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</si>
  <si>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</si>
  <si>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</si>
  <si>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</si>
  <si>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</si>
  <si>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</si>
  <si>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</si>
  <si>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</si>
  <si>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</si>
  <si>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</si>
  <si>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</si>
  <si>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</si>
  <si>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</si>
  <si>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</si>
  <si>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</si>
  <si>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</si>
  <si>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</si>
  <si>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</si>
  <si>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</si>
  <si>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</si>
  <si>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</si>
  <si>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</si>
  <si>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</si>
  <si>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</si>
  <si>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</si>
  <si>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</si>
  <si>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</si>
  <si>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</si>
  <si>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</si>
  <si>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</si>
  <si>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</si>
  <si>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</si>
  <si>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</si>
  <si>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</si>
  <si>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</si>
  <si>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</si>
  <si>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</si>
  <si>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</si>
  <si>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</si>
  <si>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</si>
  <si>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</si>
  <si>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</si>
  <si>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</si>
  <si>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</si>
  <si>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</si>
  <si>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</si>
  <si>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</si>
  <si>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</si>
  <si>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</si>
  <si>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</si>
  <si>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</si>
  <si>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</si>
  <si>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</si>
  <si>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</si>
  <si>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</si>
  <si>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</si>
  <si>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</si>
  <si>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</si>
  <si>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</si>
  <si>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</si>
  <si>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</si>
  <si>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</si>
  <si>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</si>
  <si>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</si>
  <si>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</si>
  <si>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</si>
  <si>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</si>
  <si>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</si>
  <si>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</si>
  <si>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</si>
  <si>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</si>
  <si>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</si>
  <si>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</si>
  <si>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</si>
  <si>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</si>
  <si>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</si>
  <si>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</si>
  <si>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</si>
  <si>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</si>
  <si>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</si>
  <si>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</si>
  <si>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</si>
  <si>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</si>
  <si>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</si>
  <si>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</si>
  <si>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</si>
  <si>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</si>
  <si>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</si>
  <si>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</si>
  <si>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</si>
  <si>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</si>
  <si>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</si>
  <si>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</si>
  <si>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</si>
  <si>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</si>
  <si>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</si>
  <si>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</si>
  <si>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</si>
  <si>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</si>
  <si>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</si>
  <si>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</si>
  <si>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</si>
  <si>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</si>
  <si>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</si>
  <si>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</si>
  <si>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</si>
  <si>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</si>
  <si>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</si>
  <si>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</si>
  <si>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</si>
  <si>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</si>
  <si>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</si>
  <si>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</si>
  <si>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</si>
  <si>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</si>
  <si>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</si>
  <si>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</si>
  <si>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</si>
  <si>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</si>
  <si>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</si>
  <si>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</si>
  <si>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</si>
  <si>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</si>
  <si>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</si>
  <si>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</si>
  <si>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</si>
  <si>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</si>
  <si>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</si>
  <si>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</si>
  <si>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</si>
  <si>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</si>
  <si>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</si>
  <si>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</si>
  <si>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</si>
  <si>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</si>
  <si>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</si>
  <si>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</si>
  <si>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</si>
  <si>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</si>
  <si>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</si>
  <si>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</si>
  <si>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</si>
  <si>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</si>
  <si>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</si>
  <si>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</si>
  <si>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</si>
  <si>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</si>
  <si>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</si>
  <si>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</si>
  <si>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</si>
  <si>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</si>
  <si>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</si>
  <si>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</si>
  <si>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</si>
  <si>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</si>
  <si>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</si>
  <si>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</si>
  <si>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</si>
  <si>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</si>
  <si>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</si>
  <si>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</si>
  <si>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</si>
  <si>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</si>
  <si>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</si>
  <si>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</si>
  <si>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</si>
  <si>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</si>
  <si>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</si>
  <si>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</si>
  <si>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</si>
  <si>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</si>
  <si>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</si>
  <si>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</si>
  <si>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</si>
  <si>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</si>
  <si>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</si>
  <si>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</si>
  <si>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</si>
  <si>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</si>
  <si>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</si>
  <si>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</si>
  <si>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</si>
  <si>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</si>
  <si>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</si>
  <si>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</si>
  <si>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</si>
  <si>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</si>
  <si>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</si>
  <si>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</si>
  <si>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</si>
  <si>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</si>
  <si>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</si>
  <si>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</si>
  <si>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</si>
  <si>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</si>
  <si>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</si>
  <si>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</si>
  <si>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</si>
  <si>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</si>
  <si>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</si>
  <si>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</si>
  <si>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</si>
  <si>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</si>
  <si>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</si>
  <si>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</si>
  <si>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</si>
  <si>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</si>
  <si>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</si>
  <si>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</si>
  <si>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</si>
  <si>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</si>
  <si>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</si>
  <si>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</si>
  <si>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</si>
  <si>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</si>
  <si>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</si>
  <si>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</si>
  <si>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</si>
  <si>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</si>
  <si>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</si>
  <si>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</si>
  <si>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</si>
  <si>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</si>
  <si>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</si>
  <si>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</si>
  <si>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</si>
  <si>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</si>
  <si>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</si>
  <si>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</si>
  <si>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</si>
  <si>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</si>
  <si>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</si>
  <si>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</si>
  <si>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</si>
  <si>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</si>
  <si>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</si>
  <si>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</si>
  <si>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</si>
  <si>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</si>
  <si>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</si>
  <si>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</si>
  <si>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</si>
  <si>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</si>
  <si>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</si>
  <si>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</si>
  <si>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</si>
  <si>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</si>
  <si>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</si>
  <si>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</si>
  <si>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</si>
  <si>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</si>
  <si>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</si>
  <si>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</si>
  <si>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</si>
  <si>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</si>
  <si>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</si>
  <si>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</si>
  <si>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</si>
  <si>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</si>
  <si>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</si>
  <si>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</si>
  <si>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</si>
  <si>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</si>
  <si>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</si>
  <si>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</si>
  <si>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</si>
  <si>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</si>
  <si>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</si>
  <si>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</si>
  <si>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</si>
  <si>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</si>
  <si>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</si>
  <si>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</si>
  <si>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</si>
  <si>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</si>
  <si>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</si>
  <si>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</si>
  <si>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</si>
  <si>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</si>
  <si>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</si>
  <si>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</si>
  <si>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</si>
  <si>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</si>
  <si>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</si>
  <si>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</si>
  <si>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</si>
  <si>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</si>
  <si>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</si>
  <si>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</si>
  <si>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</si>
  <si>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</si>
  <si>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</si>
  <si>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</si>
  <si>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</si>
  <si>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</si>
  <si>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</si>
  <si>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</si>
  <si>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</si>
  <si>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</si>
  <si>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</si>
  <si>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</si>
  <si>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</si>
  <si>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</si>
  <si>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</si>
  <si>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</si>
  <si>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</si>
  <si>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</si>
  <si>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</si>
  <si>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</si>
  <si>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</si>
  <si>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</si>
  <si>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</si>
  <si>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</si>
  <si>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</si>
  <si>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</si>
  <si>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</si>
  <si>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</si>
  <si>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</si>
  <si>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</si>
  <si>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</si>
  <si>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</si>
  <si>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</si>
  <si>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</si>
  <si>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</si>
  <si>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</si>
  <si>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</si>
  <si>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</si>
  <si>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</si>
  <si>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</si>
  <si>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</si>
  <si>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</si>
  <si>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</si>
  <si>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</si>
  <si>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</si>
  <si>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</si>
  <si>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</si>
  <si>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</si>
  <si>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</si>
  <si>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</si>
  <si>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</si>
  <si>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</si>
  <si>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</si>
  <si>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</si>
  <si>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</si>
  <si>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</si>
  <si>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</si>
  <si>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</si>
  <si>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</si>
  <si>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</si>
  <si>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</si>
  <si>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</si>
  <si>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</si>
  <si>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</si>
  <si>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</si>
  <si>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</si>
  <si>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</si>
  <si>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</si>
  <si>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</si>
  <si>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</si>
  <si>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</si>
  <si>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</si>
  <si>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</si>
  <si>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</si>
  <si>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</si>
  <si>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</si>
  <si>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</si>
  <si>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</si>
  <si>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</si>
  <si>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</si>
  <si>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</si>
  <si>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</si>
  <si>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</si>
  <si>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</si>
  <si>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</si>
  <si>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</si>
  <si>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</si>
  <si>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</si>
  <si>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</si>
  <si>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</si>
  <si>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</si>
  <si>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</si>
  <si>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</si>
  <si>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</si>
  <si>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</si>
  <si>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</si>
  <si>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</si>
  <si>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</si>
  <si>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</si>
  <si>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</si>
  <si>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</si>
  <si>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</si>
  <si>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</si>
  <si>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</si>
  <si>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</si>
  <si>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</si>
  <si>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</si>
  <si>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</si>
  <si>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</si>
  <si>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</si>
  <si>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</si>
  <si>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</si>
  <si>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</si>
  <si>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</si>
  <si>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</si>
  <si>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</si>
  <si>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</si>
  <si>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</si>
  <si>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</si>
  <si>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</si>
  <si>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</si>
  <si>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</si>
  <si>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</si>
  <si>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</si>
  <si>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</si>
  <si>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</si>
  <si>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</si>
  <si>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</si>
  <si>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</si>
  <si>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</si>
  <si>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</si>
  <si>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</si>
  <si>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</si>
  <si>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</si>
  <si>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</si>
  <si>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</si>
  <si>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</si>
  <si>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</si>
  <si>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</si>
  <si>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</si>
  <si>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</si>
  <si>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</si>
  <si>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</si>
  <si>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</si>
  <si>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</si>
  <si>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</si>
  <si>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</si>
  <si>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</si>
  <si>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</si>
  <si>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</si>
  <si>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</si>
  <si>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</si>
  <si>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</si>
  <si>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</si>
  <si>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</si>
  <si>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</si>
  <si>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</si>
  <si>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</si>
  <si>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</si>
  <si>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</si>
  <si>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</si>
  <si>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</si>
  <si>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</si>
  <si>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</si>
  <si>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</si>
  <si>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</si>
  <si>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</si>
  <si>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</si>
  <si>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</si>
  <si>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</si>
  <si>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</si>
  <si>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</si>
  <si>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</si>
  <si>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</si>
  <si>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</si>
  <si>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</si>
  <si>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</si>
  <si>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</si>
  <si>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</si>
  <si>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</si>
  <si>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</si>
  <si>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</si>
  <si>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</si>
  <si>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</si>
  <si>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</si>
  <si>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</si>
  <si>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</si>
  <si>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</si>
  <si>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</si>
  <si>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</si>
  <si>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</si>
  <si>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</si>
  <si>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</si>
  <si>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住宅</t>
    <phoneticPr fontId="215" type="noConversion"/>
  </si>
  <si>
    <t>商业</t>
    <phoneticPr fontId="215" type="noConversion"/>
  </si>
  <si>
    <t>地下仓储</t>
    <phoneticPr fontId="215" type="noConversion"/>
  </si>
  <si>
    <t>地下车库</t>
    <phoneticPr fontId="215" type="noConversion"/>
  </si>
  <si>
    <t>合计</t>
    <phoneticPr fontId="215" type="noConversion"/>
  </si>
  <si>
    <t>住宅价值</t>
    <phoneticPr fontId="215" type="noConversion"/>
  </si>
  <si>
    <t>商业价值</t>
    <phoneticPr fontId="215" type="noConversion"/>
  </si>
  <si>
    <t>仓储价值</t>
    <phoneticPr fontId="215" type="noConversion"/>
  </si>
  <si>
    <t>车库价值</t>
    <phoneticPr fontId="215" type="noConversion"/>
  </si>
  <si>
    <t>房地产价值</t>
    <phoneticPr fontId="215" type="noConversion"/>
  </si>
  <si>
    <t>净值</t>
    <phoneticPr fontId="215" type="noConversion"/>
  </si>
  <si>
    <t>现房</t>
    <phoneticPr fontId="215" type="noConversion"/>
  </si>
  <si>
    <t>A地块</t>
    <phoneticPr fontId="215" type="noConversion"/>
  </si>
  <si>
    <t>C地块</t>
    <phoneticPr fontId="215" type="noConversion"/>
  </si>
  <si>
    <t>住宅</t>
    <phoneticPr fontId="215" type="noConversion"/>
  </si>
  <si>
    <t>商业</t>
    <phoneticPr fontId="215" type="noConversion"/>
  </si>
  <si>
    <t>地下仓储</t>
    <phoneticPr fontId="215" type="noConversion"/>
  </si>
  <si>
    <t>地下车库</t>
    <phoneticPr fontId="215" type="noConversion"/>
  </si>
  <si>
    <t>合计</t>
    <phoneticPr fontId="215" type="noConversion"/>
  </si>
  <si>
    <t>住宅个数</t>
    <phoneticPr fontId="215" type="noConversion"/>
  </si>
  <si>
    <t>商业套数</t>
    <phoneticPr fontId="215" type="noConversion"/>
  </si>
  <si>
    <t>仓储套数</t>
    <phoneticPr fontId="215" type="noConversion"/>
  </si>
  <si>
    <t>车库个数</t>
    <phoneticPr fontId="215" type="noConversion"/>
  </si>
  <si>
    <t>现房</t>
    <phoneticPr fontId="215" type="noConversion"/>
  </si>
  <si>
    <t>A地块</t>
    <phoneticPr fontId="215" type="noConversion"/>
  </si>
  <si>
    <t>B地块</t>
    <phoneticPr fontId="215" type="noConversion"/>
  </si>
  <si>
    <t>在建</t>
    <phoneticPr fontId="215" type="noConversion"/>
  </si>
  <si>
    <t>C地块</t>
    <phoneticPr fontId="215" type="noConversion"/>
  </si>
  <si>
    <t>锦绣园</t>
  </si>
  <si>
    <t>工程进度</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</si>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</sst>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21">
    <font>
      <sz val="11"/>
      <color theme="1"/>
      <name val="宋体"/>
      <charset val="134"/>
      <scheme val="minor"/>
    </font>
    <font>
      <sz val="11"/>
      <color theme="1"/>
      <name val="宋体"/>
      <family val="2"/>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Calibri"/>
      <family val="2"/>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4">
    <xf numFmtId="0" fontId="0" fillId="0" borderId="0">
      <alignment vertical="center"/>
    </xf>
    <xf numFmtId="9" fontId="9" fillId="0" borderId="0" applyFont="0" applyFill="0" applyBorder="0" applyAlignment="0" applyProtection="0">
      <alignment vertical="center"/>
    </xf>
    <xf numFmtId="0" fontId="9" fillId="0" borderId="0"/>
    <xf numFmtId="9" fontId="89" fillId="0" borderId="0" applyFont="0" applyFill="0" applyBorder="0" applyAlignment="0" applyProtection="0">
      <alignment vertical="center"/>
    </xf>
    <xf numFmtId="0" fontId="148" fillId="0" borderId="0">
      <alignment vertical="center"/>
    </xf>
    <xf numFmtId="0" fontId="148" fillId="0" borderId="0">
      <alignment vertical="center"/>
    </xf>
    <xf numFmtId="0" fontId="9" fillId="0" borderId="0">
      <alignment vertical="center"/>
    </xf>
    <xf numFmtId="0" fontId="9" fillId="0" borderId="0">
      <alignment vertical="center"/>
    </xf>
    <xf numFmtId="0" fontId="148" fillId="0" borderId="0">
      <alignment vertical="center"/>
    </xf>
    <xf numFmtId="0" fontId="9" fillId="0" borderId="0">
      <alignment vertical="center"/>
    </xf>
    <xf numFmtId="0" fontId="9" fillId="0" borderId="0">
      <alignment vertical="center"/>
    </xf>
    <xf numFmtId="0" fontId="9" fillId="0" borderId="0">
      <alignment vertical="center"/>
    </xf>
    <xf numFmtId="176" fontId="9" fillId="0" borderId="0">
      <alignment vertical="center"/>
    </xf>
    <xf numFmtId="0" fontId="108" fillId="0" borderId="0"/>
    <xf numFmtId="0" fontId="9" fillId="0" borderId="0">
      <alignment vertical="center"/>
    </xf>
    <xf numFmtId="0" fontId="9" fillId="0" borderId="0"/>
    <xf numFmtId="0" fontId="89" fillId="0" borderId="0"/>
    <xf numFmtId="0" fontId="9" fillId="0" borderId="0">
      <alignment vertical="center"/>
    </xf>
    <xf numFmtId="0" fontId="9" fillId="0" borderId="0">
      <alignment vertical="center"/>
    </xf>
    <xf numFmtId="0" fontId="148" fillId="0" borderId="0">
      <alignment vertical="center"/>
    </xf>
    <xf numFmtId="0" fontId="108" fillId="0" borderId="0"/>
    <xf numFmtId="43" fontId="216" fillId="0" borderId="0" applyFont="0" applyFill="0" applyBorder="0" applyAlignment="0" applyProtection="0">
      <alignment vertical="center"/>
    </xf>
    <xf numFmtId="0" fontId="218" fillId="0" borderId="0"/>
    <xf numFmtId="43" fontId="1" fillId="0" borderId="0" applyFont="0" applyFill="0" applyBorder="0" applyAlignment="0" applyProtection="0">
      <alignment vertical="center"/>
    </xf>
  </cellStyleXfs>
  <cellXfs count="3487">
    <xf numFmtId="0" fontId="0" fillId="0" borderId="0" xfId="0">
      <alignment vertical="center"/>
    </xf>
    <xf numFmtId="0" fontId="2" fillId="0" borderId="0" xfId="0" applyFont="1">
      <alignment vertical="center"/>
    </xf>
    <xf numFmtId="0" fontId="3" fillId="0" borderId="1" xfId="0" applyFont="1" applyBorder="1">
      <alignment vertical="center"/>
    </xf>
    <xf numFmtId="0" fontId="3" fillId="0" borderId="1" xfId="0" applyFont="1" applyBorder="1" applyAlignment="1">
      <alignment horizontal="center" vertical="center"/>
    </xf>
    <xf numFmtId="0" fontId="4" fillId="0" borderId="0" xfId="0" applyFont="1">
      <alignment vertical="center"/>
    </xf>
    <xf numFmtId="0" fontId="5" fillId="0" borderId="0" xfId="0" applyFont="1">
      <alignment vertical="center"/>
    </xf>
    <xf numFmtId="0" fontId="3" fillId="0" borderId="1" xfId="0" applyFont="1" applyBorder="1" applyAlignment="1">
      <alignment horizontal="righ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0" borderId="0" xfId="0" applyFont="1" applyAlignment="1"/>
    <xf numFmtId="0" fontId="10" fillId="2" borderId="0" xfId="15" applyFont="1" applyFill="1"/>
    <xf numFmtId="0" fontId="10" fillId="0" borderId="0" xfId="15" applyFont="1"/>
    <xf numFmtId="0" fontId="0" fillId="0" borderId="0" xfId="0" applyAlignment="1"/>
    <xf numFmtId="0" fontId="11" fillId="2" borderId="5" xfId="15" applyFont="1" applyFill="1" applyBorder="1"/>
    <xf numFmtId="0" fontId="12" fillId="2" borderId="6" xfId="15" applyFont="1" applyFill="1" applyBorder="1" applyAlignment="1">
      <alignment horizontal="center"/>
    </xf>
    <xf numFmtId="14" fontId="11" fillId="2" borderId="6" xfId="15" applyNumberFormat="1" applyFont="1" applyFill="1" applyBorder="1" applyAlignment="1">
      <alignment horizontal="center"/>
    </xf>
    <xf numFmtId="0" fontId="11" fillId="2" borderId="6" xfId="15" applyFont="1" applyFill="1" applyBorder="1" applyAlignment="1">
      <alignment horizontal="center"/>
    </xf>
    <xf numFmtId="10" fontId="11" fillId="2" borderId="6" xfId="15" applyNumberFormat="1" applyFont="1" applyFill="1" applyBorder="1" applyAlignment="1">
      <alignment horizontal="center"/>
    </xf>
    <xf numFmtId="0" fontId="13" fillId="2" borderId="0" xfId="0" applyFont="1" applyFill="1" applyAlignment="1"/>
    <xf numFmtId="0" fontId="14" fillId="2" borderId="0" xfId="15" applyFont="1" applyFill="1"/>
    <xf numFmtId="0" fontId="10" fillId="2" borderId="7" xfId="15" applyFont="1" applyFill="1" applyBorder="1"/>
    <xf numFmtId="0" fontId="15" fillId="2" borderId="8" xfId="15" applyFont="1" applyFill="1" applyBorder="1" applyAlignment="1">
      <alignment horizontal="center" vertical="center" wrapText="1"/>
    </xf>
    <xf numFmtId="0" fontId="10" fillId="2" borderId="9" xfId="15" applyFont="1" applyFill="1" applyBorder="1" applyAlignment="1">
      <alignment horizontal="center"/>
    </xf>
    <xf numFmtId="0" fontId="15" fillId="2" borderId="7" xfId="15" applyFont="1" applyFill="1" applyBorder="1" applyAlignment="1">
      <alignment horizontal="center" vertical="center" wrapText="1"/>
    </xf>
    <xf numFmtId="0" fontId="10" fillId="2" borderId="8" xfId="15" applyFont="1" applyFill="1" applyBorder="1" applyAlignment="1">
      <alignment horizontal="center"/>
    </xf>
    <xf numFmtId="0" fontId="10" fillId="2" borderId="10" xfId="15" applyFont="1" applyFill="1" applyBorder="1"/>
    <xf numFmtId="0" fontId="15" fillId="2" borderId="1" xfId="15" applyFont="1" applyFill="1" applyBorder="1" applyAlignment="1">
      <alignment horizontal="center" vertical="center" wrapText="1"/>
    </xf>
    <xf numFmtId="0" fontId="10" fillId="2" borderId="11" xfId="15" applyFont="1" applyFill="1" applyBorder="1" applyAlignment="1">
      <alignment horizontal="center"/>
    </xf>
    <xf numFmtId="0" fontId="15" fillId="2" borderId="10" xfId="15" applyFont="1" applyFill="1" applyBorder="1" applyAlignment="1">
      <alignment horizontal="center" vertical="center" wrapText="1"/>
    </xf>
    <xf numFmtId="0" fontId="10" fillId="2" borderId="1" xfId="15" applyFont="1" applyFill="1" applyBorder="1" applyAlignment="1">
      <alignment horizontal="center"/>
    </xf>
    <xf numFmtId="0" fontId="10" fillId="2" borderId="12" xfId="15" applyFont="1" applyFill="1" applyBorder="1"/>
    <xf numFmtId="0" fontId="15" fillId="2" borderId="13" xfId="15" applyFont="1" applyFill="1" applyBorder="1" applyAlignment="1">
      <alignment horizontal="center" vertical="center" wrapText="1"/>
    </xf>
    <xf numFmtId="0" fontId="10" fillId="2" borderId="14" xfId="15" applyFont="1" applyFill="1" applyBorder="1" applyAlignment="1">
      <alignment horizontal="center"/>
    </xf>
    <xf numFmtId="0" fontId="15" fillId="2" borderId="12" xfId="15" applyFont="1" applyFill="1" applyBorder="1" applyAlignment="1">
      <alignment horizontal="center" vertical="center" wrapText="1"/>
    </xf>
    <xf numFmtId="0" fontId="10" fillId="2" borderId="13" xfId="15" applyFont="1" applyFill="1" applyBorder="1" applyAlignment="1">
      <alignment horizontal="center"/>
    </xf>
    <xf numFmtId="0" fontId="10" fillId="2" borderId="0" xfId="15" applyFont="1" applyFill="1" applyAlignment="1">
      <alignment horizontal="center"/>
    </xf>
    <xf numFmtId="0" fontId="10" fillId="2" borderId="0" xfId="15" applyFont="1" applyFill="1" applyAlignment="1">
      <alignment horizontal="right"/>
    </xf>
    <xf numFmtId="14" fontId="10" fillId="2" borderId="0" xfId="15" applyNumberFormat="1" applyFont="1" applyFill="1" applyAlignment="1">
      <alignment horizontal="center"/>
    </xf>
    <xf numFmtId="0" fontId="16" fillId="2" borderId="0" xfId="15" applyFont="1" applyFill="1" applyAlignment="1">
      <alignment horizontal="center"/>
    </xf>
    <xf numFmtId="0" fontId="17" fillId="2" borderId="0" xfId="15" applyFont="1" applyFill="1" applyAlignment="1">
      <alignment horizontal="left"/>
    </xf>
    <xf numFmtId="14" fontId="16" fillId="2" borderId="0" xfId="15" applyNumberFormat="1" applyFont="1" applyFill="1" applyAlignment="1">
      <alignment horizontal="center"/>
    </xf>
    <xf numFmtId="0" fontId="16" fillId="2" borderId="0" xfId="15" applyFont="1" applyFill="1"/>
    <xf numFmtId="0" fontId="18" fillId="2" borderId="0" xfId="15" applyFont="1" applyFill="1"/>
    <xf numFmtId="0" fontId="19" fillId="2" borderId="0" xfId="15" applyFont="1" applyFill="1"/>
    <xf numFmtId="0" fontId="15" fillId="2" borderId="0" xfId="15" applyFont="1" applyFill="1"/>
    <xf numFmtId="0" fontId="12" fillId="2" borderId="15" xfId="15" applyFont="1" applyFill="1" applyBorder="1" applyAlignment="1">
      <alignment horizontal="center" vertical="center"/>
    </xf>
    <xf numFmtId="0" fontId="12" fillId="2" borderId="15" xfId="15" applyFont="1" applyFill="1" applyBorder="1" applyAlignment="1">
      <alignment vertical="center"/>
    </xf>
    <xf numFmtId="0" fontId="12" fillId="2" borderId="2" xfId="15" applyFont="1" applyFill="1" applyBorder="1" applyAlignment="1">
      <alignment vertical="center"/>
    </xf>
    <xf numFmtId="0" fontId="12" fillId="2" borderId="4" xfId="15" applyFont="1" applyFill="1" applyBorder="1" applyAlignment="1">
      <alignment vertical="center"/>
    </xf>
    <xf numFmtId="0" fontId="12" fillId="2" borderId="3" xfId="15" applyFont="1" applyFill="1" applyBorder="1" applyAlignment="1">
      <alignment vertical="center"/>
    </xf>
    <xf numFmtId="0" fontId="12" fillId="2" borderId="16" xfId="15" applyFont="1" applyFill="1" applyBorder="1" applyAlignment="1">
      <alignment horizontal="center" vertical="center" wrapText="1"/>
    </xf>
    <xf numFmtId="0" fontId="12" fillId="2" borderId="16" xfId="15" applyFont="1" applyFill="1" applyBorder="1" applyAlignment="1">
      <alignment vertical="center" wrapText="1"/>
    </xf>
    <xf numFmtId="0" fontId="10" fillId="2" borderId="1" xfId="15" applyFont="1" applyFill="1" applyBorder="1"/>
    <xf numFmtId="0" fontId="20" fillId="2" borderId="0" xfId="15" applyFont="1" applyFill="1" applyAlignment="1">
      <alignment vertical="center"/>
    </xf>
    <xf numFmtId="0" fontId="20" fillId="2" borderId="1" xfId="15" applyFont="1" applyFill="1" applyBorder="1" applyAlignment="1">
      <alignment horizontal="left" vertical="center" wrapText="1"/>
    </xf>
    <xf numFmtId="177" fontId="20" fillId="2" borderId="1" xfId="15" applyNumberFormat="1" applyFont="1" applyFill="1" applyBorder="1" applyAlignment="1">
      <alignment horizontal="center" vertical="center" wrapText="1"/>
    </xf>
    <xf numFmtId="0" fontId="20" fillId="2" borderId="1" xfId="15" applyFont="1" applyFill="1" applyBorder="1" applyAlignment="1">
      <alignment horizontal="center" vertical="center" wrapText="1"/>
    </xf>
    <xf numFmtId="14" fontId="10" fillId="2" borderId="1" xfId="15" applyNumberFormat="1" applyFont="1" applyFill="1" applyBorder="1" applyAlignment="1">
      <alignment horizontal="center" wrapText="1"/>
    </xf>
    <xf numFmtId="0" fontId="10" fillId="2" borderId="1" xfId="15" applyFont="1" applyFill="1" applyBorder="1" applyAlignment="1">
      <alignment horizontal="center" wrapText="1"/>
    </xf>
    <xf numFmtId="14" fontId="21" fillId="2" borderId="1" xfId="15" applyNumberFormat="1" applyFont="1" applyFill="1" applyBorder="1" applyAlignment="1">
      <alignment horizontal="center" wrapText="1"/>
    </xf>
    <xf numFmtId="0" fontId="21" fillId="2" borderId="1" xfId="15" applyFont="1" applyFill="1" applyBorder="1" applyAlignment="1">
      <alignment horizontal="center" wrapText="1"/>
    </xf>
    <xf numFmtId="0" fontId="22" fillId="2" borderId="0" xfId="15" applyFont="1" applyFill="1" applyAlignment="1">
      <alignment vertical="center"/>
    </xf>
    <xf numFmtId="0" fontId="22" fillId="2" borderId="1" xfId="15" applyFont="1" applyFill="1" applyBorder="1" applyAlignment="1">
      <alignment horizontal="left" vertical="center" wrapText="1"/>
    </xf>
    <xf numFmtId="14" fontId="15" fillId="2" borderId="1" xfId="15" applyNumberFormat="1" applyFont="1" applyFill="1" applyBorder="1" applyAlignment="1">
      <alignment horizontal="center" wrapText="1"/>
    </xf>
    <xf numFmtId="0" fontId="15" fillId="2" borderId="1" xfId="15" applyFont="1" applyFill="1" applyBorder="1" applyAlignment="1">
      <alignment horizontal="center" wrapText="1"/>
    </xf>
    <xf numFmtId="178" fontId="12" fillId="2" borderId="5" xfId="15" applyNumberFormat="1" applyFont="1" applyFill="1" applyBorder="1" applyAlignment="1">
      <alignment horizontal="center"/>
    </xf>
    <xf numFmtId="0" fontId="12" fillId="2" borderId="1" xfId="15" applyFont="1" applyFill="1" applyBorder="1" applyAlignment="1">
      <alignment horizontal="center" vertical="center" wrapText="1"/>
    </xf>
    <xf numFmtId="14" fontId="20" fillId="2" borderId="1" xfId="15" applyNumberFormat="1" applyFont="1" applyFill="1" applyBorder="1" applyAlignment="1">
      <alignment horizontal="center" vertical="center" wrapText="1"/>
    </xf>
    <xf numFmtId="179" fontId="23" fillId="2" borderId="1" xfId="15" applyNumberFormat="1" applyFont="1" applyFill="1" applyBorder="1" applyAlignment="1">
      <alignment horizontal="center"/>
    </xf>
    <xf numFmtId="0" fontId="11" fillId="0" borderId="5" xfId="15" applyFont="1" applyBorder="1"/>
    <xf numFmtId="0" fontId="16" fillId="0" borderId="0" xfId="15" applyFont="1"/>
    <xf numFmtId="0" fontId="18" fillId="0" borderId="0" xfId="15" applyFont="1"/>
    <xf numFmtId="0" fontId="15" fillId="0" borderId="0" xfId="15" applyFont="1"/>
    <xf numFmtId="0" fontId="20" fillId="3" borderId="0" xfId="15" applyFont="1" applyFill="1" applyAlignment="1">
      <alignment vertical="center"/>
    </xf>
    <xf numFmtId="0" fontId="8" fillId="0" borderId="5" xfId="0" applyFont="1" applyBorder="1" applyAlignment="1"/>
    <xf numFmtId="0" fontId="16" fillId="0" borderId="0" xfId="0" applyFont="1" applyAlignment="1"/>
    <xf numFmtId="0" fontId="24" fillId="0" borderId="0" xfId="0" applyFont="1" applyAlignment="1"/>
    <xf numFmtId="0" fontId="10" fillId="2" borderId="0" xfId="15" applyFont="1" applyFill="1" applyAlignment="1">
      <alignment horizontal="center" wrapText="1"/>
    </xf>
    <xf numFmtId="14" fontId="10"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5" fillId="2" borderId="0" xfId="0" applyFont="1" applyFill="1" applyAlignment="1">
      <alignment horizontal="center" vertical="center"/>
    </xf>
    <xf numFmtId="0" fontId="26" fillId="2" borderId="17" xfId="0" applyFont="1" applyFill="1" applyBorder="1" applyAlignment="1">
      <alignment horizontal="center" vertical="center"/>
    </xf>
    <xf numFmtId="0" fontId="26" fillId="2" borderId="18" xfId="0" applyFont="1" applyFill="1" applyBorder="1" applyAlignment="1">
      <alignment vertical="center" wrapText="1"/>
    </xf>
    <xf numFmtId="0" fontId="26" fillId="2" borderId="15" xfId="0" applyFont="1" applyFill="1" applyBorder="1" applyAlignment="1">
      <alignment horizontal="center" vertical="center"/>
    </xf>
    <xf numFmtId="0" fontId="27" fillId="2" borderId="18" xfId="0" applyFont="1" applyFill="1" applyBorder="1" applyAlignment="1">
      <alignment vertical="center" wrapText="1"/>
    </xf>
    <xf numFmtId="0" fontId="27" fillId="2" borderId="8" xfId="0" applyFont="1" applyFill="1" applyBorder="1" applyAlignment="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7" fillId="2" borderId="1" xfId="0" applyFont="1" applyFill="1" applyBorder="1" applyAlignment="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7" fillId="2" borderId="16" xfId="0" applyFont="1" applyFill="1" applyBorder="1" applyAlignment="1">
      <alignment horizontal="center" vertical="center" wrapText="1"/>
    </xf>
    <xf numFmtId="0" fontId="27" fillId="2" borderId="19" xfId="0" applyFont="1" applyFill="1" applyBorder="1" applyAlignment="1">
      <alignment vertical="center" wrapText="1"/>
    </xf>
    <xf numFmtId="0" fontId="27" fillId="2" borderId="20" xfId="0" applyFont="1" applyFill="1" applyBorder="1" applyAlignment="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7" fillId="2" borderId="13" xfId="0" applyFont="1" applyFill="1" applyBorder="1" applyAlignment="1">
      <alignment horizontal="center" vertical="center" wrapText="1"/>
    </xf>
    <xf numFmtId="10" fontId="7" fillId="0" borderId="14" xfId="0" applyNumberFormat="1" applyFont="1" applyBorder="1" applyAlignment="1">
      <alignment horizontal="center" vertical="center" wrapText="1"/>
    </xf>
    <xf numFmtId="0" fontId="27" fillId="2" borderId="15" xfId="0" applyFont="1" applyFill="1" applyBorder="1" applyAlignment="1">
      <alignment horizontal="center" vertical="center" wrapText="1"/>
    </xf>
    <xf numFmtId="10" fontId="7" fillId="0" borderId="15" xfId="0" applyNumberFormat="1" applyFont="1" applyBorder="1" applyAlignment="1">
      <alignment horizontal="center" vertical="center" wrapText="1"/>
    </xf>
    <xf numFmtId="0" fontId="27" fillId="2" borderId="24" xfId="0" applyFont="1" applyFill="1" applyBorder="1" applyAlignment="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7" fillId="2" borderId="27" xfId="0" applyFont="1" applyFill="1" applyBorder="1" applyAlignment="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3"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7" fillId="2" borderId="10" xfId="0" applyFont="1" applyFill="1" applyBorder="1" applyAlignment="1">
      <alignment horizontal="center" vertical="center" wrapText="1"/>
    </xf>
    <xf numFmtId="0" fontId="13" fillId="2" borderId="31" xfId="0" applyFont="1" applyFill="1" applyBorder="1">
      <alignment vertical="center"/>
    </xf>
    <xf numFmtId="0" fontId="26" fillId="2" borderId="32" xfId="0" applyFont="1" applyFill="1" applyBorder="1" applyAlignment="1">
      <alignment horizontal="center" vertical="center"/>
    </xf>
    <xf numFmtId="0" fontId="13" fillId="2" borderId="30" xfId="0" applyFont="1" applyFill="1" applyBorder="1">
      <alignment vertical="center"/>
    </xf>
    <xf numFmtId="0" fontId="26" fillId="2" borderId="13" xfId="0" applyFont="1" applyFill="1" applyBorder="1" applyAlignment="1">
      <alignment horizontal="center" vertical="center"/>
    </xf>
    <xf numFmtId="0" fontId="26" fillId="2" borderId="33" xfId="0" applyFont="1" applyFill="1" applyBorder="1" applyAlignment="1">
      <alignment horizontal="center" vertical="center"/>
    </xf>
    <xf numFmtId="0" fontId="27" fillId="2" borderId="32"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8" fillId="2" borderId="33" xfId="0" applyFont="1" applyFill="1" applyBorder="1">
      <alignment vertical="center"/>
    </xf>
    <xf numFmtId="0" fontId="27" fillId="2" borderId="2" xfId="0" applyFont="1" applyFill="1" applyBorder="1" applyAlignment="1">
      <alignment horizontal="center" vertical="center" wrapText="1"/>
    </xf>
    <xf numFmtId="0" fontId="28" fillId="2" borderId="2" xfId="0" applyFont="1" applyFill="1" applyBorder="1">
      <alignment vertical="center"/>
    </xf>
    <xf numFmtId="0" fontId="27"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32" fillId="0" borderId="0" xfId="0" applyFo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Protection="1">
      <alignment vertical="center"/>
      <protection locked="0"/>
    </xf>
    <xf numFmtId="0" fontId="32" fillId="4" borderId="0" xfId="0" applyFont="1" applyFill="1" applyAlignment="1" applyProtection="1">
      <alignment horizontal="center" vertical="center"/>
      <protection locked="0"/>
    </xf>
    <xf numFmtId="0" fontId="33" fillId="2" borderId="37" xfId="14" applyFont="1" applyFill="1" applyBorder="1">
      <alignment vertical="center"/>
    </xf>
    <xf numFmtId="0" fontId="30" fillId="2" borderId="38" xfId="14" applyFont="1" applyFill="1" applyBorder="1">
      <alignment vertical="center"/>
    </xf>
    <xf numFmtId="0" fontId="30" fillId="2" borderId="31" xfId="14" applyFont="1" applyFill="1" applyBorder="1">
      <alignment vertical="center"/>
    </xf>
    <xf numFmtId="0" fontId="30" fillId="2" borderId="0" xfId="14" applyFont="1" applyFill="1">
      <alignment vertical="center"/>
    </xf>
    <xf numFmtId="0" fontId="30" fillId="2" borderId="1" xfId="14" applyFont="1" applyFill="1" applyBorder="1">
      <alignment vertical="center"/>
    </xf>
    <xf numFmtId="178" fontId="30" fillId="2" borderId="1" xfId="14" applyNumberFormat="1" applyFont="1" applyFill="1" applyBorder="1" applyAlignment="1">
      <alignment horizontal="right" vertical="center"/>
    </xf>
    <xf numFmtId="0" fontId="34" fillId="2" borderId="0" xfId="14" applyFont="1" applyFill="1">
      <alignment vertical="center"/>
    </xf>
    <xf numFmtId="0" fontId="30" fillId="2" borderId="15" xfId="14" applyFont="1" applyFill="1" applyBorder="1">
      <alignment vertical="center"/>
    </xf>
    <xf numFmtId="0" fontId="30" fillId="2" borderId="15" xfId="14" applyFont="1" applyFill="1" applyBorder="1" applyAlignment="1">
      <alignment horizontal="right" vertical="center"/>
    </xf>
    <xf numFmtId="49" fontId="30" fillId="2" borderId="37" xfId="14" applyNumberFormat="1" applyFont="1" applyFill="1" applyBorder="1" applyAlignment="1"/>
    <xf numFmtId="49" fontId="30" fillId="2" borderId="38" xfId="14" applyNumberFormat="1" applyFont="1" applyFill="1" applyBorder="1" applyAlignment="1"/>
    <xf numFmtId="49" fontId="30" fillId="2" borderId="39" xfId="14" applyNumberFormat="1" applyFont="1" applyFill="1" applyBorder="1" applyAlignment="1"/>
    <xf numFmtId="49" fontId="31" fillId="2" borderId="10" xfId="14" applyNumberFormat="1" applyFont="1" applyFill="1" applyBorder="1" applyAlignment="1">
      <alignment horizontal="left"/>
    </xf>
    <xf numFmtId="0" fontId="31" fillId="2" borderId="2" xfId="14" applyFont="1" applyFill="1" applyBorder="1" applyAlignment="1"/>
    <xf numFmtId="178"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49" fontId="32" fillId="2" borderId="10" xfId="14" applyNumberFormat="1" applyFont="1" applyFill="1" applyBorder="1" applyAlignment="1">
      <alignment horizontal="center"/>
    </xf>
    <xf numFmtId="0" fontId="32" fillId="2" borderId="2" xfId="14" applyFont="1" applyFill="1" applyBorder="1" applyAlignment="1"/>
    <xf numFmtId="178" fontId="32" fillId="0" borderId="1" xfId="14" applyNumberFormat="1" applyFont="1" applyBorder="1" applyAlignment="1" applyProtection="1">
      <alignment horizontal="center"/>
      <protection locked="0"/>
    </xf>
    <xf numFmtId="179" fontId="32" fillId="2" borderId="1" xfId="14" applyNumberFormat="1" applyFont="1" applyFill="1" applyBorder="1" applyAlignment="1">
      <alignment horizontal="center"/>
    </xf>
    <xf numFmtId="0" fontId="32" fillId="2" borderId="1" xfId="14" applyFont="1" applyFill="1" applyBorder="1" applyAlignment="1">
      <alignment horizontal="center"/>
    </xf>
    <xf numFmtId="0" fontId="32" fillId="2" borderId="11" xfId="14" applyFont="1" applyFill="1" applyBorder="1" applyAlignment="1">
      <alignment horizontal="left"/>
    </xf>
    <xf numFmtId="178" fontId="32" fillId="2" borderId="1" xfId="14" applyNumberFormat="1" applyFont="1" applyFill="1" applyBorder="1" applyAlignment="1">
      <alignment horizontal="center"/>
    </xf>
    <xf numFmtId="10" fontId="32" fillId="2" borderId="1" xfId="14" applyNumberFormat="1" applyFont="1" applyFill="1" applyBorder="1" applyAlignment="1">
      <alignment horizontal="center"/>
    </xf>
    <xf numFmtId="178" fontId="32" fillId="2" borderId="1" xfId="14" applyNumberFormat="1" applyFont="1" applyFill="1" applyBorder="1" applyAlignment="1"/>
    <xf numFmtId="0" fontId="35" fillId="3" borderId="11" xfId="14" applyFont="1" applyFill="1" applyBorder="1" applyAlignment="1" applyProtection="1">
      <alignment horizontal="left" vertical="center"/>
      <protection locked="0"/>
    </xf>
    <xf numFmtId="0" fontId="36" fillId="2" borderId="10" xfId="14" applyFont="1" applyFill="1" applyBorder="1" applyAlignment="1">
      <alignment horizontal="right"/>
    </xf>
    <xf numFmtId="0" fontId="36" fillId="2" borderId="2" xfId="14" applyFont="1" applyFill="1" applyBorder="1" applyAlignment="1"/>
    <xf numFmtId="178" fontId="36" fillId="2" borderId="1" xfId="14" applyNumberFormat="1" applyFont="1" applyFill="1" applyBorder="1" applyAlignment="1">
      <alignment horizontal="center"/>
    </xf>
    <xf numFmtId="0" fontId="36" fillId="2" borderId="1" xfId="14" applyFont="1" applyFill="1" applyBorder="1" applyAlignment="1"/>
    <xf numFmtId="0" fontId="32" fillId="2" borderId="11" xfId="14" applyFont="1" applyFill="1" applyBorder="1" applyAlignment="1">
      <alignment vertical="center" wrapText="1"/>
    </xf>
    <xf numFmtId="0" fontId="32" fillId="2" borderId="10" xfId="14" applyFont="1" applyFill="1" applyBorder="1" applyAlignment="1">
      <alignment horizontal="left"/>
    </xf>
    <xf numFmtId="0" fontId="32" fillId="2" borderId="0" xfId="14" applyFont="1" applyFill="1" applyAlignment="1">
      <alignment horizontal="center"/>
    </xf>
    <xf numFmtId="0" fontId="32" fillId="2" borderId="1" xfId="0" applyFont="1" applyFill="1" applyBorder="1">
      <alignment vertical="center"/>
    </xf>
    <xf numFmtId="49" fontId="14" fillId="2" borderId="10" xfId="14" applyNumberFormat="1" applyFont="1" applyFill="1" applyBorder="1" applyAlignment="1">
      <alignment horizontal="left"/>
    </xf>
    <xf numFmtId="9" fontId="31" fillId="2" borderId="2" xfId="14" applyNumberFormat="1" applyFont="1" applyFill="1" applyBorder="1" applyAlignment="1">
      <alignment horizontal="center"/>
    </xf>
    <xf numFmtId="0" fontId="31" fillId="2" borderId="1" xfId="0" applyFont="1" applyFill="1" applyBorder="1" applyAlignment="1">
      <alignment horizontal="center" vertical="center"/>
    </xf>
    <xf numFmtId="10" fontId="31" fillId="2" borderId="2" xfId="14" applyNumberFormat="1" applyFont="1" applyFill="1" applyBorder="1" applyAlignment="1">
      <alignment horizontal="center"/>
    </xf>
    <xf numFmtId="0" fontId="35" fillId="2" borderId="11" xfId="0" applyFont="1" applyFill="1" applyBorder="1">
      <alignment vertical="center"/>
    </xf>
    <xf numFmtId="0" fontId="31" fillId="2" borderId="1" xfId="0" applyFont="1" applyFill="1" applyBorder="1" applyAlignment="1">
      <alignment horizontal="right" vertical="center"/>
    </xf>
    <xf numFmtId="0" fontId="31" fillId="2" borderId="1" xfId="0" applyFont="1" applyFill="1" applyBorder="1" applyAlignment="1">
      <alignment horizontal="left" vertical="center"/>
    </xf>
    <xf numFmtId="0" fontId="31" fillId="2" borderId="11" xfId="0" applyFont="1" applyFill="1" applyBorder="1">
      <alignment vertical="center"/>
    </xf>
    <xf numFmtId="180" fontId="31" fillId="2" borderId="1" xfId="0" applyNumberFormat="1" applyFont="1" applyFill="1" applyBorder="1" applyAlignment="1">
      <alignment horizontal="center" vertical="center"/>
    </xf>
    <xf numFmtId="10" fontId="31" fillId="2" borderId="2" xfId="14" applyNumberFormat="1" applyFont="1" applyFill="1" applyBorder="1" applyAlignment="1">
      <alignment horizontal="center" vertical="center"/>
    </xf>
    <xf numFmtId="0" fontId="32" fillId="2" borderId="10" xfId="0" applyFont="1" applyFill="1" applyBorder="1" applyAlignment="1">
      <alignment horizontal="center" vertical="center"/>
    </xf>
    <xf numFmtId="180" fontId="32" fillId="2" borderId="1" xfId="0" applyNumberFormat="1" applyFont="1" applyFill="1" applyBorder="1" applyAlignment="1">
      <alignment horizontal="center" vertical="center"/>
    </xf>
    <xf numFmtId="0" fontId="32" fillId="2" borderId="1" xfId="0" applyFont="1" applyFill="1" applyBorder="1" applyAlignment="1">
      <alignment horizontal="center" vertical="center"/>
    </xf>
    <xf numFmtId="179" fontId="32" fillId="2" borderId="2" xfId="14" applyNumberFormat="1" applyFont="1" applyFill="1" applyBorder="1" applyAlignment="1">
      <alignment horizontal="center" vertical="center"/>
    </xf>
    <xf numFmtId="0" fontId="32" fillId="2" borderId="11" xfId="0" applyFont="1" applyFill="1" applyBorder="1">
      <alignment vertical="center"/>
    </xf>
    <xf numFmtId="0" fontId="31" fillId="2" borderId="1" xfId="0" applyFont="1" applyFill="1" applyBorder="1">
      <alignment vertical="center"/>
    </xf>
    <xf numFmtId="0" fontId="32" fillId="2" borderId="40" xfId="0" applyFont="1" applyFill="1" applyBorder="1" applyAlignment="1">
      <alignment vertical="center" wrapText="1"/>
    </xf>
    <xf numFmtId="0" fontId="32" fillId="2" borderId="28" xfId="0" applyFont="1" applyFill="1" applyBorder="1">
      <alignment vertical="center"/>
    </xf>
    <xf numFmtId="0" fontId="31" fillId="2" borderId="2" xfId="14" applyFont="1" applyFill="1" applyBorder="1">
      <alignment vertical="center"/>
    </xf>
    <xf numFmtId="178" fontId="31" fillId="2" borderId="1" xfId="14" applyNumberFormat="1" applyFont="1" applyFill="1" applyBorder="1" applyAlignment="1">
      <alignment horizontal="center" vertical="center"/>
    </xf>
    <xf numFmtId="9" fontId="31" fillId="2" borderId="2" xfId="14" applyNumberFormat="1" applyFont="1" applyFill="1" applyBorder="1" applyAlignment="1">
      <alignment horizontal="center" vertical="center"/>
    </xf>
    <xf numFmtId="0" fontId="31" fillId="2" borderId="11" xfId="0" applyFont="1" applyFill="1" applyBorder="1" applyAlignment="1">
      <alignment vertical="center" wrapText="1"/>
    </xf>
    <xf numFmtId="0" fontId="32" fillId="2" borderId="2" xfId="14" applyFont="1" applyFill="1" applyBorder="1" applyAlignment="1">
      <alignment horizontal="left"/>
    </xf>
    <xf numFmtId="178" fontId="32" fillId="2" borderId="1" xfId="14" applyNumberFormat="1" applyFont="1" applyFill="1" applyBorder="1" applyAlignment="1">
      <alignment horizontal="center" vertical="center"/>
    </xf>
    <xf numFmtId="0" fontId="31" fillId="2" borderId="10" xfId="14" applyFont="1" applyFill="1" applyBorder="1" applyAlignment="1">
      <alignment horizontal="left"/>
    </xf>
    <xf numFmtId="179" fontId="31" fillId="2" borderId="1" xfId="14" applyNumberFormat="1" applyFont="1" applyFill="1" applyBorder="1" applyAlignment="1">
      <alignment horizontal="center"/>
    </xf>
    <xf numFmtId="9" fontId="31" fillId="2" borderId="1" xfId="14" applyNumberFormat="1" applyFont="1" applyFill="1" applyBorder="1" applyAlignment="1">
      <alignment horizontal="center"/>
    </xf>
    <xf numFmtId="49" fontId="30" fillId="2" borderId="41" xfId="14" applyNumberFormat="1" applyFont="1" applyFill="1" applyBorder="1" applyAlignment="1"/>
    <xf numFmtId="49" fontId="30" fillId="2" borderId="3" xfId="14" applyNumberFormat="1" applyFont="1" applyFill="1" applyBorder="1" applyAlignment="1"/>
    <xf numFmtId="49" fontId="30" fillId="2" borderId="42" xfId="14" applyNumberFormat="1" applyFont="1" applyFill="1" applyBorder="1" applyAlignment="1"/>
    <xf numFmtId="178" fontId="31" fillId="2" borderId="1" xfId="0" applyNumberFormat="1" applyFont="1" applyFill="1" applyBorder="1" applyAlignment="1">
      <alignment horizontal="center" vertical="center"/>
    </xf>
    <xf numFmtId="181" fontId="31" fillId="2" borderId="2" xfId="14" applyNumberFormat="1" applyFont="1" applyFill="1" applyBorder="1" applyAlignment="1">
      <alignment horizontal="center"/>
    </xf>
    <xf numFmtId="10" fontId="32" fillId="2" borderId="2" xfId="14" applyNumberFormat="1" applyFont="1" applyFill="1" applyBorder="1" applyAlignment="1">
      <alignment horizontal="center"/>
    </xf>
    <xf numFmtId="0" fontId="32" fillId="2" borderId="11" xfId="0" applyFont="1" applyFill="1" applyBorder="1" applyAlignment="1">
      <alignment vertical="center" wrapText="1"/>
    </xf>
    <xf numFmtId="0" fontId="32" fillId="2" borderId="11" xfId="14" applyFont="1" applyFill="1" applyBorder="1" applyAlignment="1">
      <alignment horizontal="left" vertical="center"/>
    </xf>
    <xf numFmtId="10" fontId="31" fillId="2" borderId="1" xfId="0" applyNumberFormat="1" applyFont="1" applyFill="1" applyBorder="1" applyAlignment="1">
      <alignment horizontal="right" vertical="center"/>
    </xf>
    <xf numFmtId="182" fontId="31" fillId="2" borderId="1" xfId="0" applyNumberFormat="1" applyFont="1" applyFill="1" applyBorder="1" applyAlignment="1">
      <alignment horizontal="right" vertical="center"/>
    </xf>
    <xf numFmtId="10" fontId="31" fillId="2" borderId="1" xfId="14" applyNumberFormat="1" applyFont="1" applyFill="1" applyBorder="1" applyAlignment="1">
      <alignment horizontal="center" vertical="center"/>
    </xf>
    <xf numFmtId="49" fontId="30" fillId="2" borderId="44" xfId="14" applyNumberFormat="1" applyFont="1" applyFill="1" applyBorder="1" applyAlignment="1"/>
    <xf numFmtId="49" fontId="30" fillId="2" borderId="45" xfId="14" applyNumberFormat="1" applyFont="1" applyFill="1" applyBorder="1" applyAlignment="1"/>
    <xf numFmtId="178" fontId="31" fillId="2" borderId="13" xfId="0" applyNumberFormat="1" applyFont="1" applyFill="1" applyBorder="1" applyAlignment="1">
      <alignment horizontal="center" vertical="center"/>
    </xf>
    <xf numFmtId="49" fontId="30" fillId="2" borderId="46" xfId="14" applyNumberFormat="1" applyFont="1" applyFill="1" applyBorder="1" applyAlignment="1"/>
    <xf numFmtId="0" fontId="37" fillId="2" borderId="1" xfId="0" applyFont="1" applyFill="1" applyBorder="1" applyAlignment="1">
      <alignment horizontal="left"/>
    </xf>
    <xf numFmtId="0" fontId="29" fillId="2" borderId="1" xfId="0" applyFont="1" applyFill="1" applyBorder="1" applyAlignment="1">
      <alignment horizontal="center" vertical="center"/>
    </xf>
    <xf numFmtId="0" fontId="38" fillId="2" borderId="1" xfId="0" applyFont="1" applyFill="1" applyBorder="1" applyAlignment="1"/>
    <xf numFmtId="181" fontId="32" fillId="2" borderId="1" xfId="0" applyNumberFormat="1" applyFont="1" applyFill="1" applyBorder="1" applyAlignment="1">
      <alignment horizontal="center"/>
    </xf>
    <xf numFmtId="181" fontId="38" fillId="2" borderId="1" xfId="0" applyNumberFormat="1" applyFont="1" applyFill="1" applyBorder="1" applyAlignment="1">
      <alignment horizontal="center"/>
    </xf>
    <xf numFmtId="0" fontId="3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5" borderId="0" xfId="0" applyFont="1" applyFill="1" applyProtection="1">
      <alignment vertical="center"/>
      <protection locked="0"/>
    </xf>
    <xf numFmtId="0" fontId="38" fillId="2" borderId="1" xfId="0" applyFont="1" applyFill="1" applyBorder="1">
      <alignment vertical="center"/>
    </xf>
    <xf numFmtId="0" fontId="38" fillId="2" borderId="13" xfId="0" applyFont="1" applyFill="1" applyBorder="1" applyAlignment="1">
      <alignment horizontal="center" vertical="center"/>
    </xf>
    <xf numFmtId="0" fontId="31" fillId="2" borderId="48" xfId="0" applyFont="1" applyFill="1" applyBorder="1" applyAlignment="1" applyProtection="1">
      <alignment vertical="center" wrapText="1"/>
      <protection locked="0"/>
    </xf>
    <xf numFmtId="0" fontId="38" fillId="2" borderId="49"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7" fillId="2" borderId="50" xfId="0" applyFont="1" applyFill="1" applyBorder="1" applyAlignment="1" applyProtection="1">
      <alignment vertical="center" textRotation="255" wrapText="1"/>
      <protection locked="0"/>
    </xf>
    <xf numFmtId="0" fontId="38" fillId="2" borderId="30" xfId="0" applyFont="1" applyFill="1" applyBorder="1" applyAlignment="1">
      <alignment horizontal="center" vertical="center"/>
    </xf>
    <xf numFmtId="0" fontId="3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7" fillId="2" borderId="50" xfId="0" applyFont="1" applyFill="1" applyBorder="1" applyAlignment="1" applyProtection="1">
      <alignment vertical="center" wrapText="1"/>
      <protection locked="0"/>
    </xf>
    <xf numFmtId="0" fontId="38" fillId="2" borderId="30" xfId="0" applyFont="1" applyFill="1" applyBorder="1" applyAlignment="1">
      <alignment horizontal="center" vertical="center" wrapText="1"/>
    </xf>
    <xf numFmtId="0" fontId="38" fillId="0" borderId="51"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40" fillId="2" borderId="50" xfId="0" applyFont="1" applyFill="1" applyBorder="1" applyAlignment="1" applyProtection="1">
      <alignment vertical="center" wrapText="1"/>
      <protection locked="0"/>
    </xf>
    <xf numFmtId="0" fontId="41" fillId="0" borderId="52" xfId="0" applyFont="1" applyBorder="1" applyAlignment="1" applyProtection="1">
      <alignment horizontal="center" vertical="center" wrapText="1"/>
      <protection locked="0"/>
    </xf>
    <xf numFmtId="0" fontId="38" fillId="0" borderId="53" xfId="0" applyFont="1" applyBorder="1" applyAlignment="1" applyProtection="1">
      <alignment horizontal="center" vertical="center" wrapText="1"/>
      <protection locked="0"/>
    </xf>
    <xf numFmtId="0" fontId="38" fillId="0" borderId="54" xfId="0" applyFont="1" applyBorder="1" applyAlignment="1" applyProtection="1">
      <alignment horizontal="center" vertical="center" wrapText="1"/>
      <protection locked="0"/>
    </xf>
    <xf numFmtId="0" fontId="7" fillId="0" borderId="54" xfId="0" applyFont="1" applyBorder="1" applyAlignment="1" applyProtection="1">
      <alignment horizontal="center" vertical="center" wrapText="1"/>
      <protection locked="0"/>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41" fillId="0" borderId="30" xfId="0" applyFont="1" applyBorder="1" applyAlignment="1" applyProtection="1">
      <alignment horizontal="center" vertical="center" wrapText="1"/>
      <protection locked="0"/>
    </xf>
    <xf numFmtId="0" fontId="38" fillId="0" borderId="58"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38" fillId="2" borderId="51"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38" fillId="0" borderId="56" xfId="0" applyFont="1" applyBorder="1" applyAlignment="1" applyProtection="1">
      <alignment horizontal="center" vertical="center" wrapText="1"/>
      <protection locked="0"/>
    </xf>
    <xf numFmtId="0" fontId="32" fillId="0" borderId="57" xfId="0" applyFont="1" applyBorder="1" applyAlignment="1" applyProtection="1">
      <alignment horizontal="center" vertical="center" wrapText="1"/>
      <protection locked="0"/>
    </xf>
    <xf numFmtId="0" fontId="40" fillId="2" borderId="59" xfId="0" applyFont="1" applyFill="1" applyBorder="1" applyAlignment="1">
      <alignment horizontal="center" vertical="center" wrapText="1"/>
    </xf>
    <xf numFmtId="0" fontId="38" fillId="6" borderId="49" xfId="0" applyFont="1" applyFill="1" applyBorder="1" applyAlignment="1">
      <alignment horizontal="center" vertical="center" wrapText="1"/>
    </xf>
    <xf numFmtId="0" fontId="38" fillId="6" borderId="7" xfId="0" applyFont="1" applyFill="1" applyBorder="1" applyAlignment="1" applyProtection="1">
      <alignment horizontal="center" vertical="center" wrapText="1"/>
      <protection locked="0"/>
    </xf>
    <xf numFmtId="0" fontId="38" fillId="6" borderId="8" xfId="0" applyFont="1" applyFill="1" applyBorder="1" applyAlignment="1" applyProtection="1">
      <alignment horizontal="center" vertical="center" wrapText="1"/>
      <protection locked="0"/>
    </xf>
    <xf numFmtId="0" fontId="40" fillId="6" borderId="60" xfId="0" applyFont="1" applyFill="1" applyBorder="1" applyAlignment="1" applyProtection="1">
      <alignment vertical="center" wrapText="1"/>
      <protection locked="0"/>
    </xf>
    <xf numFmtId="0" fontId="38" fillId="6" borderId="61" xfId="0" applyFont="1" applyFill="1" applyBorder="1" applyAlignment="1">
      <alignment horizontal="center" vertical="center" wrapText="1"/>
    </xf>
    <xf numFmtId="0" fontId="38" fillId="6" borderId="12" xfId="0" applyFont="1" applyFill="1" applyBorder="1" applyAlignment="1" applyProtection="1">
      <alignment horizontal="center" vertical="center" wrapText="1"/>
      <protection locked="0"/>
    </xf>
    <xf numFmtId="0" fontId="32" fillId="6" borderId="13"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8" fillId="2" borderId="31" xfId="0"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42" fillId="2" borderId="1" xfId="0" applyFont="1" applyFill="1" applyBorder="1">
      <alignment vertical="center"/>
    </xf>
    <xf numFmtId="0" fontId="42" fillId="2" borderId="1" xfId="0" applyFont="1" applyFill="1" applyBorder="1" applyAlignment="1">
      <alignment horizontal="center" vertical="center"/>
    </xf>
    <xf numFmtId="0" fontId="31" fillId="3" borderId="44" xfId="14" applyFont="1" applyFill="1" applyBorder="1" applyProtection="1">
      <alignment vertical="center"/>
      <protection locked="0"/>
    </xf>
    <xf numFmtId="0" fontId="38" fillId="3" borderId="62" xfId="0" applyFont="1" applyFill="1" applyBorder="1" applyAlignment="1" applyProtection="1">
      <alignment horizontal="center" vertical="center"/>
      <protection locked="0"/>
    </xf>
    <xf numFmtId="0" fontId="30" fillId="3" borderId="14" xfId="14" applyFont="1" applyFill="1" applyBorder="1" applyProtection="1">
      <alignment vertical="center"/>
      <protection locked="0"/>
    </xf>
    <xf numFmtId="0" fontId="40"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1" xfId="0" applyFont="1" applyFill="1" applyBorder="1" applyAlignment="1">
      <alignment horizontal="center" vertical="center" wrapText="1"/>
    </xf>
    <xf numFmtId="0" fontId="37" fillId="0" borderId="1" xfId="0" applyFont="1" applyBorder="1" applyAlignment="1" applyProtection="1">
      <alignment horizontal="center" vertical="center"/>
      <protection locked="0"/>
    </xf>
    <xf numFmtId="0" fontId="43" fillId="2" borderId="1" xfId="0" applyFont="1" applyFill="1" applyBorder="1" applyAlignment="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7" fillId="7" borderId="1" xfId="0" applyFont="1" applyFill="1" applyBorder="1" applyAlignment="1" applyProtection="1">
      <alignment horizontal="center" vertical="center"/>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center" vertical="center" wrapText="1"/>
      <protection locked="0"/>
    </xf>
    <xf numFmtId="0" fontId="7" fillId="0" borderId="48" xfId="0" applyFont="1" applyBorder="1" applyAlignment="1" applyProtection="1">
      <alignment horizontal="center" vertical="center" wrapText="1"/>
      <protection locked="0"/>
    </xf>
    <xf numFmtId="0" fontId="7" fillId="0" borderId="54" xfId="0" applyFont="1" applyBorder="1" applyAlignment="1" applyProtection="1">
      <alignment horizontal="left" vertical="center" wrapText="1"/>
      <protection locked="0"/>
    </xf>
    <xf numFmtId="0" fontId="7" fillId="0" borderId="63"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50" xfId="0" applyFont="1" applyBorder="1" applyAlignment="1" applyProtection="1">
      <alignment horizontal="center" vertical="center"/>
      <protection locked="0"/>
    </xf>
    <xf numFmtId="0" fontId="7" fillId="0" borderId="64" xfId="0" applyFont="1" applyBorder="1" applyAlignment="1" applyProtection="1">
      <alignment horizontal="center" vertical="center" wrapText="1"/>
      <protection locked="0"/>
    </xf>
    <xf numFmtId="0" fontId="7" fillId="0" borderId="16" xfId="0" applyFont="1" applyBorder="1" applyAlignment="1" applyProtection="1">
      <alignment horizontal="left" vertical="center" wrapText="1"/>
      <protection locked="0"/>
    </xf>
    <xf numFmtId="0" fontId="38" fillId="0" borderId="63" xfId="0" applyFont="1" applyBorder="1" applyAlignment="1" applyProtection="1">
      <alignment horizontal="center" vertical="center" wrapText="1"/>
      <protection locked="0"/>
    </xf>
    <xf numFmtId="0" fontId="38" fillId="0" borderId="65" xfId="0" applyFont="1" applyBorder="1" applyAlignment="1" applyProtection="1">
      <alignment horizontal="center" vertical="center"/>
      <protection locked="0"/>
    </xf>
    <xf numFmtId="0" fontId="38" fillId="0" borderId="66" xfId="0"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2" fillId="0" borderId="48" xfId="0" applyFont="1" applyBorder="1" applyAlignment="1" applyProtection="1">
      <alignment horizontal="center" vertical="center" wrapText="1"/>
      <protection locked="0"/>
    </xf>
    <xf numFmtId="0" fontId="38" fillId="6" borderId="8" xfId="0" applyFont="1" applyFill="1" applyBorder="1" applyAlignment="1" applyProtection="1">
      <alignment horizontal="left" vertical="center" wrapText="1"/>
      <protection locked="0"/>
    </xf>
    <xf numFmtId="0" fontId="38" fillId="6" borderId="32" xfId="0"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Font="1" applyFill="1" applyBorder="1" applyAlignment="1" applyProtection="1">
      <alignment horizontal="center" vertical="center" wrapText="1"/>
      <protection locked="0"/>
    </xf>
    <xf numFmtId="0" fontId="32" fillId="6" borderId="33" xfId="0" applyFont="1" applyFill="1" applyBorder="1" applyAlignment="1" applyProtection="1">
      <alignment horizontal="center" vertical="center" wrapText="1"/>
      <protection locked="0"/>
    </xf>
    <xf numFmtId="0" fontId="38" fillId="2" borderId="39" xfId="0" applyFont="1" applyFill="1" applyBorder="1" applyAlignment="1">
      <alignment horizontal="center" vertical="center" wrapText="1"/>
    </xf>
    <xf numFmtId="0" fontId="38" fillId="2" borderId="29" xfId="0" applyFont="1" applyFill="1" applyBorder="1" applyAlignment="1">
      <alignment horizontal="center" vertical="center" wrapText="1"/>
    </xf>
    <xf numFmtId="0" fontId="32" fillId="5" borderId="0" xfId="0" applyFont="1" applyFill="1" applyAlignment="1" applyProtection="1">
      <alignment horizontal="center" vertical="center"/>
      <protection locked="0"/>
    </xf>
    <xf numFmtId="0" fontId="7" fillId="0" borderId="42" xfId="0" applyFont="1" applyBorder="1" applyAlignment="1" applyProtection="1">
      <alignment horizontal="center" vertical="center" wrapText="1"/>
      <protection locked="0"/>
    </xf>
    <xf numFmtId="0" fontId="39" fillId="2" borderId="69" xfId="0" applyFont="1" applyFill="1" applyBorder="1" applyAlignment="1">
      <alignment horizontal="center" vertical="center" wrapText="1"/>
    </xf>
    <xf numFmtId="0" fontId="39" fillId="5" borderId="0" xfId="0" applyFont="1" applyFill="1" applyAlignment="1" applyProtection="1">
      <alignment horizontal="center" vertical="center"/>
      <protection locked="0"/>
    </xf>
    <xf numFmtId="0" fontId="7" fillId="0" borderId="69" xfId="0" applyFont="1" applyBorder="1" applyAlignment="1" applyProtection="1">
      <alignment horizontal="center" vertical="center" wrapText="1"/>
      <protection locked="0"/>
    </xf>
    <xf numFmtId="0" fontId="32" fillId="2" borderId="23" xfId="0" applyFont="1" applyFill="1" applyBorder="1" applyAlignment="1">
      <alignment horizontal="center" vertical="center" wrapText="1"/>
    </xf>
    <xf numFmtId="0" fontId="7" fillId="0" borderId="70" xfId="0" applyFont="1" applyBorder="1" applyAlignment="1" applyProtection="1">
      <alignment horizontal="center" vertical="center" wrapText="1"/>
      <protection locked="0"/>
    </xf>
    <xf numFmtId="0" fontId="38" fillId="0" borderId="71" xfId="0" applyFont="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2" borderId="72" xfId="0" applyFont="1" applyFill="1" applyBorder="1" applyAlignment="1">
      <alignment horizontal="center" vertical="center" wrapText="1"/>
    </xf>
    <xf numFmtId="9" fontId="7" fillId="0" borderId="64" xfId="0" applyNumberFormat="1" applyFont="1" applyBorder="1" applyAlignment="1" applyProtection="1">
      <alignment horizontal="center" vertical="center" wrapText="1"/>
      <protection locked="0"/>
    </xf>
    <xf numFmtId="0" fontId="7" fillId="0" borderId="64"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38" fillId="0" borderId="23" xfId="0" applyFont="1" applyBorder="1" applyAlignment="1" applyProtection="1">
      <alignment horizontal="center" vertical="center" wrapText="1"/>
      <protection locked="0"/>
    </xf>
    <xf numFmtId="9" fontId="38" fillId="0" borderId="66" xfId="0" applyNumberFormat="1" applyFont="1" applyBorder="1" applyAlignment="1" applyProtection="1">
      <alignment horizontal="center" vertical="center" wrapText="1"/>
      <protection locked="0"/>
    </xf>
    <xf numFmtId="0" fontId="38" fillId="0" borderId="66" xfId="0" applyFont="1" applyBorder="1" applyAlignment="1" applyProtection="1">
      <alignment horizontal="center" vertical="center"/>
      <protection locked="0"/>
    </xf>
    <xf numFmtId="0" fontId="38" fillId="0" borderId="71" xfId="0" applyFont="1" applyBorder="1" applyAlignment="1" applyProtection="1">
      <alignment horizontal="center" vertical="center"/>
      <protection locked="0"/>
    </xf>
    <xf numFmtId="0" fontId="38" fillId="2" borderId="71"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5" borderId="0" xfId="0" applyFont="1" applyFill="1" applyAlignment="1" applyProtection="1">
      <alignment horizontal="center" vertical="center" wrapText="1"/>
      <protection locked="0"/>
    </xf>
    <xf numFmtId="0" fontId="37" fillId="2" borderId="1" xfId="0" applyFont="1" applyFill="1" applyBorder="1" applyAlignment="1">
      <alignment horizontal="center" vertical="center"/>
    </xf>
    <xf numFmtId="0" fontId="37" fillId="5"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8" borderId="0" xfId="4" applyFont="1" applyFill="1" applyAlignment="1">
      <alignment horizontal="left" vertical="center"/>
    </xf>
    <xf numFmtId="0" fontId="43" fillId="9" borderId="0" xfId="4" applyFont="1" applyFill="1" applyAlignment="1">
      <alignment horizontal="left" vertical="center"/>
    </xf>
    <xf numFmtId="0" fontId="44"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5"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7" fillId="2" borderId="74" xfId="7" applyFont="1" applyFill="1" applyBorder="1" applyAlignment="1">
      <alignment horizontal="left" vertical="center"/>
    </xf>
    <xf numFmtId="0" fontId="48" fillId="2" borderId="74" xfId="7" applyFont="1" applyFill="1" applyBorder="1" applyAlignment="1">
      <alignment horizontal="left" vertical="center"/>
    </xf>
    <xf numFmtId="0" fontId="43" fillId="0" borderId="76" xfId="4" applyFont="1" applyBorder="1" applyAlignment="1">
      <alignment horizontal="left" vertical="center"/>
    </xf>
    <xf numFmtId="0" fontId="11" fillId="8" borderId="0" xfId="4" applyFont="1" applyFill="1" applyAlignment="1">
      <alignment horizontal="left" vertical="center"/>
    </xf>
    <xf numFmtId="0" fontId="49" fillId="8" borderId="0" xfId="7" applyFont="1" applyFill="1" applyAlignment="1">
      <alignment horizontal="left" vertical="center"/>
    </xf>
    <xf numFmtId="0" fontId="48" fillId="8" borderId="0" xfId="7" applyFont="1" applyFill="1" applyAlignment="1">
      <alignment horizontal="left" vertical="center"/>
    </xf>
    <xf numFmtId="0" fontId="43" fillId="8" borderId="75" xfId="4" applyFont="1" applyFill="1" applyBorder="1" applyAlignment="1">
      <alignment horizontal="left" vertical="center"/>
    </xf>
    <xf numFmtId="0" fontId="49" fillId="0" borderId="0" xfId="7" applyFont="1" applyAlignment="1">
      <alignment horizontal="left" vertical="center"/>
    </xf>
    <xf numFmtId="0" fontId="48" fillId="0" borderId="0" xfId="7" applyFont="1" applyAlignment="1">
      <alignment horizontal="left" vertical="center"/>
    </xf>
    <xf numFmtId="0" fontId="43" fillId="0" borderId="75" xfId="4" applyFont="1" applyBorder="1" applyAlignment="1">
      <alignment horizontal="left" vertical="center"/>
    </xf>
    <xf numFmtId="49" fontId="32" fillId="9" borderId="1" xfId="4" applyNumberFormat="1" applyFont="1" applyFill="1" applyBorder="1" applyAlignment="1">
      <alignment horizontal="left" vertical="center" wrapText="1"/>
    </xf>
    <xf numFmtId="184" fontId="44" fillId="9" borderId="0" xfId="4" applyNumberFormat="1" applyFont="1" applyFill="1" applyAlignment="1">
      <alignment horizontal="left" vertical="center"/>
    </xf>
    <xf numFmtId="0" fontId="50" fillId="10" borderId="77" xfId="4" applyFont="1" applyFill="1" applyBorder="1" applyAlignment="1">
      <alignment horizontal="left" vertical="center" wrapText="1"/>
    </xf>
    <xf numFmtId="0" fontId="50" fillId="9" borderId="78" xfId="4" applyFont="1" applyFill="1" applyBorder="1" applyAlignment="1">
      <alignment horizontal="left" vertical="center" wrapText="1"/>
    </xf>
    <xf numFmtId="49" fontId="32" fillId="2" borderId="1" xfId="4" applyNumberFormat="1" applyFont="1" applyFill="1" applyBorder="1" applyAlignment="1">
      <alignment horizontal="left" vertical="center" wrapText="1"/>
    </xf>
    <xf numFmtId="184" fontId="7" fillId="0" borderId="0" xfId="4" applyNumberFormat="1" applyFont="1" applyAlignment="1">
      <alignment horizontal="left" vertical="center"/>
    </xf>
    <xf numFmtId="0" fontId="50" fillId="11" borderId="78" xfId="4" applyFont="1" applyFill="1" applyBorder="1" applyAlignment="1">
      <alignment horizontal="left" vertical="center" wrapText="1"/>
    </xf>
    <xf numFmtId="0" fontId="50" fillId="10" borderId="79" xfId="4" applyFont="1" applyFill="1" applyBorder="1" applyAlignment="1">
      <alignment horizontal="left" vertical="center" wrapText="1"/>
    </xf>
    <xf numFmtId="184" fontId="43" fillId="10" borderId="79" xfId="4" applyNumberFormat="1" applyFont="1" applyFill="1" applyBorder="1" applyAlignment="1">
      <alignment horizontal="left" vertical="center" wrapText="1"/>
    </xf>
    <xf numFmtId="184" fontId="43" fillId="10" borderId="80" xfId="4" applyNumberFormat="1" applyFont="1" applyFill="1" applyBorder="1" applyAlignment="1">
      <alignment horizontal="left" vertical="center" wrapText="1"/>
    </xf>
    <xf numFmtId="0" fontId="50" fillId="10" borderId="78" xfId="4" applyFont="1" applyFill="1" applyBorder="1" applyAlignment="1">
      <alignment horizontal="left" vertical="center" wrapText="1"/>
    </xf>
    <xf numFmtId="0" fontId="50" fillId="10" borderId="85" xfId="4" applyFont="1" applyFill="1" applyBorder="1" applyAlignment="1">
      <alignment horizontal="left" vertical="center" wrapText="1"/>
    </xf>
    <xf numFmtId="0" fontId="50" fillId="11" borderId="79" xfId="4" applyFont="1" applyFill="1" applyBorder="1" applyAlignment="1">
      <alignment horizontal="left" vertical="center" wrapText="1"/>
    </xf>
    <xf numFmtId="184" fontId="43" fillId="10" borderId="78" xfId="4" applyNumberFormat="1" applyFont="1" applyFill="1" applyBorder="1" applyAlignment="1">
      <alignment horizontal="left" vertical="center" wrapText="1"/>
    </xf>
    <xf numFmtId="184" fontId="43" fillId="10" borderId="86" xfId="4" applyNumberFormat="1" applyFont="1" applyFill="1" applyBorder="1" applyAlignment="1">
      <alignment horizontal="left" vertical="center" wrapText="1"/>
    </xf>
    <xf numFmtId="0" fontId="7" fillId="11" borderId="79" xfId="4" applyFont="1" applyFill="1" applyBorder="1" applyAlignment="1">
      <alignment horizontal="left" vertical="center" wrapText="1"/>
    </xf>
    <xf numFmtId="49" fontId="32" fillId="3" borderId="1" xfId="4" applyNumberFormat="1" applyFont="1" applyFill="1" applyBorder="1" applyAlignment="1">
      <alignment horizontal="left" vertical="center" wrapText="1"/>
    </xf>
    <xf numFmtId="184" fontId="7" fillId="3" borderId="0" xfId="4" applyNumberFormat="1" applyFont="1" applyFill="1" applyAlignment="1">
      <alignment horizontal="left" vertical="center"/>
    </xf>
    <xf numFmtId="0" fontId="7" fillId="3" borderId="78" xfId="4" applyFont="1" applyFill="1" applyBorder="1" applyAlignment="1">
      <alignment horizontal="left" vertical="center" wrapText="1"/>
    </xf>
    <xf numFmtId="0" fontId="7" fillId="10" borderId="85" xfId="4" applyFont="1" applyFill="1" applyBorder="1" applyAlignment="1">
      <alignment horizontal="left" vertical="center" wrapText="1"/>
    </xf>
    <xf numFmtId="184" fontId="43" fillId="10" borderId="85" xfId="4" applyNumberFormat="1" applyFont="1" applyFill="1" applyBorder="1" applyAlignment="1">
      <alignment horizontal="left" vertical="center" wrapText="1"/>
    </xf>
    <xf numFmtId="184" fontId="43" fillId="10" borderId="87" xfId="4" applyNumberFormat="1" applyFont="1" applyFill="1" applyBorder="1" applyAlignment="1">
      <alignment horizontal="left" vertical="center" wrapText="1"/>
    </xf>
    <xf numFmtId="184" fontId="7" fillId="9" borderId="0" xfId="4" applyNumberFormat="1" applyFont="1" applyFill="1" applyAlignment="1">
      <alignment horizontal="left" vertical="center"/>
    </xf>
    <xf numFmtId="184" fontId="7" fillId="0" borderId="21" xfId="4" applyNumberFormat="1" applyFont="1" applyBorder="1" applyAlignment="1">
      <alignment horizontal="left" vertical="center"/>
    </xf>
    <xf numFmtId="0" fontId="50" fillId="11" borderId="88" xfId="4" applyFont="1" applyFill="1" applyBorder="1" applyAlignment="1">
      <alignment horizontal="left" vertical="center" wrapText="1"/>
    </xf>
    <xf numFmtId="0" fontId="50" fillId="10" borderId="89" xfId="4" applyFont="1" applyFill="1" applyBorder="1" applyAlignment="1">
      <alignment horizontal="left" vertical="center" wrapText="1"/>
    </xf>
    <xf numFmtId="0" fontId="44" fillId="8" borderId="0" xfId="4" applyFont="1" applyFill="1" applyAlignment="1" applyProtection="1">
      <alignment horizontal="left" vertical="center"/>
      <protection locked="0"/>
    </xf>
    <xf numFmtId="0" fontId="43" fillId="0" borderId="0" xfId="4" applyFont="1" applyAlignment="1" applyProtection="1">
      <alignment horizontal="left" vertical="center"/>
      <protection locked="0"/>
    </xf>
    <xf numFmtId="0" fontId="44" fillId="9" borderId="0" xfId="4" applyFont="1" applyFill="1" applyAlignment="1" applyProtection="1">
      <alignment horizontal="left" vertical="center"/>
      <protection locked="0"/>
    </xf>
    <xf numFmtId="10" fontId="44" fillId="9" borderId="90" xfId="4" applyNumberFormat="1" applyFont="1" applyFill="1" applyBorder="1" applyAlignment="1">
      <alignment horizontal="left" vertical="center"/>
    </xf>
    <xf numFmtId="0" fontId="50" fillId="11" borderId="78" xfId="8" applyFont="1" applyFill="1" applyBorder="1" applyAlignment="1">
      <alignment horizontal="left" vertical="center" wrapText="1"/>
    </xf>
    <xf numFmtId="0" fontId="50" fillId="11" borderId="91" xfId="8" applyFont="1" applyFill="1" applyBorder="1" applyAlignment="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50" fillId="11" borderId="91" xfId="4" applyFont="1" applyFill="1" applyBorder="1" applyAlignment="1">
      <alignment horizontal="left" vertical="center" wrapText="1"/>
    </xf>
    <xf numFmtId="0" fontId="50" fillId="10" borderId="92" xfId="4" applyFont="1" applyFill="1" applyBorder="1" applyAlignment="1">
      <alignment horizontal="left" vertical="center" wrapText="1"/>
    </xf>
    <xf numFmtId="0" fontId="50" fillId="10" borderId="91" xfId="4" applyFont="1" applyFill="1" applyBorder="1" applyAlignment="1">
      <alignment horizontal="left" vertical="center" wrapText="1"/>
    </xf>
    <xf numFmtId="0" fontId="50" fillId="10" borderId="93" xfId="4" applyFont="1" applyFill="1" applyBorder="1" applyAlignment="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50" fillId="11" borderId="92" xfId="4" applyFont="1" applyFill="1" applyBorder="1" applyAlignment="1">
      <alignment horizontal="left" vertical="center" wrapText="1"/>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lignment horizontal="left" vertical="center" wrapText="1"/>
    </xf>
    <xf numFmtId="0" fontId="7" fillId="3" borderId="91" xfId="4" applyFont="1" applyFill="1" applyBorder="1" applyAlignment="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lignment horizontal="left" vertical="center" wrapText="1"/>
    </xf>
    <xf numFmtId="0" fontId="50" fillId="11" borderId="97" xfId="4" applyFont="1" applyFill="1" applyBorder="1" applyAlignment="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50" fillId="10" borderId="99" xfId="4" applyFont="1" applyFill="1" applyBorder="1" applyAlignment="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0" fontId="12" fillId="8" borderId="0" xfId="4" applyFont="1" applyFill="1" applyAlignment="1">
      <alignment horizontal="left" vertical="center"/>
    </xf>
    <xf numFmtId="0" fontId="7" fillId="8" borderId="0" xfId="4" applyFont="1" applyFill="1" applyAlignment="1">
      <alignment horizontal="left" vertical="center"/>
    </xf>
    <xf numFmtId="0" fontId="43" fillId="9" borderId="75" xfId="4" applyFont="1" applyFill="1" applyBorder="1" applyAlignment="1">
      <alignment horizontal="left" vertical="center"/>
    </xf>
    <xf numFmtId="0" fontId="45" fillId="3" borderId="0" xfId="4" applyFont="1" applyFill="1" applyAlignment="1">
      <alignment horizontal="left" vertical="center"/>
    </xf>
    <xf numFmtId="0" fontId="7" fillId="9" borderId="0" xfId="4" applyFont="1" applyFill="1" applyAlignment="1">
      <alignment horizontal="left" vertical="center"/>
    </xf>
    <xf numFmtId="178" fontId="7" fillId="0" borderId="0" xfId="4" applyNumberFormat="1" applyFont="1" applyAlignment="1">
      <alignment horizontal="left" vertical="center"/>
    </xf>
    <xf numFmtId="181" fontId="7" fillId="0" borderId="75" xfId="4" applyNumberFormat="1" applyFont="1" applyBorder="1" applyAlignment="1">
      <alignment horizontal="left" vertical="center"/>
    </xf>
    <xf numFmtId="181" fontId="7" fillId="0" borderId="0" xfId="4" applyNumberFormat="1" applyFont="1" applyAlignment="1">
      <alignment horizontal="left" vertical="center"/>
    </xf>
    <xf numFmtId="178"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5" fillId="3" borderId="0" xfId="4" applyFont="1" applyFill="1" applyAlignment="1">
      <alignment horizontal="left" vertical="center"/>
    </xf>
    <xf numFmtId="14" fontId="7" fillId="0" borderId="0" xfId="4" applyNumberFormat="1" applyFont="1" applyAlignment="1">
      <alignment horizontal="left" vertical="center"/>
    </xf>
    <xf numFmtId="178" fontId="7" fillId="0" borderId="21" xfId="4" applyNumberFormat="1" applyFont="1" applyBorder="1" applyAlignment="1">
      <alignment horizontal="left" vertical="center"/>
    </xf>
    <xf numFmtId="180"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0" fontId="15" fillId="0" borderId="0" xfId="4" applyFont="1" applyAlignment="1">
      <alignment horizontal="left" vertical="center"/>
    </xf>
    <xf numFmtId="0" fontId="43" fillId="11" borderId="100" xfId="4" applyFont="1" applyFill="1" applyBorder="1" applyAlignment="1">
      <alignment horizontal="left" vertical="center" wrapText="1"/>
    </xf>
    <xf numFmtId="0" fontId="43" fillId="11" borderId="101" xfId="4" applyFont="1" applyFill="1" applyBorder="1" applyAlignment="1">
      <alignment horizontal="left" vertical="center" wrapText="1"/>
    </xf>
    <xf numFmtId="178" fontId="7" fillId="12" borderId="0" xfId="4" applyNumberFormat="1" applyFont="1" applyFill="1" applyAlignment="1">
      <alignment horizontal="left" vertical="center"/>
    </xf>
    <xf numFmtId="0" fontId="50" fillId="11" borderId="85" xfId="4" applyFont="1" applyFill="1" applyBorder="1" applyAlignment="1">
      <alignment horizontal="left" vertical="center" wrapText="1"/>
    </xf>
    <xf numFmtId="0" fontId="43" fillId="10" borderId="85" xfId="4" applyFont="1" applyFill="1" applyBorder="1" applyAlignment="1">
      <alignment horizontal="left" vertical="center" wrapText="1"/>
    </xf>
    <xf numFmtId="0" fontId="43" fillId="10" borderId="87" xfId="4" applyFont="1" applyFill="1" applyBorder="1" applyAlignment="1">
      <alignment horizontal="left" vertical="center" wrapText="1"/>
    </xf>
    <xf numFmtId="0" fontId="50" fillId="3" borderId="78" xfId="4" applyFont="1" applyFill="1" applyBorder="1" applyAlignment="1">
      <alignment horizontal="left" vertical="center" wrapText="1"/>
    </xf>
    <xf numFmtId="0" fontId="43" fillId="10" borderId="102" xfId="4" applyFont="1" applyFill="1" applyBorder="1" applyAlignment="1">
      <alignment horizontal="left" vertical="center" wrapText="1"/>
    </xf>
    <xf numFmtId="0" fontId="43" fillId="10" borderId="103" xfId="4" applyFont="1" applyFill="1" applyBorder="1" applyAlignment="1">
      <alignment horizontal="left" vertical="center" wrapText="1"/>
    </xf>
    <xf numFmtId="0" fontId="43" fillId="10" borderId="104" xfId="4" applyFont="1" applyFill="1" applyBorder="1" applyAlignment="1">
      <alignment horizontal="left" vertical="center" wrapText="1"/>
    </xf>
    <xf numFmtId="0" fontId="21" fillId="0" borderId="0" xfId="4" applyFont="1" applyAlignment="1">
      <alignment horizontal="left" vertical="center"/>
    </xf>
    <xf numFmtId="0" fontId="45" fillId="0" borderId="75" xfId="4" applyFont="1" applyBorder="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85" fontId="7" fillId="0" borderId="0" xfId="4" applyNumberFormat="1" applyFont="1" applyAlignment="1">
      <alignment horizontal="left" vertical="center"/>
    </xf>
    <xf numFmtId="185" fontId="7" fillId="0" borderId="75" xfId="4" applyNumberFormat="1" applyFont="1" applyBorder="1" applyAlignment="1">
      <alignment horizontal="left" vertical="center"/>
    </xf>
    <xf numFmtId="185"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85" fontId="45" fillId="0" borderId="0" xfId="4" applyNumberFormat="1" applyFont="1" applyAlignment="1">
      <alignment horizontal="left" vertical="center"/>
    </xf>
    <xf numFmtId="185" fontId="45" fillId="0" borderId="75" xfId="4" applyNumberFormat="1" applyFont="1" applyBorder="1" applyAlignment="1">
      <alignment horizontal="left" vertical="center"/>
    </xf>
    <xf numFmtId="180" fontId="7" fillId="0" borderId="21" xfId="4" applyNumberFormat="1" applyFont="1" applyBorder="1" applyAlignment="1">
      <alignment horizontal="left" vertical="center"/>
    </xf>
    <xf numFmtId="180" fontId="7" fillId="3" borderId="0" xfId="4" applyNumberFormat="1" applyFont="1" applyFill="1" applyAlignment="1">
      <alignment horizontal="left" vertical="center"/>
    </xf>
    <xf numFmtId="0" fontId="50" fillId="11" borderId="105" xfId="4" applyFont="1" applyFill="1" applyBorder="1" applyAlignment="1">
      <alignment horizontal="left" vertical="center" wrapText="1"/>
    </xf>
    <xf numFmtId="0" fontId="50" fillId="10" borderId="106"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0" borderId="107" xfId="4" applyFont="1" applyFill="1" applyBorder="1" applyAlignment="1">
      <alignment horizontal="left" vertical="center" wrapText="1"/>
    </xf>
    <xf numFmtId="0" fontId="49" fillId="0" borderId="0" xfId="0" applyFont="1">
      <alignment vertical="center"/>
    </xf>
    <xf numFmtId="49" fontId="33" fillId="2" borderId="37" xfId="0" applyNumberFormat="1" applyFont="1" applyFill="1" applyBorder="1" applyAlignment="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79" fontId="0" fillId="0" borderId="0" xfId="0" applyNumberFormat="1">
      <alignment vertical="center"/>
    </xf>
    <xf numFmtId="179" fontId="52" fillId="0" borderId="96" xfId="9" applyNumberFormat="1" applyFont="1" applyBorder="1">
      <alignment vertical="center"/>
    </xf>
    <xf numFmtId="0" fontId="52" fillId="0" borderId="96" xfId="9" applyFont="1" applyBorder="1">
      <alignment vertical="center"/>
    </xf>
    <xf numFmtId="179" fontId="53" fillId="2" borderId="1" xfId="9" applyNumberFormat="1" applyFont="1" applyFill="1" applyBorder="1" applyAlignment="1">
      <alignment horizontal="center" vertical="center"/>
    </xf>
    <xf numFmtId="0" fontId="53" fillId="2" borderId="1" xfId="9" applyFont="1" applyFill="1" applyBorder="1" applyAlignment="1">
      <alignment horizontal="center" vertical="center"/>
    </xf>
    <xf numFmtId="0" fontId="53" fillId="2" borderId="1" xfId="9" applyFont="1" applyFill="1" applyBorder="1" applyAlignment="1">
      <alignment horizontal="center" vertical="center" wrapText="1"/>
    </xf>
    <xf numFmtId="0" fontId="54" fillId="2" borderId="1" xfId="9" applyFont="1" applyFill="1" applyBorder="1" applyAlignment="1">
      <alignment horizontal="center" vertical="center"/>
    </xf>
    <xf numFmtId="179" fontId="53" fillId="2" borderId="1" xfId="9" applyNumberFormat="1" applyFont="1" applyFill="1" applyBorder="1" applyAlignment="1">
      <alignment horizontal="center" vertical="center" wrapText="1"/>
    </xf>
    <xf numFmtId="0" fontId="53"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9" fillId="2" borderId="10" xfId="0" applyFont="1" applyFill="1" applyBorder="1" applyAlignment="1">
      <alignment horizontal="left" vertical="center"/>
    </xf>
    <xf numFmtId="0" fontId="9"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9"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5" fillId="2" borderId="7" xfId="0" applyFont="1" applyFill="1" applyBorder="1" applyAlignment="1">
      <alignment horizontal="center" vertical="center" wrapText="1"/>
    </xf>
    <xf numFmtId="0" fontId="55" fillId="2" borderId="8" xfId="0" applyFont="1" applyFill="1" applyBorder="1" applyAlignment="1">
      <alignment horizontal="left" vertical="center" wrapText="1"/>
    </xf>
    <xf numFmtId="0" fontId="55" fillId="2" borderId="10" xfId="0" applyFont="1" applyFill="1" applyBorder="1" applyAlignment="1">
      <alignment horizontal="center" vertical="center" wrapText="1"/>
    </xf>
    <xf numFmtId="0" fontId="55" fillId="2" borderId="1" xfId="0" applyFont="1" applyFill="1" applyBorder="1" applyAlignment="1">
      <alignment horizontal="left" vertical="center" wrapText="1"/>
    </xf>
    <xf numFmtId="0" fontId="55" fillId="2" borderId="51"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5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6" fillId="2" borderId="96" xfId="0" applyFont="1" applyFill="1" applyBorder="1">
      <alignment vertical="center"/>
    </xf>
    <xf numFmtId="0" fontId="56" fillId="2" borderId="0" xfId="0" applyFont="1" applyFill="1">
      <alignment vertical="center"/>
    </xf>
    <xf numFmtId="0" fontId="55" fillId="2" borderId="48" xfId="0" applyFont="1" applyFill="1" applyBorder="1" applyAlignment="1">
      <alignment horizontal="left" vertical="center" wrapText="1"/>
    </xf>
    <xf numFmtId="0" fontId="55" fillId="2" borderId="2"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2" borderId="0" xfId="0" applyFont="1" applyFill="1" applyAlignment="1">
      <alignment horizontal="center" vertical="center" wrapText="1"/>
    </xf>
    <xf numFmtId="0" fontId="55" fillId="2" borderId="32" xfId="0" applyFont="1" applyFill="1" applyBorder="1" applyAlignment="1">
      <alignment horizontal="left" vertical="center"/>
    </xf>
    <xf numFmtId="0" fontId="55" fillId="2" borderId="108" xfId="0" applyFont="1" applyFill="1" applyBorder="1" applyAlignment="1">
      <alignment horizontal="left" vertical="center"/>
    </xf>
    <xf numFmtId="0" fontId="55" fillId="2" borderId="9" xfId="0" applyFont="1" applyFill="1" applyBorder="1" applyAlignment="1">
      <alignment horizontal="left" vertical="center"/>
    </xf>
    <xf numFmtId="0" fontId="55" fillId="2" borderId="0" xfId="0" applyFont="1" applyFill="1" applyAlignment="1">
      <alignment horizontal="left" vertical="center"/>
    </xf>
    <xf numFmtId="0" fontId="55" fillId="2" borderId="0" xfId="0" applyFont="1" applyFill="1" applyAlignment="1">
      <alignment horizontal="center" vertical="center"/>
    </xf>
    <xf numFmtId="0" fontId="55" fillId="2" borderId="2" xfId="0" applyFont="1" applyFill="1" applyBorder="1" applyAlignment="1">
      <alignment horizontal="left" vertical="center"/>
    </xf>
    <xf numFmtId="0" fontId="55" fillId="2" borderId="4" xfId="0" applyFont="1" applyFill="1" applyBorder="1" applyAlignment="1">
      <alignment horizontal="left" vertical="center"/>
    </xf>
    <xf numFmtId="0" fontId="55" fillId="2" borderId="11" xfId="0" applyFont="1" applyFill="1" applyBorder="1" applyAlignment="1">
      <alignment horizontal="left" vertical="center"/>
    </xf>
    <xf numFmtId="0" fontId="55" fillId="2" borderId="33" xfId="0" applyFont="1" applyFill="1" applyBorder="1" applyAlignment="1">
      <alignment horizontal="left" vertical="center"/>
    </xf>
    <xf numFmtId="0" fontId="55" fillId="2" borderId="62"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9" xfId="0" applyFont="1" applyFill="1" applyBorder="1" applyAlignment="1">
      <alignment horizontal="left" vertical="center"/>
    </xf>
    <xf numFmtId="0" fontId="55" fillId="2" borderId="24" xfId="0" applyFont="1" applyFill="1" applyBorder="1" applyAlignment="1">
      <alignment horizontal="left" vertical="center"/>
    </xf>
    <xf numFmtId="0" fontId="55" fillId="2" borderId="109" xfId="0" applyFont="1" applyFill="1" applyBorder="1" applyAlignment="1">
      <alignment horizontal="left" vertical="center"/>
    </xf>
    <xf numFmtId="0" fontId="55" fillId="2" borderId="110"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1" xfId="0" applyFont="1" applyFill="1" applyBorder="1" applyAlignment="1">
      <alignment horizontal="left" vertical="center"/>
    </xf>
    <xf numFmtId="0" fontId="55" fillId="0" borderId="95" xfId="0" applyFont="1" applyBorder="1">
      <alignment vertical="center"/>
    </xf>
    <xf numFmtId="0" fontId="55" fillId="0" borderId="0" xfId="0" applyFont="1">
      <alignment vertical="center"/>
    </xf>
    <xf numFmtId="0" fontId="55" fillId="2" borderId="34" xfId="0" applyFont="1" applyFill="1" applyBorder="1" applyAlignment="1">
      <alignment vertical="center" wrapText="1"/>
    </xf>
    <xf numFmtId="0" fontId="55" fillId="2" borderId="15" xfId="0" applyFont="1" applyFill="1" applyBorder="1" applyAlignment="1">
      <alignment horizontal="center" vertical="center" wrapText="1"/>
    </xf>
    <xf numFmtId="0" fontId="55" fillId="2" borderId="16" xfId="0" applyFont="1" applyFill="1" applyBorder="1" applyAlignment="1">
      <alignment vertical="center" wrapText="1"/>
    </xf>
    <xf numFmtId="0" fontId="55" fillId="2" borderId="112"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5" fillId="2" borderId="9" xfId="0" applyFont="1" applyFill="1" applyBorder="1" applyAlignment="1">
      <alignment horizontal="left" vertical="center" wrapText="1"/>
    </xf>
    <xf numFmtId="0" fontId="55" fillId="2" borderId="11" xfId="0" applyFont="1" applyFill="1" applyBorder="1" applyAlignment="1">
      <alignment horizontal="left" vertical="center" wrapText="1"/>
    </xf>
    <xf numFmtId="0" fontId="55" fillId="2" borderId="40" xfId="0" applyFont="1" applyFill="1" applyBorder="1" applyAlignment="1">
      <alignment horizontal="left" vertical="center" wrapText="1"/>
    </xf>
    <xf numFmtId="0" fontId="55" fillId="2" borderId="1" xfId="0" applyFont="1" applyFill="1" applyBorder="1" applyAlignment="1">
      <alignment horizontal="center" vertical="center"/>
    </xf>
    <xf numFmtId="9" fontId="55" fillId="2" borderId="1" xfId="0" applyNumberFormat="1" applyFont="1" applyFill="1" applyBorder="1" applyAlignment="1">
      <alignment horizontal="center" vertical="center"/>
    </xf>
    <xf numFmtId="9" fontId="55" fillId="2" borderId="1" xfId="0" applyNumberFormat="1" applyFont="1" applyFill="1" applyBorder="1" applyAlignment="1">
      <alignment horizontal="left" vertical="center"/>
    </xf>
    <xf numFmtId="0" fontId="57" fillId="0" borderId="0" xfId="0" applyFont="1" applyAlignment="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2" fillId="5" borderId="0" xfId="0" applyFont="1" applyFill="1" applyAlignment="1">
      <alignment vertical="center" wrapText="1"/>
    </xf>
    <xf numFmtId="0" fontId="32" fillId="5" borderId="0" xfId="0" applyFont="1" applyFill="1" applyAlignment="1">
      <alignment horizontal="center" vertical="center" wrapText="1"/>
    </xf>
    <xf numFmtId="0" fontId="32" fillId="2" borderId="1" xfId="0" applyFont="1" applyFill="1" applyBorder="1" applyAlignment="1">
      <alignment vertical="center" wrapText="1"/>
    </xf>
    <xf numFmtId="0" fontId="32" fillId="2" borderId="0" xfId="0" applyFont="1" applyFill="1" applyAlignment="1">
      <alignment vertical="center" wrapText="1"/>
    </xf>
    <xf numFmtId="0" fontId="30" fillId="2" borderId="2" xfId="14" applyFont="1" applyFill="1" applyBorder="1">
      <alignment vertical="center"/>
    </xf>
    <xf numFmtId="0" fontId="32" fillId="2" borderId="1" xfId="0" applyFont="1" applyFill="1" applyBorder="1" applyAlignment="1">
      <alignment horizontal="left" vertical="center" wrapText="1"/>
    </xf>
    <xf numFmtId="0" fontId="32" fillId="3" borderId="1" xfId="0" applyFont="1" applyFill="1" applyBorder="1" applyAlignment="1" applyProtection="1">
      <alignment horizontal="center" vertical="center" wrapText="1"/>
      <protection locked="0"/>
    </xf>
    <xf numFmtId="0" fontId="32" fillId="2" borderId="1" xfId="0" applyFont="1" applyFill="1" applyBorder="1" applyAlignment="1">
      <alignment horizontal="center" vertical="center" wrapText="1"/>
    </xf>
    <xf numFmtId="0" fontId="32" fillId="3" borderId="1" xfId="0"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79" fontId="57" fillId="2" borderId="1" xfId="0" applyNumberFormat="1" applyFont="1" applyFill="1" applyBorder="1" applyAlignment="1">
      <alignment horizontal="center" vertical="center" wrapText="1"/>
    </xf>
    <xf numFmtId="49" fontId="58" fillId="2" borderId="15" xfId="0" applyNumberFormat="1" applyFont="1" applyFill="1" applyBorder="1" applyAlignment="1">
      <alignment horizontal="left" vertical="center" wrapText="1"/>
    </xf>
    <xf numFmtId="0" fontId="58" fillId="2" borderId="15" xfId="0" applyFont="1" applyFill="1" applyBorder="1" applyAlignment="1">
      <alignment horizontal="left" vertical="center" wrapText="1"/>
    </xf>
    <xf numFmtId="0" fontId="58" fillId="2" borderId="95" xfId="0" applyFont="1" applyFill="1" applyBorder="1" applyAlignment="1">
      <alignment horizontal="center" vertical="center"/>
    </xf>
    <xf numFmtId="0" fontId="59" fillId="2" borderId="13" xfId="0" applyFont="1" applyFill="1" applyBorder="1" applyAlignment="1">
      <alignment horizontal="center" vertical="center"/>
    </xf>
    <xf numFmtId="0" fontId="58" fillId="2" borderId="95" xfId="0" applyFont="1" applyFill="1" applyBorder="1" applyAlignment="1">
      <alignment vertical="center" wrapText="1"/>
    </xf>
    <xf numFmtId="0" fontId="57" fillId="2" borderId="95" xfId="0" applyFont="1" applyFill="1" applyBorder="1" applyAlignment="1">
      <alignment vertical="center" wrapText="1"/>
    </xf>
    <xf numFmtId="49" fontId="31" fillId="2" borderId="19" xfId="0" applyNumberFormat="1" applyFont="1" applyFill="1" applyBorder="1" applyAlignment="1">
      <alignment horizontal="center" vertical="center" wrapText="1"/>
    </xf>
    <xf numFmtId="0" fontId="31" fillId="2" borderId="25" xfId="0" applyFont="1" applyFill="1" applyBorder="1" applyAlignment="1">
      <alignment horizontal="left" vertical="center" wrapText="1"/>
    </xf>
    <xf numFmtId="0" fontId="31" fillId="2" borderId="109" xfId="0" applyFont="1" applyFill="1" applyBorder="1" applyAlignment="1">
      <alignment horizontal="center" vertical="center"/>
    </xf>
    <xf numFmtId="0" fontId="45" fillId="2" borderId="109" xfId="0" applyFont="1" applyFill="1" applyBorder="1">
      <alignment vertical="center"/>
    </xf>
    <xf numFmtId="0" fontId="31" fillId="2" borderId="25" xfId="0" applyFont="1" applyFill="1" applyBorder="1" applyAlignment="1">
      <alignment horizontal="center" vertical="center" wrapText="1"/>
    </xf>
    <xf numFmtId="0" fontId="32" fillId="2" borderId="25" xfId="0" applyFont="1" applyFill="1" applyBorder="1" applyAlignment="1">
      <alignment vertical="center" wrapText="1"/>
    </xf>
    <xf numFmtId="0" fontId="31" fillId="2" borderId="8" xfId="0" applyFont="1" applyFill="1" applyBorder="1" applyAlignment="1">
      <alignment horizontal="left" vertical="center" wrapText="1"/>
    </xf>
    <xf numFmtId="0" fontId="31" fillId="2" borderId="32"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2" fillId="2" borderId="31" xfId="0" applyFont="1" applyFill="1" applyBorder="1" applyAlignment="1">
      <alignment horizontal="center" vertical="center" wrapText="1"/>
    </xf>
    <xf numFmtId="0" fontId="32" fillId="2" borderId="31"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2" xfId="0" applyFont="1" applyFill="1" applyBorder="1">
      <alignment vertical="center"/>
    </xf>
    <xf numFmtId="0" fontId="32" fillId="2" borderId="3" xfId="0" applyFont="1" applyFill="1" applyBorder="1" applyAlignment="1">
      <alignment vertical="center" wrapText="1"/>
    </xf>
    <xf numFmtId="9" fontId="32" fillId="2" borderId="1" xfId="0" applyNumberFormat="1"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48" xfId="0" applyFont="1" applyFill="1" applyBorder="1">
      <alignment vertical="center"/>
    </xf>
    <xf numFmtId="0" fontId="32" fillId="2" borderId="95" xfId="0" applyFont="1" applyFill="1" applyBorder="1" applyAlignment="1">
      <alignment vertical="center" wrapText="1"/>
    </xf>
    <xf numFmtId="0" fontId="31" fillId="2" borderId="35" xfId="0" applyFont="1" applyFill="1" applyBorder="1" applyAlignment="1">
      <alignment horizontal="left" vertical="center" wrapText="1"/>
    </xf>
    <xf numFmtId="0" fontId="32" fillId="2" borderId="32" xfId="0" applyFont="1" applyFill="1" applyBorder="1">
      <alignment vertical="center"/>
    </xf>
    <xf numFmtId="0" fontId="32" fillId="2" borderId="38" xfId="0" applyFont="1" applyFill="1" applyBorder="1" applyAlignment="1">
      <alignment horizontal="center" vertical="center" wrapText="1"/>
    </xf>
    <xf numFmtId="0" fontId="32" fillId="2" borderId="38" xfId="0" applyFont="1" applyFill="1" applyBorder="1" applyAlignment="1">
      <alignment vertical="center" wrapText="1"/>
    </xf>
    <xf numFmtId="0" fontId="7" fillId="2" borderId="15" xfId="0" applyFont="1" applyFill="1" applyBorder="1" applyAlignment="1">
      <alignment horizontal="left" vertical="center" wrapText="1"/>
    </xf>
    <xf numFmtId="0" fontId="7" fillId="2" borderId="4"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2" fillId="0" borderId="1" xfId="0" applyFont="1" applyBorder="1" applyAlignment="1" applyProtection="1">
      <alignment horizontal="center" vertical="center"/>
      <protection locked="0"/>
    </xf>
    <xf numFmtId="0" fontId="7" fillId="2" borderId="16" xfId="0" applyFont="1" applyFill="1" applyBorder="1" applyAlignment="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9" fillId="2" borderId="34" xfId="0" applyFont="1" applyFill="1" applyBorder="1">
      <alignment vertical="center"/>
    </xf>
    <xf numFmtId="0" fontId="7" fillId="2" borderId="20"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32" fillId="0" borderId="13" xfId="0" applyFont="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 borderId="8" xfId="0" applyFont="1" applyFill="1" applyBorder="1" applyAlignment="1" applyProtection="1">
      <alignment horizontal="center" vertical="center" wrapText="1"/>
      <protection locked="0"/>
    </xf>
    <xf numFmtId="0" fontId="32" fillId="2" borderId="13" xfId="0" applyFont="1" applyFill="1" applyBorder="1" applyAlignment="1">
      <alignment horizontal="left" vertical="center"/>
    </xf>
    <xf numFmtId="0" fontId="32" fillId="2" borderId="20"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32" fillId="3" borderId="13" xfId="0" applyFont="1" applyFill="1" applyBorder="1" applyAlignment="1" applyProtection="1">
      <alignment horizontal="right" vertical="center" wrapText="1"/>
      <protection locked="0"/>
    </xf>
    <xf numFmtId="0" fontId="32" fillId="2" borderId="62" xfId="0" applyFont="1" applyFill="1" applyBorder="1" applyAlignment="1">
      <alignment horizontal="center" vertical="center" wrapText="1"/>
    </xf>
    <xf numFmtId="49" fontId="58" fillId="2" borderId="111" xfId="0" applyNumberFormat="1" applyFont="1" applyFill="1" applyBorder="1" applyAlignment="1">
      <alignment horizontal="left" vertical="center" wrapText="1"/>
    </xf>
    <xf numFmtId="0" fontId="58" fillId="2" borderId="20" xfId="0" applyFont="1" applyFill="1" applyBorder="1" applyAlignment="1">
      <alignment horizontal="left" vertical="center" wrapText="1"/>
    </xf>
    <xf numFmtId="0" fontId="58" fillId="2" borderId="47" xfId="0" applyFont="1" applyFill="1" applyBorder="1" applyAlignment="1">
      <alignment horizontal="center" vertical="center" wrapText="1"/>
    </xf>
    <xf numFmtId="0" fontId="32" fillId="2" borderId="47" xfId="0" applyFont="1" applyFill="1" applyBorder="1">
      <alignment vertical="center"/>
    </xf>
    <xf numFmtId="0" fontId="58" fillId="2" borderId="21" xfId="0" applyFont="1" applyFill="1" applyBorder="1" applyAlignment="1">
      <alignment horizontal="center" vertical="center" wrapText="1"/>
    </xf>
    <xf numFmtId="49" fontId="58" fillId="2" borderId="19" xfId="0" applyNumberFormat="1" applyFont="1" applyFill="1" applyBorder="1" applyAlignment="1">
      <alignment horizontal="left" vertical="center" wrapText="1"/>
    </xf>
    <xf numFmtId="0" fontId="58" fillId="2" borderId="24" xfId="0" applyFont="1" applyFill="1" applyBorder="1" applyAlignment="1">
      <alignment horizontal="left" vertical="center" wrapText="1"/>
    </xf>
    <xf numFmtId="186" fontId="58" fillId="2" borderId="24" xfId="0" applyNumberFormat="1" applyFont="1" applyFill="1" applyBorder="1" applyAlignment="1">
      <alignment horizontal="center" vertical="center" wrapText="1"/>
    </xf>
    <xf numFmtId="0" fontId="57" fillId="2" borderId="24" xfId="0" applyFont="1" applyFill="1" applyBorder="1" applyAlignment="1">
      <alignment horizontal="center" vertical="center" wrapText="1"/>
    </xf>
    <xf numFmtId="14" fontId="57" fillId="2" borderId="24" xfId="0" applyNumberFormat="1" applyFont="1" applyFill="1" applyBorder="1" applyAlignment="1">
      <alignment horizontal="center" vertical="center" wrapText="1"/>
    </xf>
    <xf numFmtId="14" fontId="57" fillId="2" borderId="25" xfId="0" applyNumberFormat="1" applyFont="1" applyFill="1" applyBorder="1" applyAlignment="1">
      <alignment horizontal="center" vertical="center" wrapText="1"/>
    </xf>
    <xf numFmtId="0" fontId="57" fillId="3" borderId="24" xfId="10" applyFont="1" applyFill="1" applyBorder="1" applyAlignment="1" applyProtection="1">
      <alignment horizontal="center" vertical="center" wrapText="1"/>
      <protection locked="0"/>
    </xf>
    <xf numFmtId="49" fontId="58" fillId="2" borderId="18" xfId="0" applyNumberFormat="1" applyFont="1" applyFill="1" applyBorder="1" applyAlignment="1">
      <alignment horizontal="left" vertical="center" wrapText="1"/>
    </xf>
    <xf numFmtId="0" fontId="58" fillId="2" borderId="35" xfId="0" applyFont="1" applyFill="1" applyBorder="1" applyAlignment="1">
      <alignment horizontal="left" vertical="center" wrapText="1"/>
    </xf>
    <xf numFmtId="186" fontId="58" fillId="2" borderId="35" xfId="0" applyNumberFormat="1" applyFont="1" applyFill="1" applyBorder="1" applyAlignment="1">
      <alignment horizontal="center" vertical="center" wrapText="1"/>
    </xf>
    <xf numFmtId="0" fontId="32" fillId="2" borderId="35" xfId="0" applyFont="1" applyFill="1" applyBorder="1" applyAlignment="1">
      <alignment horizontal="center" vertical="center" wrapText="1"/>
    </xf>
    <xf numFmtId="10" fontId="32" fillId="2" borderId="35" xfId="0" applyNumberFormat="1" applyFont="1" applyFill="1" applyBorder="1" applyAlignment="1">
      <alignment horizontal="center" vertical="center" wrapText="1"/>
    </xf>
    <xf numFmtId="181" fontId="7" fillId="2" borderId="35" xfId="0" applyNumberFormat="1" applyFont="1" applyFill="1" applyBorder="1" applyAlignment="1">
      <alignment horizontal="center" vertical="center" wrapText="1"/>
    </xf>
    <xf numFmtId="49" fontId="58" fillId="2" borderId="7" xfId="0" applyNumberFormat="1" applyFont="1" applyFill="1" applyBorder="1" applyAlignment="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lignment horizontal="center" vertical="center" wrapText="1"/>
    </xf>
    <xf numFmtId="0" fontId="57" fillId="2" borderId="31" xfId="0" applyFont="1" applyFill="1" applyBorder="1" applyAlignment="1">
      <alignment vertical="center" wrapText="1"/>
    </xf>
    <xf numFmtId="49" fontId="57" fillId="2" borderId="51" xfId="0" applyNumberFormat="1" applyFont="1" applyFill="1" applyBorder="1" applyAlignment="1">
      <alignment horizontal="center" vertical="center" wrapText="1"/>
    </xf>
    <xf numFmtId="0" fontId="57" fillId="2" borderId="1" xfId="0" applyFont="1" applyFill="1" applyBorder="1" applyAlignment="1">
      <alignment horizontal="left" vertical="center" wrapText="1"/>
    </xf>
    <xf numFmtId="0" fontId="57" fillId="2" borderId="1" xfId="0" applyFont="1" applyFill="1" applyBorder="1" applyAlignment="1">
      <alignment horizontal="center" vertical="center" wrapText="1"/>
    </xf>
    <xf numFmtId="0" fontId="57" fillId="2" borderId="15" xfId="0" applyFont="1" applyFill="1" applyBorder="1" applyAlignment="1">
      <alignment horizontal="left" vertical="center" wrapText="1"/>
    </xf>
    <xf numFmtId="0" fontId="58" fillId="2" borderId="64" xfId="0" applyFont="1" applyFill="1" applyBorder="1" applyAlignment="1">
      <alignment horizontal="center" vertical="center" wrapText="1"/>
    </xf>
    <xf numFmtId="186" fontId="32" fillId="2" borderId="64" xfId="0" applyNumberFormat="1" applyFont="1" applyFill="1" applyBorder="1" applyAlignment="1">
      <alignment horizontal="center" vertical="center" wrapText="1"/>
    </xf>
    <xf numFmtId="186" fontId="32" fillId="2" borderId="50" xfId="0" applyNumberFormat="1" applyFont="1" applyFill="1" applyBorder="1" applyAlignment="1">
      <alignment horizontal="center" vertical="center" wrapText="1"/>
    </xf>
    <xf numFmtId="0" fontId="32" fillId="2" borderId="114" xfId="0" applyFont="1" applyFill="1" applyBorder="1" applyAlignment="1">
      <alignment vertical="center" wrapText="1"/>
    </xf>
    <xf numFmtId="0" fontId="32" fillId="2" borderId="25" xfId="0" applyFont="1" applyFill="1" applyBorder="1">
      <alignment vertical="center"/>
    </xf>
    <xf numFmtId="0" fontId="57" fillId="2" borderId="24" xfId="0" applyFont="1" applyFill="1" applyBorder="1" applyAlignment="1">
      <alignment vertical="center" wrapText="1"/>
    </xf>
    <xf numFmtId="0" fontId="58" fillId="2" borderId="32" xfId="0" applyFont="1" applyFill="1" applyBorder="1" applyAlignment="1">
      <alignment horizontal="left" vertical="center" wrapText="1"/>
    </xf>
    <xf numFmtId="0" fontId="31" fillId="2" borderId="38" xfId="0" applyFont="1" applyFill="1" applyBorder="1" applyAlignment="1">
      <alignment horizontal="center" vertical="center" wrapText="1"/>
    </xf>
    <xf numFmtId="0" fontId="31" fillId="2" borderId="31" xfId="0" applyFont="1" applyFill="1" applyBorder="1" applyAlignment="1">
      <alignment vertical="center" wrapText="1"/>
    </xf>
    <xf numFmtId="49" fontId="58" fillId="2" borderId="27"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32" fillId="2" borderId="50" xfId="0" applyFont="1" applyFill="1" applyBorder="1" applyAlignment="1">
      <alignment vertical="center" wrapText="1"/>
    </xf>
    <xf numFmtId="0" fontId="31" fillId="2" borderId="0" xfId="0" applyFont="1" applyFill="1" applyAlignment="1">
      <alignment vertical="center" wrapText="1"/>
    </xf>
    <xf numFmtId="0" fontId="57" fillId="2" borderId="0" xfId="0" applyFont="1" applyFill="1" applyAlignment="1">
      <alignment horizontal="left" vertical="center" wrapText="1"/>
    </xf>
    <xf numFmtId="0" fontId="31" fillId="2" borderId="64" xfId="0" applyFont="1" applyFill="1" applyBorder="1" applyAlignment="1">
      <alignment horizontal="center" vertical="center" wrapText="1"/>
    </xf>
    <xf numFmtId="0" fontId="32" fillId="2" borderId="47" xfId="0" applyFont="1" applyFill="1" applyBorder="1" applyAlignment="1">
      <alignment vertical="center" wrapText="1"/>
    </xf>
    <xf numFmtId="0" fontId="32" fillId="2" borderId="21" xfId="0" applyFont="1" applyFill="1" applyBorder="1" applyAlignment="1">
      <alignment vertical="center" wrapText="1"/>
    </xf>
    <xf numFmtId="0" fontId="31" fillId="2" borderId="21" xfId="0" applyFont="1" applyFill="1" applyBorder="1" applyAlignment="1">
      <alignment vertical="center" wrapText="1"/>
    </xf>
    <xf numFmtId="49" fontId="58" fillId="2" borderId="18" xfId="0" applyNumberFormat="1" applyFont="1" applyFill="1" applyBorder="1" applyAlignment="1">
      <alignment horizontal="center" vertical="center" wrapText="1"/>
    </xf>
    <xf numFmtId="0" fontId="31" fillId="2" borderId="108" xfId="0" applyFont="1" applyFill="1" applyBorder="1" applyAlignment="1">
      <alignment vertical="center" wrapText="1"/>
    </xf>
    <xf numFmtId="0" fontId="58" fillId="2" borderId="8" xfId="0" applyFont="1" applyFill="1" applyBorder="1" applyAlignment="1">
      <alignment horizontal="center" vertical="center" wrapText="1"/>
    </xf>
    <xf numFmtId="0" fontId="58" fillId="2" borderId="32" xfId="0" applyFont="1" applyFill="1" applyBorder="1" applyAlignment="1">
      <alignment horizontal="center" vertical="center" wrapText="1"/>
    </xf>
    <xf numFmtId="0" fontId="31" fillId="2" borderId="32" xfId="0" applyFont="1" applyFill="1" applyBorder="1" applyAlignment="1">
      <alignment vertical="center" wrapText="1"/>
    </xf>
    <xf numFmtId="0" fontId="32" fillId="2" borderId="27" xfId="0" applyFont="1" applyFill="1" applyBorder="1" applyAlignment="1">
      <alignment horizontal="center" vertical="center" wrapText="1"/>
    </xf>
    <xf numFmtId="0" fontId="32" fillId="2" borderId="4"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32" fillId="0" borderId="1" xfId="0" applyFont="1" applyBorder="1" applyAlignment="1" applyProtection="1">
      <alignment vertical="center" wrapText="1"/>
      <protection locked="0"/>
    </xf>
    <xf numFmtId="0" fontId="7" fillId="2" borderId="1" xfId="0" applyFont="1" applyFill="1" applyBorder="1" applyAlignment="1">
      <alignment horizontal="center" vertical="center"/>
    </xf>
    <xf numFmtId="0" fontId="7" fillId="2" borderId="2" xfId="0" applyFont="1" applyFill="1" applyBorder="1">
      <alignment vertical="center"/>
    </xf>
    <xf numFmtId="0" fontId="7" fillId="2" borderId="3" xfId="0" applyFont="1" applyFill="1" applyBorder="1">
      <alignment vertical="center"/>
    </xf>
    <xf numFmtId="0" fontId="31" fillId="2" borderId="111" xfId="0" applyFont="1" applyFill="1" applyBorder="1" applyAlignment="1">
      <alignment vertical="center" wrapText="1"/>
    </xf>
    <xf numFmtId="0" fontId="32" fillId="2" borderId="62" xfId="0" applyFont="1" applyFill="1" applyBorder="1" applyAlignment="1">
      <alignment horizontal="left" vertical="center" wrapText="1"/>
    </xf>
    <xf numFmtId="0" fontId="32" fillId="0" borderId="13" xfId="0" applyFont="1" applyBorder="1" applyAlignment="1" applyProtection="1">
      <alignment vertical="center" wrapText="1"/>
      <protection locked="0"/>
    </xf>
    <xf numFmtId="0" fontId="32" fillId="2" borderId="13" xfId="0" applyFont="1" applyFill="1" applyBorder="1">
      <alignment vertical="center"/>
    </xf>
    <xf numFmtId="0" fontId="32" fillId="2" borderId="45" xfId="0" applyFont="1" applyFill="1" applyBorder="1" applyAlignment="1">
      <alignment vertical="center" wrapText="1"/>
    </xf>
    <xf numFmtId="0" fontId="31" fillId="2" borderId="18" xfId="0" applyFont="1" applyFill="1" applyBorder="1" applyAlignment="1">
      <alignment vertical="center" wrapText="1"/>
    </xf>
    <xf numFmtId="0" fontId="31" fillId="2" borderId="113" xfId="0" applyFont="1" applyFill="1" applyBorder="1" applyAlignment="1">
      <alignment horizontal="left" vertical="center" wrapText="1"/>
    </xf>
    <xf numFmtId="0" fontId="32" fillId="2" borderId="38" xfId="0" applyFont="1" applyFill="1" applyBorder="1">
      <alignment vertical="center"/>
    </xf>
    <xf numFmtId="0" fontId="31" fillId="2" borderId="112"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1"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7" fillId="2" borderId="112" xfId="0" applyFont="1" applyFill="1" applyBorder="1" applyAlignment="1">
      <alignment horizontal="center" vertical="center" wrapText="1"/>
    </xf>
    <xf numFmtId="0" fontId="31" fillId="2" borderId="27" xfId="0" applyFont="1" applyFill="1" applyBorder="1" applyAlignment="1">
      <alignment vertical="center" wrapText="1"/>
    </xf>
    <xf numFmtId="0" fontId="7" fillId="2" borderId="62" xfId="0"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2" fillId="5" borderId="0" xfId="0" applyFont="1" applyFill="1" applyAlignment="1" applyProtection="1">
      <alignment horizontal="center" vertical="center" wrapText="1"/>
      <protection locked="0"/>
    </xf>
    <xf numFmtId="0" fontId="10" fillId="2" borderId="1" xfId="0" applyFont="1" applyFill="1" applyBorder="1" applyAlignment="1">
      <alignment vertical="center" wrapText="1"/>
    </xf>
    <xf numFmtId="181" fontId="7" fillId="2" borderId="1" xfId="0" applyNumberFormat="1"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2" borderId="0" xfId="0" applyFont="1" applyFill="1">
      <alignment vertical="center"/>
    </xf>
    <xf numFmtId="186" fontId="49" fillId="2" borderId="0" xfId="0" applyNumberFormat="1" applyFont="1" applyFill="1" applyAlignment="1">
      <alignment horizontal="center" vertical="center" wrapText="1"/>
    </xf>
    <xf numFmtId="0" fontId="49" fillId="2" borderId="0" xfId="0" applyFont="1" applyFill="1" applyAlignment="1">
      <alignment horizontal="center" vertical="center"/>
    </xf>
    <xf numFmtId="0" fontId="61" fillId="2" borderId="37" xfId="0" applyFont="1" applyFill="1" applyBorder="1">
      <alignment vertical="center"/>
    </xf>
    <xf numFmtId="186" fontId="62" fillId="2" borderId="31" xfId="0" applyNumberFormat="1" applyFont="1" applyFill="1" applyBorder="1" applyAlignment="1">
      <alignment horizontal="center" vertical="center" wrapText="1"/>
    </xf>
    <xf numFmtId="0" fontId="49" fillId="2" borderId="31" xfId="0" applyFont="1" applyFill="1" applyBorder="1">
      <alignment vertical="center"/>
    </xf>
    <xf numFmtId="0" fontId="61" fillId="2" borderId="38" xfId="0" applyFont="1" applyFill="1" applyBorder="1">
      <alignment vertical="center"/>
    </xf>
    <xf numFmtId="0" fontId="61" fillId="2" borderId="39" xfId="0" applyFont="1" applyFill="1" applyBorder="1" applyAlignment="1">
      <alignment horizontal="center" vertical="center"/>
    </xf>
    <xf numFmtId="0" fontId="61" fillId="2" borderId="0" xfId="0" applyFont="1" applyFill="1" applyAlignment="1">
      <alignment horizontal="center" vertical="center"/>
    </xf>
    <xf numFmtId="0" fontId="7" fillId="2" borderId="1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0" fontId="7" fillId="2" borderId="1" xfId="0" applyNumberFormat="1" applyFont="1" applyFill="1" applyBorder="1" applyAlignment="1">
      <alignment horizontal="center" vertical="center" wrapText="1"/>
    </xf>
    <xf numFmtId="10" fontId="32" fillId="2" borderId="40" xfId="0" applyNumberFormat="1" applyFont="1" applyFill="1" applyBorder="1" applyAlignment="1">
      <alignment horizontal="center" vertical="center" wrapText="1"/>
    </xf>
    <xf numFmtId="10" fontId="32" fillId="2" borderId="0" xfId="0" applyNumberFormat="1" applyFont="1" applyFill="1" applyAlignment="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lignment horizontal="center" vertical="center"/>
    </xf>
    <xf numFmtId="10" fontId="32" fillId="2" borderId="43" xfId="0" applyNumberFormat="1" applyFont="1" applyFill="1" applyBorder="1" applyAlignment="1">
      <alignment vertical="center" wrapText="1"/>
    </xf>
    <xf numFmtId="0" fontId="41" fillId="0" borderId="1"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7" fillId="2" borderId="41" xfId="0" applyFont="1" applyFill="1" applyBorder="1" applyAlignment="1">
      <alignment horizontal="center" vertical="center" wrapText="1"/>
    </xf>
    <xf numFmtId="0" fontId="7" fillId="2" borderId="12" xfId="0" applyFont="1" applyFill="1" applyBorder="1" applyAlignment="1">
      <alignment horizontal="center" vertical="center" wrapText="1"/>
    </xf>
    <xf numFmtId="49" fontId="7" fillId="2" borderId="20" xfId="0" applyNumberFormat="1" applyFont="1" applyFill="1" applyBorder="1" applyAlignment="1">
      <alignment horizontal="center" vertical="center" wrapText="1"/>
    </xf>
    <xf numFmtId="10" fontId="32" fillId="2" borderId="115" xfId="0" applyNumberFormat="1" applyFont="1" applyFill="1" applyBorder="1" applyAlignment="1">
      <alignment vertical="center" wrapText="1"/>
    </xf>
    <xf numFmtId="0" fontId="49" fillId="2" borderId="7" xfId="0" applyFont="1" applyFill="1" applyBorder="1" applyAlignment="1">
      <alignment horizontal="center" vertical="center"/>
    </xf>
    <xf numFmtId="0" fontId="49" fillId="2" borderId="32" xfId="0" applyFont="1" applyFill="1" applyBorder="1">
      <alignment vertical="center"/>
    </xf>
    <xf numFmtId="10" fontId="32" fillId="2" borderId="1" xfId="0" applyNumberFormat="1" applyFont="1" applyFill="1" applyBorder="1" applyAlignment="1">
      <alignment vertical="center" wrapText="1"/>
    </xf>
    <xf numFmtId="0" fontId="49" fillId="2" borderId="10" xfId="0" applyFont="1" applyFill="1" applyBorder="1" applyAlignment="1">
      <alignment horizontal="center" vertical="center"/>
    </xf>
    <xf numFmtId="0" fontId="49" fillId="2" borderId="2" xfId="0" applyFont="1" applyFill="1" applyBorder="1">
      <alignment vertical="center"/>
    </xf>
    <xf numFmtId="178" fontId="57" fillId="0" borderId="1" xfId="0" applyNumberFormat="1" applyFont="1" applyBorder="1" applyAlignment="1" applyProtection="1">
      <alignment horizontal="center" vertical="center" wrapText="1"/>
      <protection locked="0"/>
    </xf>
    <xf numFmtId="0" fontId="57" fillId="2" borderId="114" xfId="0" applyFont="1" applyFill="1" applyBorder="1" applyAlignment="1">
      <alignment vertical="center" wrapText="1"/>
    </xf>
    <xf numFmtId="0" fontId="57" fillId="5" borderId="0" xfId="0" applyFont="1" applyFill="1" applyProtection="1">
      <alignment vertical="center"/>
      <protection locked="0"/>
    </xf>
    <xf numFmtId="0" fontId="32" fillId="2" borderId="116" xfId="0" applyFont="1" applyFill="1" applyBorder="1" applyAlignment="1">
      <alignment vertical="center" wrapText="1"/>
    </xf>
    <xf numFmtId="0" fontId="32" fillId="5" borderId="0" xfId="0" applyFont="1" applyFill="1" applyProtection="1">
      <alignment vertical="center"/>
      <protection locked="0"/>
    </xf>
    <xf numFmtId="0" fontId="32" fillId="2" borderId="29" xfId="0" applyFont="1" applyFill="1" applyBorder="1" applyAlignment="1">
      <alignment vertical="center" wrapText="1"/>
    </xf>
    <xf numFmtId="0" fontId="32" fillId="2" borderId="42" xfId="0" applyFont="1" applyFill="1" applyBorder="1" applyAlignment="1">
      <alignment vertical="center" wrapText="1"/>
    </xf>
    <xf numFmtId="0" fontId="32" fillId="2" borderId="69" xfId="0" applyFont="1" applyFill="1" applyBorder="1" applyAlignment="1">
      <alignment vertical="center" wrapText="1"/>
    </xf>
    <xf numFmtId="0" fontId="32" fillId="2" borderId="39" xfId="0" applyFont="1" applyFill="1" applyBorder="1" applyAlignment="1">
      <alignment vertical="center" wrapText="1"/>
    </xf>
    <xf numFmtId="0" fontId="49" fillId="2" borderId="12" xfId="0" applyFont="1" applyFill="1" applyBorder="1" applyAlignment="1">
      <alignment horizontal="center" vertical="center"/>
    </xf>
    <xf numFmtId="0" fontId="49" fillId="2" borderId="33" xfId="0" applyFont="1" applyFill="1" applyBorder="1">
      <alignment vertical="center"/>
    </xf>
    <xf numFmtId="0" fontId="32" fillId="0" borderId="11" xfId="0" applyFont="1" applyBorder="1" applyAlignment="1" applyProtection="1">
      <alignment horizontal="center" vertical="center" wrapText="1"/>
      <protection locked="0"/>
    </xf>
    <xf numFmtId="0" fontId="45" fillId="2" borderId="96" xfId="0" applyFont="1" applyFill="1" applyBorder="1">
      <alignment vertical="center"/>
    </xf>
    <xf numFmtId="0" fontId="45" fillId="2" borderId="117" xfId="0" applyFont="1" applyFill="1" applyBorder="1">
      <alignment vertical="center"/>
    </xf>
    <xf numFmtId="0" fontId="32" fillId="0" borderId="14" xfId="0" applyFont="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protection locked="0"/>
    </xf>
    <xf numFmtId="0" fontId="32" fillId="2" borderId="47" xfId="0" applyFont="1" applyFill="1" applyBorder="1" applyAlignment="1">
      <alignment horizontal="center" vertical="center" wrapText="1"/>
    </xf>
    <xf numFmtId="0" fontId="32" fillId="2" borderId="115" xfId="0" applyFont="1" applyFill="1" applyBorder="1" applyAlignment="1">
      <alignment horizontal="center" vertical="center" wrapText="1"/>
    </xf>
    <xf numFmtId="0" fontId="57" fillId="2" borderId="22" xfId="0" applyFont="1" applyFill="1" applyBorder="1" applyAlignment="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lignment horizontal="center" vertical="center" wrapText="1"/>
    </xf>
    <xf numFmtId="0" fontId="57" fillId="2" borderId="116" xfId="0" applyFont="1" applyFill="1" applyBorder="1" applyAlignment="1">
      <alignment vertical="center" wrapText="1"/>
    </xf>
    <xf numFmtId="0" fontId="57" fillId="2" borderId="7" xfId="0" applyFont="1" applyFill="1" applyBorder="1" applyAlignment="1">
      <alignment vertical="center" wrapText="1"/>
    </xf>
    <xf numFmtId="0" fontId="29" fillId="2" borderId="9"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57" fillId="2" borderId="12" xfId="0" applyFont="1" applyFill="1" applyBorder="1" applyAlignment="1">
      <alignment vertical="center" wrapText="1"/>
    </xf>
    <xf numFmtId="0" fontId="29" fillId="2" borderId="14" xfId="0" applyFont="1" applyFill="1" applyBorder="1" applyAlignment="1">
      <alignment horizontal="center" vertical="center" wrapText="1"/>
    </xf>
    <xf numFmtId="0" fontId="57" fillId="2" borderId="31" xfId="10" applyFont="1" applyFill="1" applyBorder="1" applyAlignment="1" applyProtection="1">
      <alignment horizontal="center" vertical="center" wrapText="1"/>
      <protection locked="0"/>
    </xf>
    <xf numFmtId="0" fontId="57" fillId="2" borderId="8" xfId="10" applyFont="1" applyFill="1" applyBorder="1" applyAlignment="1" applyProtection="1">
      <alignment vertical="center" wrapText="1"/>
      <protection locked="0"/>
    </xf>
    <xf numFmtId="0" fontId="57" fillId="2" borderId="29" xfId="10" applyFont="1" applyFill="1" applyBorder="1" applyProtection="1">
      <alignment vertical="center"/>
      <protection locked="0"/>
    </xf>
    <xf numFmtId="0" fontId="57" fillId="2" borderId="9" xfId="0" applyFont="1" applyFill="1" applyBorder="1" applyAlignment="1">
      <alignment vertical="center" wrapText="1"/>
    </xf>
    <xf numFmtId="0" fontId="57" fillId="2" borderId="10" xfId="10" applyFont="1" applyFill="1" applyBorder="1" applyAlignment="1">
      <alignment horizontal="center" vertical="center" wrapText="1"/>
    </xf>
    <xf numFmtId="10" fontId="57" fillId="0" borderId="4" xfId="10" applyNumberFormat="1" applyFont="1" applyBorder="1" applyAlignment="1" applyProtection="1">
      <alignment horizontal="center" vertical="center" wrapText="1"/>
      <protection locked="0"/>
    </xf>
    <xf numFmtId="10" fontId="32" fillId="2" borderId="11" xfId="10" applyNumberFormat="1"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 borderId="15" xfId="0" applyFont="1" applyFill="1" applyBorder="1" applyAlignment="1">
      <alignment vertical="center" wrapText="1"/>
    </xf>
    <xf numFmtId="0" fontId="57" fillId="2" borderId="40" xfId="0" applyFont="1" applyFill="1" applyBorder="1" applyAlignment="1">
      <alignment vertical="center" wrapText="1"/>
    </xf>
    <xf numFmtId="0" fontId="57" fillId="2" borderId="26" xfId="0" applyFont="1" applyFill="1" applyBorder="1" applyAlignment="1">
      <alignment vertical="center" wrapText="1"/>
    </xf>
    <xf numFmtId="0" fontId="57" fillId="2" borderId="12" xfId="10" applyFont="1" applyFill="1" applyBorder="1" applyAlignment="1">
      <alignment horizontal="center" vertical="center" wrapText="1"/>
    </xf>
    <xf numFmtId="10" fontId="57" fillId="0" borderId="62" xfId="10" applyNumberFormat="1" applyFont="1" applyBorder="1" applyAlignment="1" applyProtection="1">
      <alignment horizontal="center" vertical="center" wrapText="1"/>
      <protection locked="0"/>
    </xf>
    <xf numFmtId="10" fontId="32" fillId="2" borderId="14" xfId="10" applyNumberFormat="1" applyFont="1" applyFill="1" applyBorder="1" applyAlignment="1">
      <alignment horizontal="center" vertical="center" wrapText="1"/>
    </xf>
    <xf numFmtId="0" fontId="57" fillId="2" borderId="18" xfId="10" applyFont="1" applyFill="1" applyBorder="1" applyAlignment="1" applyProtection="1">
      <alignment horizontal="center" vertical="center" wrapText="1"/>
      <protection locked="0"/>
    </xf>
    <xf numFmtId="0" fontId="57" fillId="2" borderId="0" xfId="10" applyFont="1" applyFill="1" applyAlignment="1" applyProtection="1">
      <alignment vertical="center" wrapText="1"/>
      <protection locked="0"/>
    </xf>
    <xf numFmtId="10" fontId="32" fillId="2" borderId="40" xfId="10" applyNumberFormat="1" applyFont="1" applyFill="1" applyBorder="1" applyAlignment="1">
      <alignment horizontal="center" vertical="center" wrapText="1"/>
    </xf>
    <xf numFmtId="0" fontId="32" fillId="2" borderId="23" xfId="0" applyFont="1" applyFill="1" applyBorder="1" applyAlignment="1">
      <alignment vertical="center" wrapText="1"/>
    </xf>
    <xf numFmtId="0" fontId="32" fillId="2" borderId="7"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22" xfId="0" applyFont="1" applyFill="1" applyBorder="1" applyAlignment="1">
      <alignment vertical="center" wrapText="1"/>
    </xf>
    <xf numFmtId="0" fontId="32" fillId="2" borderId="10" xfId="0" applyFont="1" applyFill="1" applyBorder="1" applyAlignment="1">
      <alignment horizontal="center" vertical="center" wrapText="1"/>
    </xf>
    <xf numFmtId="9" fontId="32" fillId="2" borderId="11" xfId="0" applyNumberFormat="1" applyFont="1" applyFill="1" applyBorder="1" applyAlignment="1">
      <alignment horizontal="center" vertical="center" wrapText="1"/>
    </xf>
    <xf numFmtId="9" fontId="32" fillId="2" borderId="12" xfId="0" applyNumberFormat="1" applyFont="1" applyFill="1" applyBorder="1" applyAlignment="1">
      <alignment horizontal="center" vertical="center" wrapText="1"/>
    </xf>
    <xf numFmtId="10" fontId="32" fillId="2" borderId="13" xfId="0" applyNumberFormat="1" applyFont="1" applyFill="1" applyBorder="1" applyAlignment="1">
      <alignment horizontal="center" vertical="center" wrapText="1"/>
    </xf>
    <xf numFmtId="10" fontId="32" fillId="2" borderId="14" xfId="0" applyNumberFormat="1" applyFont="1" applyFill="1" applyBorder="1" applyAlignment="1">
      <alignment horizontal="center" vertical="center" wrapText="1"/>
    </xf>
    <xf numFmtId="0" fontId="7" fillId="2" borderId="42" xfId="0" applyFont="1" applyFill="1" applyBorder="1">
      <alignment vertical="center"/>
    </xf>
    <xf numFmtId="0" fontId="32" fillId="2" borderId="46" xfId="0" applyFont="1" applyFill="1" applyBorder="1" applyAlignment="1">
      <alignment vertical="center" wrapText="1"/>
    </xf>
    <xf numFmtId="0" fontId="32" fillId="2" borderId="108" xfId="0" applyFont="1" applyFill="1" applyBorder="1">
      <alignment vertical="center"/>
    </xf>
    <xf numFmtId="0" fontId="32" fillId="2" borderId="49" xfId="0" applyFont="1" applyFill="1" applyBorder="1" applyProtection="1">
      <alignment vertical="center"/>
      <protection locked="0"/>
    </xf>
    <xf numFmtId="0" fontId="32" fillId="2" borderId="29" xfId="0" applyFont="1" applyFill="1" applyBorder="1" applyAlignment="1" applyProtection="1">
      <alignment vertical="center" wrapText="1"/>
      <protection locked="0"/>
    </xf>
    <xf numFmtId="0" fontId="32" fillId="2" borderId="10" xfId="0" applyFont="1" applyFill="1" applyBorder="1">
      <alignment vertical="center"/>
    </xf>
    <xf numFmtId="9" fontId="32" fillId="2" borderId="11" xfId="0" applyNumberFormat="1" applyFont="1" applyFill="1" applyBorder="1" applyAlignment="1">
      <alignment horizontal="center" vertical="center"/>
    </xf>
    <xf numFmtId="0" fontId="32" fillId="2" borderId="22" xfId="0" applyFont="1" applyFill="1" applyBorder="1" applyAlignment="1">
      <alignment horizontal="center" vertical="center" wrapText="1"/>
    </xf>
    <xf numFmtId="0" fontId="32" fillId="2" borderId="12" xfId="0" applyFont="1" applyFill="1" applyBorder="1" applyAlignment="1">
      <alignment vertical="center" wrapText="1"/>
    </xf>
    <xf numFmtId="9" fontId="32" fillId="2" borderId="14" xfId="0" applyNumberFormat="1" applyFont="1" applyFill="1" applyBorder="1" applyAlignment="1">
      <alignment horizontal="center" vertical="center" wrapText="1"/>
    </xf>
    <xf numFmtId="0" fontId="49" fillId="2" borderId="0" xfId="0" applyFont="1" applyFill="1" applyProtection="1">
      <alignment vertical="center"/>
      <protection locked="0"/>
    </xf>
    <xf numFmtId="0" fontId="63" fillId="2" borderId="1" xfId="0" applyFont="1" applyFill="1" applyBorder="1" applyAlignment="1">
      <alignment horizontal="center" vertical="center" wrapText="1"/>
    </xf>
    <xf numFmtId="9" fontId="7" fillId="2" borderId="1" xfId="0" applyNumberFormat="1" applyFont="1" applyFill="1" applyBorder="1" applyAlignment="1">
      <alignment horizontal="center" vertical="center" wrapText="1"/>
    </xf>
    <xf numFmtId="10" fontId="57" fillId="2" borderId="1" xfId="0" applyNumberFormat="1" applyFont="1" applyFill="1" applyBorder="1" applyAlignment="1">
      <alignment horizontal="center" vertical="center" wrapText="1"/>
    </xf>
    <xf numFmtId="9" fontId="7" fillId="2" borderId="13" xfId="0" applyNumberFormat="1" applyFont="1" applyFill="1" applyBorder="1" applyAlignment="1">
      <alignment horizontal="center" vertical="center" wrapText="1"/>
    </xf>
    <xf numFmtId="0" fontId="29" fillId="2" borderId="1" xfId="10" applyFont="1" applyFill="1" applyBorder="1" applyAlignment="1">
      <alignment horizontal="center" vertical="center" wrapText="1"/>
    </xf>
    <xf numFmtId="0" fontId="32" fillId="2" borderId="0" xfId="10" applyFont="1" applyFill="1" applyAlignment="1" applyProtection="1">
      <alignment vertical="center" wrapText="1"/>
      <protection locked="0"/>
    </xf>
    <xf numFmtId="0" fontId="29" fillId="0" borderId="1" xfId="10" applyFont="1" applyBorder="1" applyAlignment="1" applyProtection="1">
      <alignment horizontal="center" vertical="center" wrapText="1"/>
      <protection locked="0"/>
    </xf>
    <xf numFmtId="0" fontId="32" fillId="2" borderId="4" xfId="10" applyFont="1" applyFill="1" applyBorder="1" applyAlignment="1" applyProtection="1">
      <alignment horizontal="center" vertical="center" wrapText="1"/>
      <protection locked="0"/>
    </xf>
    <xf numFmtId="0" fontId="32" fillId="2" borderId="1" xfId="10" applyFont="1" applyFill="1" applyBorder="1" applyAlignment="1" applyProtection="1">
      <alignment horizontal="center" vertical="center" wrapText="1"/>
      <protection locked="0"/>
    </xf>
    <xf numFmtId="184" fontId="7" fillId="2" borderId="1" xfId="10" applyNumberFormat="1" applyFont="1" applyFill="1" applyBorder="1" applyAlignment="1">
      <alignment horizontal="center" vertical="center"/>
    </xf>
    <xf numFmtId="0" fontId="32" fillId="2" borderId="1" xfId="10" applyFont="1" applyFill="1" applyBorder="1" applyAlignment="1">
      <alignment horizontal="center" vertical="center" wrapText="1"/>
    </xf>
    <xf numFmtId="0" fontId="7" fillId="2" borderId="1" xfId="10" applyFont="1" applyFill="1" applyBorder="1" applyAlignment="1">
      <alignment vertical="center" wrapText="1"/>
    </xf>
    <xf numFmtId="10" fontId="32" fillId="5" borderId="0" xfId="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32" fillId="5" borderId="0" xfId="10" applyFont="1" applyFill="1" applyAlignment="1">
      <alignment horizontal="center" vertical="center" wrapText="1"/>
    </xf>
    <xf numFmtId="0" fontId="57" fillId="2" borderId="0" xfId="10" applyFont="1" applyFill="1" applyAlignment="1" applyProtection="1">
      <alignment horizontal="center" vertical="center" wrapText="1"/>
      <protection locked="0"/>
    </xf>
    <xf numFmtId="0" fontId="57" fillId="5" borderId="0" xfId="10" applyFont="1" applyFill="1" applyAlignment="1">
      <alignment horizontal="center" vertical="center" wrapText="1"/>
    </xf>
    <xf numFmtId="179" fontId="32" fillId="2" borderId="1" xfId="10" applyNumberFormat="1" applyFont="1" applyFill="1" applyBorder="1" applyAlignment="1" applyProtection="1">
      <alignment horizontal="center" vertical="center" wrapText="1"/>
      <protection locked="0"/>
    </xf>
    <xf numFmtId="0" fontId="7" fillId="2" borderId="1" xfId="10" applyFont="1" applyFill="1" applyBorder="1" applyAlignment="1">
      <alignment horizontal="center" vertical="center"/>
    </xf>
    <xf numFmtId="178" fontId="45" fillId="0" borderId="1" xfId="10" applyNumberFormat="1" applyFont="1" applyBorder="1" applyAlignment="1" applyProtection="1">
      <alignment horizontal="center" vertical="center"/>
      <protection locked="0"/>
    </xf>
    <xf numFmtId="178" fontId="45" fillId="2" borderId="1" xfId="10" applyNumberFormat="1" applyFont="1" applyFill="1" applyBorder="1" applyAlignment="1">
      <alignment horizontal="center" vertical="center"/>
    </xf>
    <xf numFmtId="186" fontId="45" fillId="2" borderId="1" xfId="10" applyNumberFormat="1" applyFont="1" applyFill="1" applyBorder="1" applyAlignment="1">
      <alignment horizontal="center" vertical="center" wrapText="1"/>
    </xf>
    <xf numFmtId="0" fontId="32" fillId="5" borderId="0" xfId="10" applyFont="1" applyFill="1" applyAlignment="1" applyProtection="1">
      <alignment horizontal="center" vertical="center" wrapText="1"/>
      <protection locked="0"/>
    </xf>
    <xf numFmtId="0" fontId="32" fillId="0" borderId="0" xfId="10" applyFont="1" applyAlignment="1">
      <alignment horizontal="center" vertical="center" wrapText="1"/>
    </xf>
    <xf numFmtId="0" fontId="57" fillId="0" borderId="0" xfId="10" applyFont="1" applyAlignment="1">
      <alignment horizontal="center" vertical="center" wrapText="1"/>
    </xf>
    <xf numFmtId="0" fontId="32" fillId="0" borderId="0" xfId="1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lignment horizontal="center" vertical="center" wrapText="1"/>
    </xf>
    <xf numFmtId="49" fontId="7" fillId="2" borderId="13" xfId="0" applyNumberFormat="1" applyFont="1" applyFill="1" applyBorder="1" applyAlignment="1">
      <alignment horizontal="center" vertical="center" wrapText="1"/>
    </xf>
    <xf numFmtId="10" fontId="32" fillId="2" borderId="43" xfId="0" applyNumberFormat="1" applyFont="1" applyFill="1" applyBorder="1" applyAlignment="1">
      <alignment horizontal="center" vertical="center" wrapText="1"/>
    </xf>
    <xf numFmtId="0" fontId="41" fillId="0" borderId="13" xfId="0" applyFont="1" applyBorder="1" applyAlignment="1" applyProtection="1">
      <alignment horizontal="center" vertical="center" wrapText="1"/>
      <protection locked="0"/>
    </xf>
    <xf numFmtId="10" fontId="32" fillId="2" borderId="115" xfId="0" applyNumberFormat="1" applyFont="1" applyFill="1" applyBorder="1" applyAlignment="1">
      <alignment horizontal="center" vertical="center" wrapText="1"/>
    </xf>
    <xf numFmtId="0" fontId="7" fillId="2" borderId="13" xfId="0" applyFont="1" applyFill="1" applyBorder="1" applyAlignment="1">
      <alignment horizontal="center" vertical="center" wrapText="1"/>
    </xf>
    <xf numFmtId="0" fontId="43" fillId="2" borderId="0" xfId="0" applyFont="1" applyFill="1" applyAlignment="1">
      <alignment horizontal="center" vertical="center"/>
    </xf>
    <xf numFmtId="184" fontId="7" fillId="2" borderId="1" xfId="0" applyNumberFormat="1" applyFont="1" applyFill="1" applyBorder="1" applyAlignment="1">
      <alignment horizontal="center" vertical="center"/>
    </xf>
    <xf numFmtId="186" fontId="7" fillId="2" borderId="1" xfId="0" applyNumberFormat="1" applyFont="1" applyFill="1" applyBorder="1" applyAlignment="1">
      <alignment horizontal="center" vertical="center"/>
    </xf>
    <xf numFmtId="178" fontId="45" fillId="2" borderId="1" xfId="0" applyNumberFormat="1" applyFont="1" applyFill="1" applyBorder="1" applyAlignment="1">
      <alignment horizontal="center" vertical="center"/>
    </xf>
    <xf numFmtId="186" fontId="45" fillId="2" borderId="1" xfId="0" applyNumberFormat="1" applyFont="1" applyFill="1" applyBorder="1" applyAlignment="1">
      <alignment horizontal="center" vertical="center" wrapText="1"/>
    </xf>
    <xf numFmtId="184" fontId="7" fillId="2" borderId="16" xfId="0" applyNumberFormat="1" applyFont="1" applyFill="1" applyBorder="1" applyAlignment="1">
      <alignment horizontal="center" vertical="center" wrapText="1"/>
    </xf>
    <xf numFmtId="179" fontId="45" fillId="2" borderId="1" xfId="0" applyNumberFormat="1" applyFont="1" applyFill="1" applyBorder="1" applyAlignment="1">
      <alignment horizontal="center" vertical="center"/>
    </xf>
    <xf numFmtId="0" fontId="7" fillId="0" borderId="0" xfId="0" applyFont="1" applyAlignment="1">
      <alignment horizontal="left" vertical="center"/>
    </xf>
    <xf numFmtId="0" fontId="32" fillId="2" borderId="64" xfId="0" applyFont="1" applyFill="1" applyBorder="1" applyAlignment="1">
      <alignment horizontal="center" vertical="center" wrapText="1"/>
    </xf>
    <xf numFmtId="179" fontId="45" fillId="2" borderId="64" xfId="0" applyNumberFormat="1" applyFont="1" applyFill="1" applyBorder="1" applyAlignment="1">
      <alignment horizontal="center" vertical="center" wrapText="1"/>
    </xf>
    <xf numFmtId="0" fontId="45" fillId="2" borderId="31" xfId="0" applyFont="1" applyFill="1" applyBorder="1" applyAlignment="1">
      <alignment horizontal="center" vertical="center" wrapText="1"/>
    </xf>
    <xf numFmtId="0" fontId="64" fillId="2" borderId="1" xfId="9" applyFont="1" applyFill="1" applyBorder="1" applyAlignment="1">
      <alignment horizontal="center" vertical="center"/>
    </xf>
    <xf numFmtId="0" fontId="32" fillId="2" borderId="49" xfId="0" applyFont="1" applyFill="1" applyBorder="1" applyAlignment="1">
      <alignment vertical="center" wrapText="1"/>
    </xf>
    <xf numFmtId="0" fontId="32" fillId="2" borderId="8" xfId="9" applyFont="1" applyFill="1" applyBorder="1" applyAlignment="1">
      <alignment horizontal="center" vertical="center"/>
    </xf>
    <xf numFmtId="0" fontId="32" fillId="2" borderId="16" xfId="9" applyFont="1" applyFill="1" applyBorder="1" applyAlignment="1">
      <alignment horizontal="center" vertical="center"/>
    </xf>
    <xf numFmtId="0" fontId="32" fillId="2" borderId="16" xfId="9" applyFont="1" applyFill="1" applyBorder="1" applyAlignment="1">
      <alignment horizontal="center" vertical="center" wrapText="1"/>
    </xf>
    <xf numFmtId="0" fontId="32" fillId="2" borderId="12" xfId="0" applyFont="1" applyFill="1" applyBorder="1" applyAlignment="1">
      <alignment horizontal="center" vertical="center" wrapText="1"/>
    </xf>
    <xf numFmtId="0" fontId="45" fillId="2" borderId="13" xfId="0" applyFont="1" applyFill="1" applyBorder="1" applyAlignment="1">
      <alignment horizontal="center" vertical="center" wrapText="1"/>
    </xf>
    <xf numFmtId="0" fontId="7" fillId="2" borderId="4" xfId="0" applyFont="1" applyFill="1" applyBorder="1">
      <alignment vertical="center"/>
    </xf>
    <xf numFmtId="0" fontId="7" fillId="2" borderId="0" xfId="0" applyFont="1" applyFill="1" applyAlignment="1">
      <alignment horizontal="center" vertical="center"/>
    </xf>
    <xf numFmtId="0" fontId="32" fillId="2" borderId="35" xfId="9" applyFont="1" applyFill="1" applyBorder="1" applyAlignment="1">
      <alignment horizontal="center" vertical="center"/>
    </xf>
    <xf numFmtId="0" fontId="32" fillId="2" borderId="36" xfId="9" applyFont="1" applyFill="1" applyBorder="1" applyAlignment="1">
      <alignment horizontal="center" vertical="center"/>
    </xf>
    <xf numFmtId="0" fontId="45" fillId="2" borderId="11"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65"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3"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88" fontId="57" fillId="0" borderId="0" xfId="0" applyNumberFormat="1" applyFont="1" applyAlignment="1" applyProtection="1">
      <alignment horizontal="center" vertical="center"/>
      <protection locked="0"/>
    </xf>
    <xf numFmtId="181" fontId="57" fillId="0" borderId="0" xfId="0" applyNumberFormat="1" applyFont="1" applyAlignment="1" applyProtection="1">
      <alignment horizontal="center" vertical="center"/>
      <protection locked="0"/>
    </xf>
    <xf numFmtId="0" fontId="33" fillId="2" borderId="48" xfId="0" applyFont="1" applyFill="1" applyBorder="1">
      <alignment vertical="center"/>
    </xf>
    <xf numFmtId="0" fontId="70" fillId="2" borderId="95" xfId="0" applyFont="1" applyFill="1" applyBorder="1" applyAlignment="1">
      <alignment horizontal="right" vertical="center"/>
    </xf>
    <xf numFmtId="0" fontId="70" fillId="2" borderId="0" xfId="0" applyFont="1" applyFill="1" applyAlignment="1">
      <alignment horizontal="center" vertical="center"/>
    </xf>
    <xf numFmtId="0" fontId="70" fillId="2" borderId="95" xfId="0" applyFont="1" applyFill="1" applyBorder="1">
      <alignment vertical="center"/>
    </xf>
    <xf numFmtId="0" fontId="71" fillId="2" borderId="95" xfId="0" applyFont="1" applyFill="1" applyBorder="1">
      <alignment vertical="center"/>
    </xf>
    <xf numFmtId="178" fontId="30" fillId="2" borderId="1" xfId="0" applyNumberFormat="1" applyFont="1" applyFill="1" applyBorder="1" applyAlignment="1">
      <alignment horizontal="right" vertical="center"/>
    </xf>
    <xf numFmtId="0" fontId="70" fillId="2" borderId="0" xfId="0" applyFont="1" applyFill="1" applyProtection="1">
      <alignment vertical="center"/>
      <protection locked="0"/>
    </xf>
    <xf numFmtId="0" fontId="71" fillId="2" borderId="0" xfId="0" applyFont="1" applyFill="1" applyProtection="1">
      <alignment vertical="center"/>
      <protection locked="0"/>
    </xf>
    <xf numFmtId="184" fontId="30" fillId="2" borderId="15" xfId="0" applyNumberFormat="1" applyFont="1" applyFill="1" applyBorder="1" applyAlignment="1">
      <alignment horizontal="right" vertical="center"/>
    </xf>
    <xf numFmtId="0" fontId="70" fillId="0" borderId="13" xfId="0" applyFont="1" applyBorder="1" applyProtection="1">
      <alignment vertical="center"/>
      <protection locked="0"/>
    </xf>
    <xf numFmtId="0" fontId="58" fillId="2" borderId="49" xfId="0" applyFont="1" applyFill="1" applyBorder="1" applyAlignment="1">
      <alignment vertical="center" wrapText="1"/>
    </xf>
    <xf numFmtId="0" fontId="58" fillId="2" borderId="31" xfId="0" applyFont="1" applyFill="1" applyBorder="1" applyAlignment="1">
      <alignment vertical="center" wrapText="1"/>
    </xf>
    <xf numFmtId="0" fontId="57" fillId="2" borderId="9"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58" fillId="2" borderId="30" xfId="0" applyFont="1" applyFill="1" applyBorder="1" applyAlignment="1">
      <alignment vertical="center" wrapText="1"/>
    </xf>
    <xf numFmtId="0" fontId="58" fillId="2" borderId="0" xfId="0" applyFont="1" applyFill="1" applyAlignment="1">
      <alignment vertical="center" wrapText="1"/>
    </xf>
    <xf numFmtId="0" fontId="58" fillId="2" borderId="61" xfId="0" applyFont="1" applyFill="1" applyBorder="1" applyAlignment="1">
      <alignment vertical="center" wrapText="1"/>
    </xf>
    <xf numFmtId="0" fontId="58" fillId="2" borderId="21" xfId="0" applyFont="1" applyFill="1" applyBorder="1" applyAlignment="1">
      <alignment vertical="center" wrapText="1"/>
    </xf>
    <xf numFmtId="0" fontId="57" fillId="0" borderId="40" xfId="0" applyFont="1" applyBorder="1" applyAlignment="1" applyProtection="1">
      <alignment horizontal="center" vertical="center" wrapText="1"/>
      <protection locked="0"/>
    </xf>
    <xf numFmtId="0" fontId="73" fillId="2" borderId="118" xfId="0" applyFont="1" applyFill="1" applyBorder="1" applyAlignment="1">
      <alignment vertical="center" wrapText="1"/>
    </xf>
    <xf numFmtId="0" fontId="73" fillId="2" borderId="25" xfId="0" applyFont="1" applyFill="1" applyBorder="1" applyAlignment="1">
      <alignment vertical="center" wrapText="1"/>
    </xf>
    <xf numFmtId="190" fontId="63" fillId="2" borderId="19" xfId="0" applyNumberFormat="1" applyFont="1" applyFill="1" applyBorder="1" applyAlignment="1">
      <alignment horizontal="center" vertical="center" wrapText="1"/>
    </xf>
    <xf numFmtId="0" fontId="63" fillId="2" borderId="26" xfId="0" applyFont="1" applyFill="1" applyBorder="1" applyAlignment="1">
      <alignment horizontal="center" vertical="center" wrapText="1"/>
    </xf>
    <xf numFmtId="190" fontId="63" fillId="0" borderId="110" xfId="0" applyNumberFormat="1" applyFont="1" applyBorder="1" applyAlignment="1" applyProtection="1">
      <alignment horizontal="center" vertical="center" wrapText="1"/>
      <protection locked="0"/>
    </xf>
    <xf numFmtId="0" fontId="63" fillId="2" borderId="109" xfId="0" applyFont="1" applyFill="1" applyBorder="1" applyAlignment="1">
      <alignment horizontal="center" vertical="center" wrapText="1"/>
    </xf>
    <xf numFmtId="190" fontId="63" fillId="0" borderId="19" xfId="0" applyNumberFormat="1" applyFont="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lignment vertical="center" wrapText="1"/>
    </xf>
    <xf numFmtId="0" fontId="63" fillId="2" borderId="32" xfId="0" applyFont="1" applyFill="1" applyBorder="1" applyAlignment="1">
      <alignment horizontal="center" vertical="center" wrapText="1"/>
    </xf>
    <xf numFmtId="0" fontId="63" fillId="7" borderId="37" xfId="0" applyFont="1" applyFill="1" applyBorder="1" applyAlignment="1" applyProtection="1">
      <alignment horizontal="center" vertical="center" wrapText="1"/>
      <protection locked="0"/>
    </xf>
    <xf numFmtId="0" fontId="63" fillId="2" borderId="9" xfId="0" applyFont="1" applyFill="1" applyBorder="1" applyAlignment="1">
      <alignment horizontal="center" vertical="center" wrapText="1"/>
    </xf>
    <xf numFmtId="0" fontId="74" fillId="2" borderId="27" xfId="0" applyFont="1" applyFill="1" applyBorder="1" applyAlignment="1">
      <alignment vertical="center" wrapText="1"/>
    </xf>
    <xf numFmtId="0" fontId="63" fillId="2" borderId="2" xfId="0" applyFont="1" applyFill="1" applyBorder="1" applyAlignment="1">
      <alignment horizontal="center" vertical="center" wrapText="1"/>
    </xf>
    <xf numFmtId="0" fontId="63" fillId="0" borderId="58"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58" fillId="2" borderId="27" xfId="0" applyFont="1" applyFill="1" applyBorder="1" applyAlignment="1">
      <alignment vertical="center" wrapText="1"/>
    </xf>
    <xf numFmtId="0" fontId="63" fillId="0" borderId="10"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73" fillId="2" borderId="27" xfId="0" applyFont="1" applyFill="1" applyBorder="1" applyAlignment="1">
      <alignment vertical="center" wrapText="1"/>
    </xf>
    <xf numFmtId="0" fontId="63" fillId="0" borderId="48" xfId="0" applyFont="1" applyBorder="1" applyAlignment="1" applyProtection="1">
      <alignment horizontal="center" vertical="center" wrapText="1"/>
      <protection locked="0"/>
    </xf>
    <xf numFmtId="0" fontId="63" fillId="2" borderId="117" xfId="0" applyFont="1" applyFill="1" applyBorder="1" applyAlignment="1">
      <alignment horizontal="center" vertical="center" wrapText="1"/>
    </xf>
    <xf numFmtId="0" fontId="57" fillId="0" borderId="1"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7" fillId="0" borderId="41" xfId="0" applyFont="1" applyBorder="1" applyAlignment="1" applyProtection="1">
      <alignment horizontal="center" vertical="center" wrapText="1"/>
      <protection locked="0"/>
    </xf>
    <xf numFmtId="0" fontId="58" fillId="2" borderId="111" xfId="0" applyFont="1" applyFill="1" applyBorder="1" applyAlignment="1">
      <alignment vertical="center" wrapText="1"/>
    </xf>
    <xf numFmtId="0" fontId="63" fillId="0" borderId="33" xfId="0" applyFont="1" applyBorder="1" applyAlignment="1" applyProtection="1">
      <alignment horizontal="center" vertical="center" wrapText="1"/>
      <protection locked="0"/>
    </xf>
    <xf numFmtId="0" fontId="57" fillId="0" borderId="44" xfId="0" applyFont="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8" fillId="2" borderId="18" xfId="0" applyFont="1" applyFill="1" applyBorder="1" applyAlignment="1">
      <alignment vertical="center" wrapText="1"/>
    </xf>
    <xf numFmtId="0" fontId="63" fillId="2" borderId="36" xfId="0" applyFont="1" applyFill="1" applyBorder="1" applyAlignment="1">
      <alignment horizontal="center" vertical="center" wrapText="1"/>
    </xf>
    <xf numFmtId="0" fontId="57" fillId="2" borderId="18" xfId="0" applyFont="1" applyFill="1" applyBorder="1" applyAlignment="1">
      <alignment horizontal="center" vertical="center" wrapText="1"/>
    </xf>
    <xf numFmtId="0" fontId="57" fillId="2" borderId="36" xfId="0" applyFont="1" applyFill="1" applyBorder="1" applyAlignment="1">
      <alignment horizontal="center" vertical="center" wrapText="1"/>
    </xf>
    <xf numFmtId="49" fontId="57" fillId="0" borderId="113" xfId="0" applyNumberFormat="1" applyFont="1" applyBorder="1" applyAlignment="1" applyProtection="1">
      <alignment horizontal="center" vertical="center" wrapText="1"/>
      <protection locked="0"/>
    </xf>
    <xf numFmtId="0" fontId="57" fillId="2" borderId="23" xfId="0" applyFont="1" applyFill="1" applyBorder="1" applyAlignment="1">
      <alignment horizontal="center" vertical="center"/>
    </xf>
    <xf numFmtId="0" fontId="57" fillId="7" borderId="58" xfId="0" applyFont="1" applyFill="1" applyBorder="1" applyAlignment="1" applyProtection="1">
      <alignment horizontal="center" vertical="center" wrapText="1"/>
      <protection locked="0"/>
    </xf>
    <xf numFmtId="0" fontId="57" fillId="2" borderId="28" xfId="0" applyFont="1" applyFill="1" applyBorder="1" applyAlignment="1">
      <alignment horizontal="center" vertical="center" wrapText="1"/>
    </xf>
    <xf numFmtId="0" fontId="57" fillId="7" borderId="112" xfId="0" applyFont="1" applyFill="1" applyBorder="1" applyAlignment="1" applyProtection="1">
      <alignment horizontal="center" vertical="center" wrapText="1"/>
      <protection locked="0"/>
    </xf>
    <xf numFmtId="0" fontId="57" fillId="2" borderId="43" xfId="0" applyFont="1" applyFill="1" applyBorder="1" applyAlignment="1">
      <alignment horizontal="center" vertical="center" wrapText="1"/>
    </xf>
    <xf numFmtId="0" fontId="63" fillId="2" borderId="40" xfId="0" applyFont="1" applyFill="1" applyBorder="1" applyAlignment="1">
      <alignment horizontal="center" vertical="center" wrapText="1"/>
    </xf>
    <xf numFmtId="0" fontId="57" fillId="2" borderId="51" xfId="0" applyFont="1" applyFill="1" applyBorder="1" applyAlignment="1">
      <alignment horizontal="center" vertical="center" wrapText="1"/>
    </xf>
    <xf numFmtId="49" fontId="57" fillId="0" borderId="119" xfId="0" applyNumberFormat="1" applyFont="1" applyBorder="1" applyAlignment="1" applyProtection="1">
      <alignment horizontal="center" vertical="center" wrapText="1"/>
      <protection locked="0"/>
    </xf>
    <xf numFmtId="0" fontId="57" fillId="2" borderId="40" xfId="0" applyFont="1" applyFill="1" applyBorder="1" applyAlignment="1">
      <alignment horizontal="center" vertical="center" wrapText="1"/>
    </xf>
    <xf numFmtId="0" fontId="63" fillId="2" borderId="28" xfId="0" applyFont="1" applyFill="1" applyBorder="1" applyAlignment="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2" borderId="30" xfId="0" applyFont="1" applyFill="1" applyBorder="1" applyAlignment="1">
      <alignment vertical="center" wrapText="1"/>
    </xf>
    <xf numFmtId="0" fontId="63" fillId="2" borderId="43" xfId="0" applyFont="1" applyFill="1" applyBorder="1" applyAlignment="1">
      <alignment horizontal="center" vertical="center" wrapText="1"/>
    </xf>
    <xf numFmtId="0" fontId="63" fillId="7" borderId="120" xfId="0" applyFont="1" applyFill="1" applyBorder="1" applyAlignment="1" applyProtection="1">
      <alignment horizontal="center" vertical="center" wrapText="1"/>
      <protection locked="0"/>
    </xf>
    <xf numFmtId="0" fontId="63" fillId="7" borderId="96" xfId="0" applyFont="1" applyFill="1" applyBorder="1" applyAlignment="1" applyProtection="1">
      <alignment horizontal="center" vertical="center" wrapText="1"/>
      <protection locked="0"/>
    </xf>
    <xf numFmtId="0" fontId="57" fillId="7" borderId="41" xfId="0" applyFont="1" applyFill="1" applyBorder="1" applyAlignment="1" applyProtection="1">
      <alignment horizontal="center" vertical="center" wrapText="1"/>
      <protection locked="0"/>
    </xf>
    <xf numFmtId="0" fontId="57" fillId="7" borderId="3" xfId="0" applyFont="1" applyFill="1" applyBorder="1" applyAlignment="1" applyProtection="1">
      <alignment horizontal="center" vertical="center" wrapText="1"/>
      <protection locked="0"/>
    </xf>
    <xf numFmtId="0" fontId="57" fillId="2" borderId="27" xfId="0" applyFont="1" applyFill="1" applyBorder="1" applyAlignment="1">
      <alignment horizontal="center" vertical="center" wrapText="1"/>
    </xf>
    <xf numFmtId="0" fontId="57" fillId="2" borderId="41" xfId="0" applyFont="1" applyFill="1" applyBorder="1" applyAlignment="1">
      <alignment horizontal="center" vertical="center" wrapText="1"/>
    </xf>
    <xf numFmtId="0" fontId="63" fillId="0" borderId="11"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2" borderId="30" xfId="0" applyFont="1" applyFill="1" applyBorder="1" applyAlignment="1">
      <alignment horizontal="center" vertical="center"/>
    </xf>
    <xf numFmtId="0" fontId="57" fillId="0" borderId="11" xfId="0" applyFont="1" applyBorder="1" applyAlignment="1" applyProtection="1">
      <alignment horizontal="center" vertical="center"/>
      <protection locked="0"/>
    </xf>
    <xf numFmtId="0" fontId="75" fillId="2" borderId="61" xfId="0" applyFont="1" applyFill="1" applyBorder="1" applyAlignment="1">
      <alignment vertical="center" textRotation="255" wrapText="1"/>
    </xf>
    <xf numFmtId="0" fontId="49" fillId="0" borderId="14" xfId="0" applyFont="1" applyBorder="1" applyAlignment="1" applyProtection="1">
      <alignment horizontal="center" vertical="center"/>
      <protection locked="0"/>
    </xf>
    <xf numFmtId="0" fontId="57" fillId="0" borderId="12" xfId="0" applyFont="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57" fillId="0" borderId="62" xfId="0" applyFont="1" applyBorder="1" applyAlignment="1" applyProtection="1">
      <alignment horizontal="center" vertical="center" wrapText="1"/>
      <protection locked="0"/>
    </xf>
    <xf numFmtId="0" fontId="63" fillId="2" borderId="34" xfId="0" applyFont="1" applyFill="1" applyBorder="1" applyAlignment="1">
      <alignment horizontal="center" vertical="center" wrapText="1"/>
    </xf>
    <xf numFmtId="0" fontId="57" fillId="0" borderId="7" xfId="0" applyFont="1" applyBorder="1" applyAlignment="1" applyProtection="1">
      <alignment horizontal="center" vertical="center" wrapText="1"/>
      <protection locked="0"/>
    </xf>
    <xf numFmtId="0" fontId="58" fillId="2" borderId="27" xfId="0" applyFont="1" applyFill="1" applyBorder="1" applyAlignment="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Border="1" applyAlignment="1" applyProtection="1">
      <alignment horizontal="center" vertical="center"/>
      <protection locked="0"/>
    </xf>
    <xf numFmtId="0" fontId="75" fillId="2" borderId="27" xfId="0" applyFont="1" applyFill="1" applyBorder="1" applyAlignment="1">
      <alignment vertical="center" textRotation="255" wrapText="1"/>
    </xf>
    <xf numFmtId="0" fontId="67" fillId="0" borderId="44" xfId="0" applyFont="1" applyBorder="1" applyAlignment="1" applyProtection="1">
      <alignment horizontal="center" vertical="center" wrapText="1"/>
      <protection locked="0"/>
    </xf>
    <xf numFmtId="49" fontId="58" fillId="2" borderId="37" xfId="0" applyNumberFormat="1" applyFont="1" applyFill="1" applyBorder="1">
      <alignment vertical="center"/>
    </xf>
    <xf numFmtId="49" fontId="58" fillId="7" borderId="9" xfId="0" applyNumberFormat="1" applyFont="1" applyFill="1" applyBorder="1" applyProtection="1">
      <alignment vertical="center"/>
      <protection locked="0"/>
    </xf>
    <xf numFmtId="0" fontId="58" fillId="2" borderId="38" xfId="0" applyFont="1" applyFill="1" applyBorder="1" applyAlignment="1">
      <alignment horizontal="right" vertical="center" wrapText="1"/>
    </xf>
    <xf numFmtId="0" fontId="58" fillId="2" borderId="39" xfId="0" applyFont="1" applyFill="1" applyBorder="1" applyAlignment="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lignment vertical="center" wrapText="1"/>
    </xf>
    <xf numFmtId="49" fontId="58" fillId="2" borderId="44" xfId="0" applyNumberFormat="1" applyFont="1" applyFill="1" applyBorder="1">
      <alignment vertical="center"/>
    </xf>
    <xf numFmtId="49" fontId="58" fillId="2" borderId="46" xfId="0" applyNumberFormat="1" applyFont="1" applyFill="1" applyBorder="1">
      <alignment vertical="center"/>
    </xf>
    <xf numFmtId="184" fontId="58" fillId="2" borderId="45" xfId="0" applyNumberFormat="1" applyFont="1" applyFill="1" applyBorder="1" applyAlignment="1">
      <alignment vertical="center" wrapText="1"/>
    </xf>
    <xf numFmtId="0" fontId="31" fillId="13" borderId="46" xfId="0" applyFont="1" applyFill="1" applyBorder="1" applyAlignment="1" applyProtection="1">
      <alignment horizontal="left" vertical="center" wrapText="1"/>
      <protection locked="0"/>
    </xf>
    <xf numFmtId="181" fontId="58" fillId="13" borderId="46" xfId="0" applyNumberFormat="1" applyFont="1" applyFill="1" applyBorder="1" applyAlignment="1" applyProtection="1">
      <alignment horizontal="left" vertical="center" wrapText="1"/>
      <protection locked="0"/>
    </xf>
    <xf numFmtId="184" fontId="58" fillId="2" borderId="44" xfId="0" applyNumberFormat="1" applyFont="1" applyFill="1" applyBorder="1" applyAlignment="1">
      <alignment vertical="center" wrapText="1"/>
    </xf>
    <xf numFmtId="49" fontId="58" fillId="0" borderId="61" xfId="0" applyNumberFormat="1" applyFont="1" applyBorder="1" applyProtection="1">
      <alignment vertical="center"/>
      <protection locked="0"/>
    </xf>
    <xf numFmtId="49" fontId="58" fillId="0" borderId="22" xfId="0" applyNumberFormat="1" applyFont="1" applyBorder="1" applyProtection="1">
      <alignment vertical="center"/>
      <protection locked="0"/>
    </xf>
    <xf numFmtId="184" fontId="58" fillId="2" borderId="21" xfId="0" applyNumberFormat="1" applyFont="1" applyFill="1" applyBorder="1" applyAlignment="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lignment horizontal="left" vertical="center"/>
    </xf>
    <xf numFmtId="181" fontId="57" fillId="2" borderId="2" xfId="0" applyNumberFormat="1" applyFont="1" applyFill="1" applyBorder="1" applyAlignment="1">
      <alignment horizontal="center" vertical="center"/>
    </xf>
    <xf numFmtId="181" fontId="57" fillId="2" borderId="4" xfId="0" applyNumberFormat="1" applyFont="1" applyFill="1" applyBorder="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7" fontId="57" fillId="2" borderId="0" xfId="0" applyNumberFormat="1" applyFont="1" applyFill="1" applyAlignment="1">
      <alignment horizontal="center" vertical="center"/>
    </xf>
    <xf numFmtId="0" fontId="68" fillId="2" borderId="0" xfId="0" applyFont="1" applyFill="1" applyAlignment="1">
      <alignment horizontal="center" vertical="center"/>
    </xf>
    <xf numFmtId="14" fontId="57" fillId="2" borderId="7" xfId="0" applyNumberFormat="1" applyFont="1" applyFill="1" applyBorder="1" applyAlignment="1">
      <alignment horizontal="left" vertical="center"/>
    </xf>
    <xf numFmtId="187" fontId="57" fillId="2" borderId="8" xfId="0" applyNumberFormat="1" applyFont="1" applyFill="1" applyBorder="1" applyAlignment="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lignment horizontal="center" vertical="center"/>
    </xf>
    <xf numFmtId="0" fontId="57" fillId="2" borderId="9" xfId="0" applyFont="1" applyFill="1" applyBorder="1" applyAlignment="1">
      <alignment horizontal="center" vertical="center"/>
    </xf>
    <xf numFmtId="0" fontId="32" fillId="2" borderId="10" xfId="0" applyFont="1" applyFill="1" applyBorder="1" applyAlignment="1"/>
    <xf numFmtId="184" fontId="32" fillId="2" borderId="1" xfId="14" applyNumberFormat="1" applyFont="1" applyFill="1" applyBorder="1" applyAlignment="1">
      <alignment horizontal="center"/>
    </xf>
    <xf numFmtId="0" fontId="32" fillId="2" borderId="1" xfId="0" applyFont="1" applyFill="1" applyBorder="1" applyAlignment="1">
      <alignment horizontal="center"/>
    </xf>
    <xf numFmtId="0" fontId="69" fillId="2" borderId="1" xfId="0" applyFont="1" applyFill="1" applyBorder="1" applyAlignment="1" applyProtection="1">
      <alignment horizontal="center" vertical="center"/>
      <protection locked="0"/>
    </xf>
    <xf numFmtId="178" fontId="32" fillId="2" borderId="11" xfId="14" applyNumberFormat="1" applyFont="1" applyFill="1" applyBorder="1" applyAlignment="1">
      <alignment horizontal="center"/>
    </xf>
    <xf numFmtId="0" fontId="32" fillId="2" borderId="10" xfId="14" applyFont="1" applyFill="1" applyBorder="1" applyAlignment="1"/>
    <xf numFmtId="9" fontId="69" fillId="3" borderId="1" xfId="0" applyNumberFormat="1" applyFont="1" applyFill="1" applyBorder="1" applyAlignment="1" applyProtection="1">
      <alignment horizontal="center" vertical="center"/>
      <protection locked="0"/>
    </xf>
    <xf numFmtId="179" fontId="32" fillId="0" borderId="1" xfId="14" applyNumberFormat="1" applyFont="1" applyBorder="1" applyAlignment="1" applyProtection="1">
      <alignment horizontal="center"/>
      <protection locked="0"/>
    </xf>
    <xf numFmtId="0" fontId="7" fillId="2" borderId="51" xfId="0" applyFont="1" applyFill="1" applyBorder="1">
      <alignment vertical="center"/>
    </xf>
    <xf numFmtId="0" fontId="69" fillId="2" borderId="1" xfId="0" applyFont="1" applyFill="1" applyBorder="1" applyAlignment="1">
      <alignment horizontal="center" vertical="center"/>
    </xf>
    <xf numFmtId="0" fontId="7" fillId="2" borderId="27" xfId="0" applyFont="1" applyFill="1" applyBorder="1">
      <alignment vertical="center"/>
    </xf>
    <xf numFmtId="0" fontId="7" fillId="2" borderId="58" xfId="0" applyFont="1" applyFill="1" applyBorder="1">
      <alignment vertical="center"/>
    </xf>
    <xf numFmtId="0" fontId="7" fillId="2" borderId="10" xfId="0" applyFont="1" applyFill="1" applyBorder="1" applyAlignment="1">
      <alignment horizontal="center" vertical="center"/>
    </xf>
    <xf numFmtId="0" fontId="69" fillId="3" borderId="10" xfId="0" applyFont="1" applyFill="1" applyBorder="1" applyAlignment="1" applyProtection="1">
      <alignment horizontal="center" vertical="center"/>
      <protection locked="0"/>
    </xf>
    <xf numFmtId="0" fontId="7" fillId="2" borderId="12" xfId="0" applyFont="1" applyFill="1" applyBorder="1" applyAlignment="1">
      <alignment horizontal="center" vertical="center"/>
    </xf>
    <xf numFmtId="0" fontId="69" fillId="2" borderId="13" xfId="0" applyFont="1" applyFill="1" applyBorder="1" applyAlignment="1">
      <alignment horizontal="center" vertical="center"/>
    </xf>
    <xf numFmtId="0" fontId="31" fillId="2" borderId="12" xfId="14" applyFont="1" applyFill="1" applyBorder="1" applyAlignment="1"/>
    <xf numFmtId="0" fontId="32" fillId="2" borderId="13" xfId="0" applyFont="1" applyFill="1" applyBorder="1" applyAlignment="1">
      <alignment horizontal="center"/>
    </xf>
    <xf numFmtId="178" fontId="31" fillId="2" borderId="14" xfId="0" applyNumberFormat="1" applyFont="1" applyFill="1" applyBorder="1" applyAlignment="1">
      <alignment horizontal="center"/>
    </xf>
    <xf numFmtId="0" fontId="32"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7" fontId="57" fillId="2" borderId="0" xfId="0" applyNumberFormat="1" applyFont="1" applyFill="1" applyAlignment="1" applyProtection="1">
      <alignment horizontal="center" vertical="center"/>
      <protection locked="0"/>
    </xf>
    <xf numFmtId="14" fontId="57" fillId="2" borderId="0" xfId="0" applyNumberFormat="1" applyFont="1" applyFill="1" applyAlignment="1">
      <alignment horizontal="center" vertical="center"/>
    </xf>
    <xf numFmtId="0" fontId="77" fillId="2" borderId="0" xfId="0" applyFont="1" applyFill="1" applyAlignment="1"/>
    <xf numFmtId="0" fontId="57" fillId="2" borderId="0" xfId="0" applyFont="1" applyFill="1" applyAlignment="1">
      <alignment horizontal="center" vertical="center"/>
    </xf>
    <xf numFmtId="0" fontId="57" fillId="2" borderId="0" xfId="0" applyFont="1" applyFill="1" applyAlignment="1"/>
    <xf numFmtId="0" fontId="57" fillId="2" borderId="0" xfId="0" applyFont="1" applyFill="1" applyAlignment="1">
      <alignment horizontal="center"/>
    </xf>
    <xf numFmtId="188" fontId="70" fillId="2" borderId="95" xfId="0" applyNumberFormat="1" applyFont="1" applyFill="1" applyBorder="1" applyAlignment="1">
      <alignment horizontal="center" vertical="center"/>
    </xf>
    <xf numFmtId="181" fontId="70" fillId="2" borderId="95" xfId="0" applyNumberFormat="1" applyFont="1" applyFill="1" applyBorder="1">
      <alignment vertical="center"/>
    </xf>
    <xf numFmtId="0" fontId="70" fillId="2" borderId="95" xfId="0" applyFont="1" applyFill="1" applyBorder="1" applyAlignment="1">
      <alignment horizontal="center" vertical="center"/>
    </xf>
    <xf numFmtId="188" fontId="70" fillId="2" borderId="0" xfId="0" applyNumberFormat="1" applyFont="1" applyFill="1" applyAlignment="1" applyProtection="1">
      <alignment horizontal="center" vertical="center"/>
      <protection locked="0"/>
    </xf>
    <xf numFmtId="181" fontId="70" fillId="11" borderId="0" xfId="0" applyNumberFormat="1" applyFont="1" applyFill="1" applyProtection="1">
      <alignment vertical="center"/>
      <protection locked="0"/>
    </xf>
    <xf numFmtId="0" fontId="70" fillId="11" borderId="0" xfId="0" applyFont="1" applyFill="1" applyAlignment="1" applyProtection="1">
      <alignment horizontal="center" vertical="center"/>
      <protection locked="0"/>
    </xf>
    <xf numFmtId="188" fontId="63" fillId="2" borderId="4" xfId="0" applyNumberFormat="1" applyFont="1" applyFill="1" applyBorder="1" applyAlignment="1">
      <alignment horizontal="center" vertical="center" wrapText="1"/>
    </xf>
    <xf numFmtId="181" fontId="63" fillId="11" borderId="0" xfId="0" applyNumberFormat="1" applyFont="1" applyFill="1" applyAlignment="1" applyProtection="1">
      <alignment vertical="center" wrapText="1"/>
      <protection locked="0"/>
    </xf>
    <xf numFmtId="0" fontId="57" fillId="2" borderId="48"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57" fillId="2" borderId="34" xfId="0" applyFont="1" applyFill="1" applyBorder="1" applyAlignment="1">
      <alignment horizontal="center" vertical="center" wrapText="1"/>
    </xf>
    <xf numFmtId="0" fontId="63" fillId="2" borderId="4" xfId="0" applyFont="1" applyFill="1" applyBorder="1" applyAlignment="1">
      <alignment horizontal="center" vertical="center" wrapText="1"/>
    </xf>
    <xf numFmtId="181" fontId="63" fillId="11" borderId="0" xfId="0" applyNumberFormat="1" applyFont="1" applyFill="1" applyAlignment="1" applyProtection="1">
      <alignment horizontal="center" vertical="center" wrapText="1"/>
      <protection locked="0"/>
    </xf>
    <xf numFmtId="0" fontId="63" fillId="11" borderId="0" xfId="0" applyFont="1" applyFill="1" applyAlignment="1" applyProtection="1">
      <alignment horizontal="center" vertical="center"/>
      <protection locked="0"/>
    </xf>
    <xf numFmtId="0" fontId="63" fillId="2" borderId="2" xfId="0" applyFont="1" applyFill="1" applyBorder="1" applyAlignment="1">
      <alignment horizontal="center" vertical="center"/>
    </xf>
    <xf numFmtId="0" fontId="63" fillId="11" borderId="119" xfId="0" applyFont="1" applyFill="1" applyBorder="1" applyAlignment="1" applyProtection="1">
      <alignment horizontal="center" vertical="center"/>
      <protection locked="0"/>
    </xf>
    <xf numFmtId="0" fontId="78" fillId="2" borderId="4" xfId="0" applyFont="1" applyFill="1" applyBorder="1" applyAlignment="1">
      <alignment horizontal="center" vertical="center" wrapText="1"/>
    </xf>
    <xf numFmtId="181" fontId="66" fillId="11" borderId="0" xfId="0" applyNumberFormat="1" applyFont="1" applyFill="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181" fontId="67" fillId="11" borderId="0" xfId="0" applyNumberFormat="1" applyFont="1" applyFill="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1" fontId="68" fillId="11" borderId="0" xfId="0" applyNumberFormat="1" applyFont="1" applyFill="1" applyAlignment="1" applyProtection="1">
      <alignment horizontal="center" vertical="center" wrapText="1"/>
      <protection locked="0"/>
    </xf>
    <xf numFmtId="49" fontId="57" fillId="0" borderId="18" xfId="0" applyNumberFormat="1" applyFont="1" applyBorder="1" applyAlignment="1" applyProtection="1">
      <alignment horizontal="center" vertical="center" wrapText="1"/>
      <protection locked="0"/>
    </xf>
    <xf numFmtId="0" fontId="57" fillId="2" borderId="64" xfId="0" applyFont="1" applyFill="1" applyBorder="1" applyAlignment="1">
      <alignment horizontal="center" vertical="center" wrapText="1"/>
    </xf>
    <xf numFmtId="49" fontId="57" fillId="0" borderId="27" xfId="0" applyNumberFormat="1" applyFont="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188" fontId="57" fillId="2" borderId="4" xfId="0" applyNumberFormat="1" applyFont="1" applyFill="1" applyBorder="1" applyAlignment="1">
      <alignment horizontal="center" vertical="center"/>
    </xf>
    <xf numFmtId="181" fontId="57" fillId="11" borderId="0" xfId="0" applyNumberFormat="1" applyFont="1" applyFill="1" applyAlignment="1" applyProtection="1">
      <alignment vertical="center" wrapText="1"/>
      <protection locked="0"/>
    </xf>
    <xf numFmtId="187" fontId="57" fillId="2" borderId="42" xfId="0" applyNumberFormat="1" applyFont="1" applyFill="1" applyBorder="1" applyAlignment="1">
      <alignment horizontal="left" vertical="center" wrapText="1"/>
    </xf>
    <xf numFmtId="188" fontId="57" fillId="2" borderId="1" xfId="0" applyNumberFormat="1" applyFont="1" applyFill="1" applyBorder="1" applyAlignment="1">
      <alignment horizontal="center" vertical="center" wrapText="1"/>
    </xf>
    <xf numFmtId="0" fontId="57" fillId="2" borderId="2" xfId="0" applyFont="1" applyFill="1" applyBorder="1" applyAlignment="1">
      <alignment horizontal="center" vertical="center" wrapText="1"/>
    </xf>
    <xf numFmtId="188" fontId="57" fillId="11" borderId="0" xfId="0" applyNumberFormat="1" applyFont="1" applyFill="1" applyAlignment="1" applyProtection="1">
      <alignment horizontal="center" vertical="center"/>
      <protection locked="0"/>
    </xf>
    <xf numFmtId="181" fontId="57"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7" fillId="0" borderId="1" xfId="0" applyFont="1" applyBorder="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81" fontId="57" fillId="2" borderId="0" xfId="0" applyNumberFormat="1" applyFont="1" applyFill="1" applyAlignment="1" applyProtection="1">
      <alignment horizontal="center" vertical="center"/>
      <protection locked="0"/>
    </xf>
    <xf numFmtId="188" fontId="57" fillId="2" borderId="0" xfId="0" applyNumberFormat="1" applyFont="1" applyFill="1" applyAlignment="1">
      <alignment horizontal="center"/>
    </xf>
    <xf numFmtId="181" fontId="57" fillId="2" borderId="0" xfId="0" applyNumberFormat="1" applyFont="1" applyFill="1" applyAlignment="1"/>
    <xf numFmtId="0" fontId="57" fillId="2" borderId="0" xfId="0" applyFont="1" applyFill="1" applyAlignment="1" applyProtection="1">
      <protection locked="0"/>
    </xf>
    <xf numFmtId="0" fontId="57" fillId="11" borderId="0" xfId="0" applyFont="1" applyFill="1" applyAlignment="1" applyProtection="1">
      <protection locked="0"/>
    </xf>
    <xf numFmtId="0" fontId="57" fillId="2" borderId="114" xfId="0" applyFont="1" applyFill="1" applyBorder="1" applyAlignment="1">
      <alignment horizontal="center" vertical="center" wrapText="1"/>
    </xf>
    <xf numFmtId="0" fontId="57" fillId="2" borderId="64" xfId="0" applyFont="1" applyFill="1" applyBorder="1" applyAlignment="1">
      <alignment horizontal="center" vertical="center"/>
    </xf>
    <xf numFmtId="191" fontId="63" fillId="2" borderId="2" xfId="0" applyNumberFormat="1" applyFont="1" applyFill="1" applyBorder="1" applyAlignment="1">
      <alignment horizontal="center" vertical="center"/>
    </xf>
    <xf numFmtId="49" fontId="63" fillId="2" borderId="4" xfId="0" applyNumberFormat="1" applyFont="1" applyFill="1" applyBorder="1" applyAlignment="1">
      <alignment horizontal="center" vertical="center"/>
    </xf>
    <xf numFmtId="0" fontId="63" fillId="2" borderId="64" xfId="0" applyFont="1" applyFill="1" applyBorder="1" applyAlignment="1">
      <alignment horizontal="center" vertical="center"/>
    </xf>
    <xf numFmtId="0" fontId="63" fillId="2" borderId="4" xfId="0" applyFont="1" applyFill="1" applyBorder="1" applyAlignment="1">
      <alignment horizontal="center" vertical="center"/>
    </xf>
    <xf numFmtId="191" fontId="57" fillId="2" borderId="2" xfId="0" applyNumberFormat="1" applyFont="1" applyFill="1" applyBorder="1" applyAlignment="1">
      <alignment horizontal="center" vertical="center"/>
    </xf>
    <xf numFmtId="49" fontId="57" fillId="2" borderId="4" xfId="0" applyNumberFormat="1" applyFont="1" applyFill="1" applyBorder="1" applyAlignment="1">
      <alignment horizontal="center" vertical="center"/>
    </xf>
    <xf numFmtId="191" fontId="67" fillId="2" borderId="2" xfId="0" applyNumberFormat="1" applyFont="1" applyFill="1" applyBorder="1" applyAlignment="1">
      <alignment horizontal="center" vertical="center"/>
    </xf>
    <xf numFmtId="49" fontId="67" fillId="2" borderId="4" xfId="0" applyNumberFormat="1" applyFont="1" applyFill="1" applyBorder="1" applyAlignment="1">
      <alignment horizontal="center" vertical="center"/>
    </xf>
    <xf numFmtId="0" fontId="67" fillId="2" borderId="64" xfId="0" applyFont="1" applyFill="1" applyBorder="1" applyAlignment="1">
      <alignment horizontal="center" vertical="center"/>
    </xf>
    <xf numFmtId="9" fontId="63" fillId="11"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0" fillId="2" borderId="96" xfId="0" applyFont="1" applyFill="1" applyBorder="1" applyAlignment="1">
      <alignment horizontal="center" vertical="center"/>
    </xf>
    <xf numFmtId="0" fontId="63" fillId="2" borderId="1" xfId="0" applyFont="1" applyFill="1" applyBorder="1" applyAlignment="1">
      <alignment horizontal="center" vertical="center"/>
    </xf>
    <xf numFmtId="0" fontId="67" fillId="2" borderId="1" xfId="0" applyFont="1" applyFill="1" applyBorder="1" applyAlignment="1">
      <alignment horizontal="center" vertical="center"/>
    </xf>
    <xf numFmtId="0" fontId="57" fillId="2" borderId="16" xfId="0" applyFont="1" applyFill="1" applyBorder="1" applyAlignment="1">
      <alignment vertical="center" textRotation="255" wrapText="1"/>
    </xf>
    <xf numFmtId="0" fontId="73" fillId="2" borderId="49" xfId="0" applyFont="1" applyFill="1" applyBorder="1">
      <alignment vertical="center"/>
    </xf>
    <xf numFmtId="0" fontId="73" fillId="2" borderId="113" xfId="0" applyFont="1" applyFill="1" applyBorder="1">
      <alignment vertical="center"/>
    </xf>
    <xf numFmtId="0" fontId="63" fillId="2" borderId="108" xfId="0" applyFont="1" applyFill="1" applyBorder="1" applyAlignment="1">
      <alignment horizontal="center" vertical="center" wrapText="1"/>
    </xf>
    <xf numFmtId="0" fontId="73" fillId="2" borderId="41" xfId="0" applyFont="1" applyFill="1" applyBorder="1" applyAlignment="1">
      <alignment horizontal="center" vertical="center" wrapText="1"/>
    </xf>
    <xf numFmtId="10" fontId="73" fillId="2" borderId="1" xfId="0" applyNumberFormat="1" applyFont="1" applyFill="1" applyBorder="1" applyAlignment="1">
      <alignment horizontal="center" vertical="center" wrapText="1"/>
    </xf>
    <xf numFmtId="0" fontId="63" fillId="0" borderId="1" xfId="0" applyFont="1" applyBorder="1" applyAlignment="1" applyProtection="1">
      <alignment horizontal="center" vertical="center" wrapText="1"/>
      <protection locked="0"/>
    </xf>
    <xf numFmtId="0" fontId="73" fillId="2" borderId="61" xfId="0" applyFont="1" applyFill="1" applyBorder="1">
      <alignment vertical="center"/>
    </xf>
    <xf numFmtId="0" fontId="73" fillId="2" borderId="6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73" fillId="2" borderId="50" xfId="0" applyFont="1" applyFill="1" applyBorder="1" applyAlignment="1">
      <alignment vertical="center" wrapText="1"/>
    </xf>
    <xf numFmtId="0" fontId="73" fillId="2" borderId="119" xfId="0" applyFont="1" applyFill="1" applyBorder="1" applyAlignment="1">
      <alignment vertical="center" wrapText="1"/>
    </xf>
    <xf numFmtId="0" fontId="63" fillId="2" borderId="112"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63" fillId="2" borderId="114" xfId="0" applyFont="1" applyFill="1" applyBorder="1" applyAlignment="1">
      <alignment horizontal="center" vertical="center" wrapText="1"/>
    </xf>
    <xf numFmtId="0" fontId="63" fillId="0" borderId="15" xfId="0" applyFont="1" applyBorder="1" applyAlignment="1" applyProtection="1">
      <alignment horizontal="center" vertical="center" wrapText="1"/>
      <protection locked="0"/>
    </xf>
    <xf numFmtId="0" fontId="63" fillId="2" borderId="3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7" fillId="0" borderId="6"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57" fillId="2" borderId="123"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63" fillId="2" borderId="64"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7" fillId="2" borderId="64" xfId="0" applyFont="1" applyFill="1" applyBorder="1" applyAlignment="1">
      <alignment horizontal="center" vertical="center" wrapText="1"/>
    </xf>
    <xf numFmtId="0" fontId="75" fillId="2" borderId="27" xfId="0" applyFont="1" applyFill="1" applyBorder="1" applyAlignment="1">
      <alignment vertical="center" wrapText="1"/>
    </xf>
    <xf numFmtId="0" fontId="63"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5" fillId="2" borderId="111" xfId="0" applyFont="1" applyFill="1" applyBorder="1" applyAlignment="1">
      <alignment vertical="center" wrapText="1"/>
    </xf>
    <xf numFmtId="0" fontId="63" fillId="2" borderId="20" xfId="0" applyFont="1" applyFill="1" applyBorder="1" applyAlignment="1">
      <alignment horizontal="center" vertical="center" wrapText="1"/>
    </xf>
    <xf numFmtId="0" fontId="63" fillId="0" borderId="13"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63" fillId="2" borderId="8" xfId="0" applyFont="1" applyFill="1" applyBorder="1" applyAlignment="1">
      <alignment horizontal="center" vertical="center" wrapText="1"/>
    </xf>
    <xf numFmtId="0" fontId="63" fillId="2" borderId="123"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7" fillId="2" borderId="123" xfId="0" applyFont="1" applyFill="1" applyBorder="1" applyAlignment="1">
      <alignment horizontal="center" vertical="center" wrapText="1"/>
    </xf>
    <xf numFmtId="0" fontId="67" fillId="2" borderId="6" xfId="0" applyFont="1" applyFill="1" applyBorder="1" applyAlignment="1">
      <alignment horizontal="center" vertical="center" wrapText="1"/>
    </xf>
    <xf numFmtId="0" fontId="57" fillId="0" borderId="123"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63" fillId="2" borderId="50" xfId="0" applyFont="1" applyFill="1" applyBorder="1" applyAlignment="1">
      <alignment horizontal="center" vertical="center"/>
    </xf>
    <xf numFmtId="0" fontId="57" fillId="0" borderId="15"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49" fontId="63" fillId="11" borderId="0" xfId="0" applyNumberFormat="1" applyFont="1" applyFill="1" applyAlignment="1" applyProtection="1">
      <alignment horizontal="center" vertical="center"/>
      <protection locked="0"/>
    </xf>
    <xf numFmtId="0" fontId="63" fillId="0" borderId="2"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0" fontId="63" fillId="0" borderId="115" xfId="0" applyFont="1" applyBorder="1" applyAlignment="1" applyProtection="1">
      <alignment horizontal="center" vertical="center" wrapText="1"/>
      <protection locked="0"/>
    </xf>
    <xf numFmtId="0" fontId="63" fillId="0" borderId="16" xfId="0" applyFont="1" applyBorder="1" applyAlignment="1" applyProtection="1">
      <alignment horizontal="left" vertical="center" wrapText="1"/>
      <protection locked="0"/>
    </xf>
    <xf numFmtId="0" fontId="63" fillId="0" borderId="28" xfId="0" applyFont="1" applyBorder="1" applyAlignment="1" applyProtection="1">
      <alignment horizontal="center" vertical="center" wrapText="1"/>
      <protection locked="0"/>
    </xf>
    <xf numFmtId="0" fontId="63" fillId="11" borderId="0" xfId="0" applyFont="1" applyFill="1" applyAlignment="1" applyProtection="1">
      <alignment horizontal="center" vertical="center" wrapText="1"/>
      <protection locked="0"/>
    </xf>
    <xf numFmtId="0" fontId="63" fillId="0" borderId="40"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0" borderId="8" xfId="0" applyFont="1" applyBorder="1" applyAlignment="1" applyProtection="1">
      <alignment horizontal="left" vertical="center" wrapText="1"/>
      <protection locked="0"/>
    </xf>
    <xf numFmtId="0" fontId="68" fillId="0" borderId="9" xfId="0" applyFont="1" applyBorder="1" applyAlignment="1" applyProtection="1">
      <alignment horizontal="center" vertical="center" wrapText="1"/>
      <protection locked="0"/>
    </xf>
    <xf numFmtId="0" fontId="68" fillId="11" borderId="0" xfId="0" applyFont="1" applyFill="1" applyAlignment="1" applyProtection="1">
      <alignment horizontal="center" vertical="center" wrapText="1"/>
      <protection locked="0"/>
    </xf>
    <xf numFmtId="0" fontId="57" fillId="0" borderId="124" xfId="0" applyFont="1" applyBorder="1" applyAlignment="1" applyProtection="1">
      <alignment horizontal="center" vertical="center" wrapText="1"/>
      <protection locked="0"/>
    </xf>
    <xf numFmtId="0" fontId="57" fillId="11" borderId="0" xfId="0" applyFont="1" applyFill="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68" fillId="2" borderId="123" xfId="0" applyFont="1" applyFill="1" applyBorder="1" applyAlignment="1">
      <alignment horizontal="left" vertical="center" wrapText="1"/>
    </xf>
    <xf numFmtId="0" fontId="68" fillId="2" borderId="125" xfId="0" applyFont="1" applyFill="1" applyBorder="1" applyAlignment="1">
      <alignment horizontal="center" vertical="center" wrapText="1"/>
    </xf>
    <xf numFmtId="0" fontId="57" fillId="2" borderId="124"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11"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67" fillId="0" borderId="124"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67" fillId="11" borderId="0" xfId="0" applyFont="1" applyFill="1" applyAlignment="1" applyProtection="1">
      <alignment vertical="center" wrapText="1"/>
      <protection locked="0"/>
    </xf>
    <xf numFmtId="0" fontId="67" fillId="0" borderId="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68" fillId="2" borderId="8"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3" fillId="11" borderId="0" xfId="0" applyFont="1" applyFill="1" applyAlignment="1" applyProtection="1">
      <alignment vertical="center" wrapText="1"/>
      <protection locked="0"/>
    </xf>
    <xf numFmtId="0" fontId="63" fillId="2" borderId="123" xfId="0" applyFont="1" applyFill="1" applyBorder="1" applyAlignment="1">
      <alignment horizontal="left" vertical="center" wrapText="1"/>
    </xf>
    <xf numFmtId="0" fontId="63" fillId="2" borderId="125"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124" xfId="0" applyFont="1" applyFill="1" applyBorder="1" applyAlignment="1">
      <alignment horizontal="center" vertical="center" wrapText="1"/>
    </xf>
    <xf numFmtId="0" fontId="67" fillId="2" borderId="43" xfId="0" applyFont="1" applyFill="1" applyBorder="1" applyAlignment="1">
      <alignment horizontal="center" vertical="center" wrapText="1"/>
    </xf>
    <xf numFmtId="0" fontId="68" fillId="0" borderId="123" xfId="0" applyFont="1" applyBorder="1" applyAlignment="1" applyProtection="1">
      <alignment horizontal="center" vertical="center" wrapText="1"/>
      <protection locked="0"/>
    </xf>
    <xf numFmtId="0" fontId="68" fillId="0" borderId="123" xfId="0" applyFont="1" applyBorder="1" applyAlignment="1" applyProtection="1">
      <alignment horizontal="left" vertical="center" wrapText="1"/>
      <protection locked="0"/>
    </xf>
    <xf numFmtId="0" fontId="68" fillId="0" borderId="12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28"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49" fillId="2" borderId="8" xfId="0" applyFont="1" applyFill="1" applyBorder="1" applyAlignment="1">
      <alignment horizontal="center" vertical="center" wrapText="1"/>
    </xf>
    <xf numFmtId="0" fontId="49" fillId="2" borderId="9" xfId="0" applyFont="1" applyFill="1" applyBorder="1" applyAlignment="1">
      <alignment horizontal="center" vertical="center" wrapText="1"/>
    </xf>
    <xf numFmtId="9" fontId="67" fillId="11" borderId="0" xfId="0" applyNumberFormat="1" applyFont="1" applyFill="1" applyAlignment="1" applyProtection="1">
      <alignment horizontal="center" vertical="center" wrapText="1"/>
      <protection locked="0"/>
    </xf>
    <xf numFmtId="9" fontId="67" fillId="11" borderId="0" xfId="0" applyNumberFormat="1" applyFont="1" applyFill="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33" fillId="2" borderId="126" xfId="0" applyFont="1" applyFill="1" applyBorder="1">
      <alignment vertical="center"/>
    </xf>
    <xf numFmtId="0" fontId="70" fillId="7" borderId="127" xfId="0" applyFont="1" applyFill="1" applyBorder="1" applyAlignment="1" applyProtection="1">
      <alignment horizontal="right" vertical="center"/>
      <protection locked="0"/>
    </xf>
    <xf numFmtId="0" fontId="70" fillId="2" borderId="5" xfId="0" applyFont="1" applyFill="1" applyBorder="1" applyAlignment="1">
      <alignment horizontal="center" vertical="center"/>
    </xf>
    <xf numFmtId="0" fontId="70" fillId="7" borderId="127" xfId="0" applyFont="1" applyFill="1" applyBorder="1" applyProtection="1">
      <alignment vertical="center"/>
      <protection locked="0"/>
    </xf>
    <xf numFmtId="0" fontId="70" fillId="2" borderId="127" xfId="0" applyFont="1" applyFill="1" applyBorder="1">
      <alignment vertical="center"/>
    </xf>
    <xf numFmtId="0" fontId="70" fillId="3" borderId="6" xfId="0" applyFont="1" applyFill="1" applyBorder="1" applyAlignment="1" applyProtection="1">
      <alignment horizontal="center" vertical="center"/>
      <protection locked="0"/>
    </xf>
    <xf numFmtId="0" fontId="71" fillId="2" borderId="127" xfId="0" applyFont="1" applyFill="1" applyBorder="1">
      <alignment vertical="center"/>
    </xf>
    <xf numFmtId="0" fontId="30" fillId="2" borderId="16" xfId="14" applyFont="1" applyFill="1" applyBorder="1">
      <alignment vertical="center"/>
    </xf>
    <xf numFmtId="0" fontId="30" fillId="2" borderId="16" xfId="0" applyFont="1" applyFill="1" applyBorder="1" applyAlignment="1">
      <alignment horizontal="right" vertical="center"/>
    </xf>
    <xf numFmtId="0" fontId="31" fillId="3" borderId="34" xfId="14" applyFont="1" applyFill="1" applyBorder="1" applyProtection="1">
      <alignment vertical="center"/>
      <protection locked="0"/>
    </xf>
    <xf numFmtId="0" fontId="30" fillId="2" borderId="0" xfId="0" applyFont="1" applyFill="1" applyProtection="1">
      <alignment vertical="center"/>
      <protection locked="0"/>
    </xf>
    <xf numFmtId="0" fontId="30" fillId="2" borderId="112" xfId="14" applyFont="1" applyFill="1" applyBorder="1" applyProtection="1">
      <alignment vertical="center"/>
      <protection locked="0"/>
    </xf>
    <xf numFmtId="0" fontId="30" fillId="3" borderId="16" xfId="14" applyFont="1" applyFill="1" applyBorder="1" applyProtection="1">
      <alignment vertical="center"/>
      <protection locked="0"/>
    </xf>
    <xf numFmtId="0" fontId="30" fillId="2" borderId="15" xfId="0" applyFont="1" applyFill="1" applyBorder="1" applyAlignment="1">
      <alignment horizontal="center" vertical="center"/>
    </xf>
    <xf numFmtId="0" fontId="30" fillId="2" borderId="15" xfId="0" applyFont="1" applyFill="1" applyBorder="1" applyAlignment="1">
      <alignment horizontal="right" vertical="center"/>
    </xf>
    <xf numFmtId="14" fontId="63" fillId="0" borderId="110" xfId="7" applyNumberFormat="1" applyFont="1" applyBorder="1" applyAlignment="1" applyProtection="1">
      <alignment horizontal="center" vertical="center" wrapText="1"/>
      <protection locked="0"/>
    </xf>
    <xf numFmtId="0" fontId="63" fillId="7" borderId="19" xfId="7" applyFont="1" applyFill="1" applyBorder="1" applyAlignment="1" applyProtection="1">
      <alignment horizontal="center" vertical="center" wrapText="1"/>
      <protection locked="0"/>
    </xf>
    <xf numFmtId="0" fontId="63" fillId="0" borderId="37" xfId="0" applyFont="1" applyBorder="1" applyAlignment="1" applyProtection="1">
      <alignment horizontal="center" vertical="center" wrapText="1"/>
      <protection locked="0"/>
    </xf>
    <xf numFmtId="0" fontId="63" fillId="7" borderId="7" xfId="7" applyFont="1" applyFill="1" applyBorder="1" applyAlignment="1" applyProtection="1">
      <alignment horizontal="center" vertical="center" wrapText="1"/>
      <protection locked="0"/>
    </xf>
    <xf numFmtId="0" fontId="63" fillId="7" borderId="108" xfId="7" applyFont="1" applyFill="1" applyBorder="1" applyAlignment="1" applyProtection="1">
      <alignment horizontal="center" vertical="center" wrapText="1"/>
      <protection locked="0"/>
    </xf>
    <xf numFmtId="49" fontId="63" fillId="7" borderId="10" xfId="0" applyNumberFormat="1" applyFont="1" applyFill="1" applyBorder="1" applyAlignment="1" applyProtection="1">
      <alignment horizontal="center" vertical="center" wrapText="1"/>
      <protection locked="0"/>
    </xf>
    <xf numFmtId="0" fontId="63" fillId="0" borderId="41" xfId="0" applyFont="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63" fillId="2" borderId="48" xfId="0" applyFont="1" applyFill="1" applyBorder="1" applyAlignment="1">
      <alignment horizontal="center" vertical="center" wrapText="1"/>
    </xf>
    <xf numFmtId="49" fontId="57" fillId="0" borderId="114" xfId="0" applyNumberFormat="1" applyFont="1" applyBorder="1" applyAlignment="1" applyProtection="1">
      <alignment horizontal="center" vertical="center" wrapText="1"/>
      <protection locked="0"/>
    </xf>
    <xf numFmtId="49" fontId="57" fillId="0" borderId="51" xfId="0" applyNumberFormat="1" applyFont="1" applyBorder="1" applyAlignment="1" applyProtection="1">
      <alignment horizontal="center" vertical="center" wrapText="1"/>
      <protection locked="0"/>
    </xf>
    <xf numFmtId="0" fontId="57" fillId="7" borderId="27" xfId="0" applyFont="1" applyFill="1" applyBorder="1" applyAlignment="1" applyProtection="1">
      <alignment horizontal="center" vertical="center" wrapText="1"/>
      <protection locked="0"/>
    </xf>
    <xf numFmtId="0" fontId="63" fillId="2" borderId="50" xfId="0" applyFont="1" applyFill="1" applyBorder="1" applyAlignment="1">
      <alignment horizontal="center" vertical="center" wrapText="1"/>
    </xf>
    <xf numFmtId="0" fontId="57" fillId="0" borderId="128" xfId="0" applyFont="1" applyBorder="1" applyAlignment="1" applyProtection="1">
      <alignment horizontal="center" vertical="center" wrapText="1"/>
      <protection locked="0"/>
    </xf>
    <xf numFmtId="0" fontId="58" fillId="2" borderId="18" xfId="0" applyFont="1" applyFill="1" applyBorder="1" applyAlignment="1">
      <alignment vertical="center" textRotation="255" wrapText="1"/>
    </xf>
    <xf numFmtId="0" fontId="57" fillId="7" borderId="7" xfId="0" applyFont="1" applyFill="1" applyBorder="1" applyAlignment="1" applyProtection="1">
      <alignment horizontal="center" vertical="center" wrapText="1"/>
      <protection locked="0"/>
    </xf>
    <xf numFmtId="9" fontId="63" fillId="0" borderId="41" xfId="0" applyNumberFormat="1" applyFont="1" applyBorder="1" applyAlignment="1" applyProtection="1">
      <alignment horizontal="center" vertical="center" wrapText="1"/>
      <protection locked="0"/>
    </xf>
    <xf numFmtId="9" fontId="63" fillId="0" borderId="4" xfId="0" applyNumberFormat="1" applyFont="1" applyBorder="1" applyAlignment="1" applyProtection="1">
      <alignment horizontal="center" vertical="center" wrapText="1"/>
      <protection locked="0"/>
    </xf>
    <xf numFmtId="9" fontId="63" fillId="0" borderId="10" xfId="0" applyNumberFormat="1" applyFont="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0" fontId="63" fillId="7" borderId="41" xfId="0" applyFont="1" applyFill="1" applyBorder="1" applyAlignment="1" applyProtection="1">
      <alignment horizontal="center" vertical="center" wrapText="1"/>
      <protection locked="0"/>
    </xf>
    <xf numFmtId="0" fontId="58" fillId="2" borderId="111" xfId="0" applyFont="1" applyFill="1" applyBorder="1" applyAlignment="1">
      <alignment vertical="center" textRotation="255" wrapText="1"/>
    </xf>
    <xf numFmtId="0" fontId="57" fillId="2" borderId="33" xfId="0" applyFont="1" applyFill="1" applyBorder="1" applyAlignment="1">
      <alignment horizontal="center" vertical="center" wrapText="1"/>
    </xf>
    <xf numFmtId="49" fontId="58" fillId="2" borderId="38" xfId="0" applyNumberFormat="1" applyFont="1" applyFill="1" applyBorder="1">
      <alignment vertical="center"/>
    </xf>
    <xf numFmtId="0" fontId="58" fillId="2" borderId="37" xfId="0" applyFont="1" applyFill="1" applyBorder="1" applyAlignment="1">
      <alignment horizontal="right" vertical="center" wrapText="1"/>
    </xf>
    <xf numFmtId="49" fontId="58" fillId="2" borderId="45" xfId="0" applyNumberFormat="1" applyFont="1" applyFill="1" applyBorder="1">
      <alignment vertical="center"/>
    </xf>
    <xf numFmtId="0" fontId="58" fillId="2" borderId="44" xfId="0" applyFont="1" applyFill="1" applyBorder="1" applyAlignment="1">
      <alignment vertical="center" wrapText="1"/>
    </xf>
    <xf numFmtId="0" fontId="58" fillId="2" borderId="45" xfId="0" applyFont="1" applyFill="1" applyBorder="1" applyAlignment="1">
      <alignment vertical="center" wrapText="1"/>
    </xf>
    <xf numFmtId="187" fontId="57" fillId="11" borderId="0" xfId="0" applyNumberFormat="1" applyFont="1" applyFill="1" applyAlignment="1" applyProtection="1">
      <alignment horizontal="center" vertical="center"/>
      <protection locked="0"/>
    </xf>
    <xf numFmtId="0" fontId="73" fillId="2" borderId="49" xfId="0" applyFont="1" applyFill="1" applyBorder="1" applyAlignment="1">
      <alignment vertical="center" wrapText="1"/>
    </xf>
    <xf numFmtId="0" fontId="73" fillId="2" borderId="113" xfId="0" applyFont="1" applyFill="1" applyBorder="1" applyAlignment="1">
      <alignment vertical="center" wrapText="1"/>
    </xf>
    <xf numFmtId="192" fontId="63" fillId="2" borderId="108" xfId="0" applyNumberFormat="1" applyFont="1" applyFill="1" applyBorder="1" applyAlignment="1">
      <alignment horizontal="center" vertical="center" wrapText="1"/>
    </xf>
    <xf numFmtId="192" fontId="63" fillId="2" borderId="8" xfId="0" applyNumberFormat="1" applyFont="1" applyFill="1" applyBorder="1" applyAlignment="1">
      <alignment horizontal="center" vertical="center" wrapText="1"/>
    </xf>
    <xf numFmtId="0" fontId="57" fillId="2" borderId="15" xfId="0" applyFont="1" applyFill="1" applyBorder="1" applyAlignment="1" applyProtection="1">
      <alignment horizontal="center" vertical="center" wrapText="1"/>
      <protection locked="0"/>
    </xf>
    <xf numFmtId="0" fontId="63" fillId="0" borderId="15" xfId="7" applyFont="1" applyBorder="1" applyAlignment="1" applyProtection="1">
      <alignment horizontal="center" vertical="center" wrapText="1"/>
      <protection locked="0"/>
    </xf>
    <xf numFmtId="188" fontId="70" fillId="2" borderId="127" xfId="0" applyNumberFormat="1" applyFont="1" applyFill="1" applyBorder="1" applyAlignment="1">
      <alignment horizontal="center" vertical="center"/>
    </xf>
    <xf numFmtId="181" fontId="70" fillId="2" borderId="127" xfId="0" applyNumberFormat="1" applyFont="1" applyFill="1" applyBorder="1">
      <alignment vertical="center"/>
    </xf>
    <xf numFmtId="0" fontId="70" fillId="2" borderId="127" xfId="0" applyFont="1" applyFill="1" applyBorder="1" applyAlignment="1">
      <alignment horizontal="center" vertical="center"/>
    </xf>
    <xf numFmtId="0" fontId="29" fillId="0" borderId="51" xfId="0" applyFont="1" applyBorder="1" applyAlignment="1" applyProtection="1">
      <alignment horizontal="center" vertical="center" wrapText="1"/>
      <protection locked="0"/>
    </xf>
    <xf numFmtId="0" fontId="29" fillId="2" borderId="58"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5" fillId="2" borderId="5" xfId="0" applyFont="1" applyFill="1" applyBorder="1" applyAlignment="1">
      <alignment horizontal="center" vertical="center"/>
    </xf>
    <xf numFmtId="0" fontId="57" fillId="2" borderId="122" xfId="0" applyFont="1" applyFill="1" applyBorder="1" applyAlignment="1">
      <alignment horizontal="center" vertical="center" wrapText="1"/>
    </xf>
    <xf numFmtId="0" fontId="57" fillId="0" borderId="0" xfId="0" applyFont="1" applyAlignment="1">
      <alignment horizontal="center" vertical="center"/>
    </xf>
    <xf numFmtId="0" fontId="57" fillId="2" borderId="125" xfId="0" applyFont="1" applyFill="1" applyBorder="1" applyAlignment="1">
      <alignment horizontal="center" vertical="center" wrapText="1"/>
    </xf>
    <xf numFmtId="0" fontId="63" fillId="0" borderId="123" xfId="0" applyFont="1" applyBorder="1" applyAlignment="1" applyProtection="1">
      <alignment horizontal="left" vertical="center" wrapText="1"/>
      <protection locked="0"/>
    </xf>
    <xf numFmtId="0" fontId="63" fillId="0" borderId="125" xfId="0" applyFont="1" applyBorder="1" applyAlignment="1" applyProtection="1">
      <alignment horizontal="center" vertical="center" wrapText="1"/>
      <protection locked="0"/>
    </xf>
    <xf numFmtId="0" fontId="68" fillId="2" borderId="64" xfId="0" applyFont="1" applyFill="1" applyBorder="1" applyAlignment="1">
      <alignment horizontal="center" vertical="center" wrapText="1"/>
    </xf>
    <xf numFmtId="0" fontId="68" fillId="2" borderId="64" xfId="0" applyFont="1" applyFill="1" applyBorder="1" applyAlignment="1">
      <alignment horizontal="left" vertical="center" wrapText="1"/>
    </xf>
    <xf numFmtId="0" fontId="68" fillId="2" borderId="43" xfId="0" applyFont="1" applyFill="1" applyBorder="1" applyAlignment="1">
      <alignment horizontal="center" vertical="center" wrapText="1"/>
    </xf>
    <xf numFmtId="188" fontId="57" fillId="0" borderId="0" xfId="0" applyNumberFormat="1" applyFont="1" applyAlignment="1">
      <alignment horizontal="center" vertical="center"/>
    </xf>
    <xf numFmtId="181" fontId="57" fillId="0" borderId="0" xfId="0" applyNumberFormat="1" applyFont="1" applyAlignment="1">
      <alignment horizontal="center" vertical="center"/>
    </xf>
    <xf numFmtId="9" fontId="57" fillId="11" borderId="0" xfId="0" applyNumberFormat="1" applyFont="1" applyFill="1" applyAlignment="1" applyProtection="1">
      <alignment horizontal="center" vertical="center" wrapText="1"/>
      <protection locked="0"/>
    </xf>
    <xf numFmtId="0" fontId="57" fillId="0" borderId="50" xfId="0" applyFont="1" applyBorder="1" applyAlignment="1" applyProtection="1">
      <alignment horizontal="center" vertical="center"/>
      <protection locked="0"/>
    </xf>
    <xf numFmtId="0" fontId="70" fillId="2" borderId="127" xfId="0" applyFont="1" applyFill="1" applyBorder="1" applyProtection="1">
      <alignment vertical="center"/>
      <protection locked="0"/>
    </xf>
    <xf numFmtId="0" fontId="71" fillId="2" borderId="127" xfId="0" applyFont="1" applyFill="1" applyBorder="1" applyProtection="1">
      <alignment vertical="center"/>
      <protection locked="0"/>
    </xf>
    <xf numFmtId="0" fontId="73" fillId="2" borderId="129" xfId="0" applyFont="1" applyFill="1" applyBorder="1" applyAlignment="1">
      <alignment vertical="center" wrapText="1"/>
    </xf>
    <xf numFmtId="0" fontId="63" fillId="2" borderId="38" xfId="0" applyFont="1" applyFill="1" applyBorder="1" applyAlignment="1">
      <alignment horizontal="center" vertical="center" wrapText="1"/>
    </xf>
    <xf numFmtId="0" fontId="83" fillId="0" borderId="37" xfId="0" applyFont="1" applyBorder="1" applyAlignment="1" applyProtection="1">
      <alignment horizontal="center" vertical="center" wrapText="1"/>
      <protection locked="0"/>
    </xf>
    <xf numFmtId="0" fontId="74" fillId="2" borderId="130" xfId="0" applyFont="1" applyFill="1" applyBorder="1" applyAlignment="1">
      <alignment vertical="center" wrapText="1"/>
    </xf>
    <xf numFmtId="0" fontId="63" fillId="2" borderId="3" xfId="0" applyFont="1" applyFill="1" applyBorder="1" applyAlignment="1">
      <alignment horizontal="center" vertical="center" wrapText="1"/>
    </xf>
    <xf numFmtId="0" fontId="58" fillId="2" borderId="130" xfId="0" applyFont="1" applyFill="1" applyBorder="1" applyAlignment="1">
      <alignment vertical="center" wrapText="1"/>
    </xf>
    <xf numFmtId="0" fontId="63" fillId="0" borderId="95"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58" fillId="2" borderId="131" xfId="0" applyFont="1" applyFill="1" applyBorder="1" applyAlignment="1">
      <alignment vertical="center" wrapText="1"/>
    </xf>
    <xf numFmtId="0" fontId="84" fillId="0" borderId="113" xfId="7" applyFont="1" applyBorder="1" applyAlignment="1" applyProtection="1">
      <alignment horizontal="center" vertical="center" wrapText="1"/>
      <protection locked="0"/>
    </xf>
    <xf numFmtId="0" fontId="84" fillId="0" borderId="18" xfId="7" applyFont="1" applyBorder="1" applyAlignment="1" applyProtection="1">
      <alignment horizontal="center" vertical="center" wrapText="1"/>
      <protection locked="0"/>
    </xf>
    <xf numFmtId="0" fontId="57" fillId="2" borderId="43" xfId="0" applyFont="1" applyFill="1" applyBorder="1" applyAlignment="1">
      <alignment horizontal="center" vertical="center"/>
    </xf>
    <xf numFmtId="0" fontId="57" fillId="7" borderId="58" xfId="7" applyFont="1" applyFill="1" applyBorder="1" applyAlignment="1" applyProtection="1">
      <alignment horizontal="center" vertical="center" wrapText="1"/>
      <protection locked="0"/>
    </xf>
    <xf numFmtId="0" fontId="84" fillId="0" borderId="51" xfId="7" applyFont="1" applyBorder="1" applyAlignment="1" applyProtection="1">
      <alignment horizontal="center" vertical="center" wrapText="1"/>
      <protection locked="0"/>
    </xf>
    <xf numFmtId="0" fontId="57" fillId="7" borderId="27" xfId="7" applyFont="1" applyFill="1" applyBorder="1" applyAlignment="1" applyProtection="1">
      <alignment horizontal="center" vertical="center" wrapText="1"/>
      <protection locked="0"/>
    </xf>
    <xf numFmtId="0" fontId="84" fillId="0" borderId="119" xfId="7" applyFont="1" applyBorder="1" applyAlignment="1" applyProtection="1">
      <alignment horizontal="center" vertical="center" wrapText="1"/>
      <protection locked="0"/>
    </xf>
    <xf numFmtId="0" fontId="63" fillId="0" borderId="58" xfId="7"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15" xfId="0" applyFont="1" applyFill="1" applyBorder="1" applyAlignment="1">
      <alignment horizontal="center" vertical="center" wrapText="1"/>
    </xf>
    <xf numFmtId="0" fontId="63" fillId="0" borderId="111" xfId="7" applyFont="1" applyBorder="1" applyAlignment="1" applyProtection="1">
      <alignment horizontal="center" vertical="center" wrapText="1"/>
      <protection locked="0"/>
    </xf>
    <xf numFmtId="0" fontId="63" fillId="2" borderId="47" xfId="0" applyFont="1" applyFill="1" applyBorder="1" applyAlignment="1">
      <alignment horizontal="center" vertical="center" wrapText="1"/>
    </xf>
    <xf numFmtId="0" fontId="58" fillId="2" borderId="49" xfId="0" applyFont="1" applyFill="1" applyBorder="1" applyAlignment="1">
      <alignment vertical="center" textRotation="255" wrapText="1"/>
    </xf>
    <xf numFmtId="0" fontId="57" fillId="2" borderId="58" xfId="0" applyFont="1" applyFill="1" applyBorder="1" applyAlignment="1">
      <alignment horizontal="center" vertical="center" wrapText="1"/>
    </xf>
    <xf numFmtId="0" fontId="75" fillId="2" borderId="30" xfId="0" applyFont="1" applyFill="1" applyBorder="1" applyAlignment="1">
      <alignment vertical="center" textRotation="255" wrapText="1"/>
    </xf>
    <xf numFmtId="49" fontId="63" fillId="0" borderId="41" xfId="0" applyNumberFormat="1" applyFont="1" applyBorder="1" applyAlignment="1" applyProtection="1">
      <alignment horizontal="center" vertical="center" wrapText="1"/>
      <protection locked="0"/>
    </xf>
    <xf numFmtId="0" fontId="63" fillId="0" borderId="41" xfId="7" applyFont="1" applyBorder="1" applyAlignment="1" applyProtection="1">
      <alignment horizontal="center" vertical="center" wrapText="1"/>
      <protection locked="0"/>
    </xf>
    <xf numFmtId="0" fontId="58" fillId="2" borderId="30" xfId="0" applyFont="1" applyFill="1" applyBorder="1" applyAlignment="1">
      <alignment vertical="center" textRotation="255" wrapText="1"/>
    </xf>
    <xf numFmtId="9" fontId="63" fillId="0" borderId="41" xfId="1" applyFont="1" applyFill="1" applyBorder="1" applyAlignment="1" applyProtection="1">
      <alignment horizontal="center" vertical="center" wrapText="1"/>
      <protection locked="0"/>
    </xf>
    <xf numFmtId="0" fontId="63" fillId="7" borderId="41" xfId="7"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57" fillId="7" borderId="10" xfId="7" applyFont="1" applyFill="1" applyBorder="1" applyAlignment="1" applyProtection="1">
      <alignment horizontal="center" vertical="center" wrapText="1"/>
      <protection locked="0"/>
    </xf>
    <xf numFmtId="0" fontId="58" fillId="2" borderId="61" xfId="0" applyFont="1" applyFill="1" applyBorder="1" applyAlignment="1">
      <alignment vertical="center" textRotation="255" wrapText="1"/>
    </xf>
    <xf numFmtId="49" fontId="58" fillId="3" borderId="38" xfId="0" applyNumberFormat="1" applyFont="1" applyFill="1" applyBorder="1" applyProtection="1">
      <alignment vertical="center"/>
      <protection locked="0"/>
    </xf>
    <xf numFmtId="0" fontId="76" fillId="4" borderId="38" xfId="7" applyFont="1" applyFill="1" applyBorder="1" applyAlignment="1" applyProtection="1">
      <alignment vertical="center" wrapText="1"/>
      <protection locked="0"/>
    </xf>
    <xf numFmtId="0" fontId="77" fillId="2" borderId="0" xfId="0" applyFont="1" applyFill="1" applyAlignment="1" applyProtection="1">
      <protection locked="0"/>
    </xf>
    <xf numFmtId="0" fontId="57" fillId="2" borderId="0" xfId="0" applyFont="1" applyFill="1" applyAlignment="1" applyProtection="1">
      <alignment horizontal="center"/>
      <protection locked="0"/>
    </xf>
    <xf numFmtId="0" fontId="63" fillId="2" borderId="114" xfId="0" applyFont="1" applyFill="1" applyBorder="1" applyAlignment="1" applyProtection="1">
      <alignment horizontal="center" vertical="center" wrapText="1"/>
      <protection locked="0"/>
    </xf>
    <xf numFmtId="188" fontId="70" fillId="2" borderId="127" xfId="0" applyNumberFormat="1" applyFont="1" applyFill="1" applyBorder="1" applyAlignment="1" applyProtection="1">
      <alignment horizontal="center" vertical="center"/>
      <protection locked="0"/>
    </xf>
    <xf numFmtId="181" fontId="70" fillId="2" borderId="127" xfId="0" applyNumberFormat="1" applyFont="1" applyFill="1" applyBorder="1" applyProtection="1">
      <alignment vertical="center"/>
      <protection locked="0"/>
    </xf>
    <xf numFmtId="0" fontId="70" fillId="2" borderId="127" xfId="0" applyFont="1" applyFill="1" applyBorder="1" applyAlignment="1" applyProtection="1">
      <alignment horizontal="center" vertical="center"/>
      <protection locked="0"/>
    </xf>
    <xf numFmtId="0" fontId="70" fillId="2" borderId="132" xfId="0" applyFont="1" applyFill="1" applyBorder="1" applyAlignment="1">
      <alignment horizontal="center" vertical="center"/>
    </xf>
    <xf numFmtId="0" fontId="70" fillId="2" borderId="50" xfId="0" applyFont="1" applyFill="1" applyBorder="1" applyAlignment="1">
      <alignment horizontal="center" vertical="center"/>
    </xf>
    <xf numFmtId="188" fontId="57" fillId="4" borderId="4" xfId="0" applyNumberFormat="1" applyFont="1" applyFill="1" applyBorder="1" applyAlignment="1" applyProtection="1">
      <alignment horizontal="center" vertical="center"/>
      <protection locked="0"/>
    </xf>
    <xf numFmtId="188"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188" fontId="57" fillId="2" borderId="0" xfId="0" applyNumberFormat="1" applyFont="1" applyFill="1" applyAlignment="1" applyProtection="1">
      <alignment horizontal="center"/>
      <protection locked="0"/>
    </xf>
    <xf numFmtId="181" fontId="57" fillId="2" borderId="0" xfId="0" applyNumberFormat="1" applyFont="1" applyFill="1" applyAlignment="1" applyProtection="1">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0" fontId="83" fillId="0" borderId="123" xfId="0" applyFont="1" applyBorder="1" applyAlignment="1" applyProtection="1">
      <alignment horizontal="center" vertical="center" wrapText="1"/>
      <protection locked="0"/>
    </xf>
    <xf numFmtId="49" fontId="57" fillId="0" borderId="8" xfId="0" applyNumberFormat="1"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4" fillId="0" borderId="123" xfId="7" applyFont="1" applyBorder="1" applyAlignment="1" applyProtection="1">
      <alignment horizontal="center" vertical="center" wrapText="1"/>
      <protection locked="0"/>
    </xf>
    <xf numFmtId="0" fontId="84" fillId="0" borderId="8" xfId="7" applyFont="1" applyBorder="1" applyAlignment="1" applyProtection="1">
      <alignment horizontal="center" vertical="center" wrapText="1"/>
      <protection locked="0"/>
    </xf>
    <xf numFmtId="0" fontId="63" fillId="0" borderId="1" xfId="7" applyFont="1" applyBorder="1" applyAlignment="1" applyProtection="1">
      <alignment horizontal="center" vertical="center" wrapText="1"/>
      <protection locked="0"/>
    </xf>
    <xf numFmtId="0" fontId="63" fillId="0" borderId="6" xfId="7" applyFont="1" applyBorder="1" applyAlignment="1" applyProtection="1">
      <alignment horizontal="center" vertical="center" wrapText="1"/>
      <protection locked="0"/>
    </xf>
    <xf numFmtId="0" fontId="57" fillId="0" borderId="6" xfId="7" applyFont="1" applyBorder="1" applyAlignment="1" applyProtection="1">
      <alignment horizontal="center" vertical="center" wrapText="1"/>
      <protection locked="0"/>
    </xf>
    <xf numFmtId="0" fontId="57" fillId="0" borderId="123" xfId="7" applyFont="1" applyBorder="1" applyAlignment="1" applyProtection="1">
      <alignment horizontal="center" vertical="center" wrapText="1"/>
      <protection locked="0"/>
    </xf>
    <xf numFmtId="49" fontId="68" fillId="0" borderId="8" xfId="0" applyNumberFormat="1" applyFont="1" applyBorder="1" applyAlignment="1" applyProtection="1">
      <alignment horizontal="center" vertical="center" wrapText="1"/>
      <protection locked="0"/>
    </xf>
    <xf numFmtId="49" fontId="68" fillId="0" borderId="8" xfId="0" applyNumberFormat="1" applyFont="1" applyBorder="1" applyAlignment="1" applyProtection="1">
      <alignment horizontal="left" vertical="center" wrapText="1"/>
      <protection locked="0"/>
    </xf>
    <xf numFmtId="49" fontId="68" fillId="0" borderId="9" xfId="0" applyNumberFormat="1" applyFont="1" applyBorder="1" applyAlignment="1" applyProtection="1">
      <alignment horizontal="center" vertical="center" wrapText="1"/>
      <protection locked="0"/>
    </xf>
    <xf numFmtId="0" fontId="57" fillId="0" borderId="64" xfId="0" applyFont="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68" fillId="0" borderId="64" xfId="0" applyFont="1" applyBorder="1" applyAlignment="1" applyProtection="1">
      <alignment horizontal="left" vertical="center" wrapText="1"/>
      <protection locked="0"/>
    </xf>
    <xf numFmtId="0" fontId="68" fillId="0" borderId="43" xfId="0" applyFont="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7" xfId="0" applyFont="1" applyFill="1" applyBorder="1" applyAlignment="1">
      <alignment horizontal="right" vertical="center"/>
    </xf>
    <xf numFmtId="49" fontId="63" fillId="7" borderId="7" xfId="0" applyNumberFormat="1" applyFont="1" applyFill="1" applyBorder="1" applyAlignment="1" applyProtection="1">
      <alignment horizontal="center" vertical="center" wrapText="1"/>
      <protection locked="0"/>
    </xf>
    <xf numFmtId="49" fontId="63" fillId="7" borderId="108" xfId="0" applyNumberFormat="1" applyFont="1" applyFill="1" applyBorder="1" applyAlignment="1" applyProtection="1">
      <alignment horizontal="center" vertical="center" wrapText="1"/>
      <protection locked="0"/>
    </xf>
    <xf numFmtId="49" fontId="63" fillId="7" borderId="4" xfId="0" applyNumberFormat="1" applyFont="1" applyFill="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7" borderId="27" xfId="0" applyNumberFormat="1" applyFont="1" applyFill="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63" fillId="2" borderId="0" xfId="0" applyNumberFormat="1" applyFont="1" applyFill="1" applyAlignment="1" applyProtection="1">
      <alignment horizontal="center" vertical="center" wrapText="1"/>
      <protection locked="0"/>
    </xf>
    <xf numFmtId="0" fontId="63" fillId="2" borderId="0" xfId="0" applyFont="1" applyFill="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81" fontId="57"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Alignment="1" applyProtection="1">
      <protection locked="0"/>
    </xf>
    <xf numFmtId="9" fontId="63" fillId="0" borderId="0" xfId="0" applyNumberFormat="1" applyFont="1" applyAlignment="1" applyProtection="1">
      <alignment horizontal="center" vertical="center" wrapText="1"/>
      <protection locked="0"/>
    </xf>
    <xf numFmtId="0" fontId="63" fillId="0" borderId="20" xfId="0" applyFont="1" applyBorder="1" applyAlignment="1">
      <alignment horizontal="center" vertical="center" wrapText="1"/>
    </xf>
    <xf numFmtId="0" fontId="63" fillId="0" borderId="115" xfId="0" applyFont="1" applyBorder="1" applyAlignment="1">
      <alignment horizontal="center" vertical="center" wrapText="1"/>
    </xf>
    <xf numFmtId="0" fontId="63" fillId="2" borderId="0" xfId="0" applyFont="1" applyFill="1" applyAlignment="1" applyProtection="1">
      <alignment horizontal="center" vertical="center" wrapText="1"/>
      <protection locked="0"/>
    </xf>
    <xf numFmtId="0" fontId="4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3" fillId="0" borderId="0" xfId="0" applyFont="1" applyAlignment="1" applyProtection="1">
      <alignment vertical="center" wrapText="1"/>
      <protection locked="0"/>
    </xf>
    <xf numFmtId="9" fontId="67" fillId="0" borderId="0" xfId="0" applyNumberFormat="1" applyFont="1" applyAlignment="1" applyProtection="1">
      <alignment horizontal="center" vertical="center"/>
      <protection locked="0"/>
    </xf>
    <xf numFmtId="9" fontId="57" fillId="0" borderId="0" xfId="0" applyNumberFormat="1" applyFont="1" applyAlignment="1" applyProtection="1">
      <alignment horizontal="center" vertical="center" wrapText="1"/>
      <protection locked="0"/>
    </xf>
    <xf numFmtId="0" fontId="30" fillId="2" borderId="0" xfId="0" applyFont="1" applyFill="1">
      <alignment vertical="center"/>
    </xf>
    <xf numFmtId="0" fontId="65" fillId="2" borderId="0" xfId="0" applyFont="1" applyFill="1" applyAlignment="1" applyProtection="1">
      <alignment horizontal="center" vertical="center"/>
      <protection locked="0"/>
    </xf>
    <xf numFmtId="0" fontId="63" fillId="0" borderId="112" xfId="0" applyFont="1" applyBorder="1" applyAlignment="1" applyProtection="1">
      <alignment horizontal="center" vertical="center" wrapText="1"/>
      <protection locked="0"/>
    </xf>
    <xf numFmtId="0" fontId="63" fillId="0" borderId="111" xfId="0" applyFont="1" applyBorder="1" applyAlignment="1" applyProtection="1">
      <alignment horizontal="center" vertical="center" wrapText="1"/>
      <protection locked="0"/>
    </xf>
    <xf numFmtId="49" fontId="57" fillId="2" borderId="113" xfId="0" applyNumberFormat="1" applyFont="1" applyFill="1" applyBorder="1" applyAlignment="1">
      <alignment horizontal="center" vertical="center" wrapText="1"/>
    </xf>
    <xf numFmtId="0" fontId="57" fillId="7" borderId="119"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63" fillId="7" borderId="112" xfId="0" applyFont="1" applyFill="1" applyBorder="1" applyAlignment="1" applyProtection="1">
      <alignment horizontal="center" vertical="center" wrapText="1"/>
      <protection locked="0"/>
    </xf>
    <xf numFmtId="0" fontId="63" fillId="7" borderId="58" xfId="0" applyFont="1" applyFill="1" applyBorder="1" applyAlignment="1" applyProtection="1">
      <alignment horizontal="center" vertical="center" wrapText="1"/>
      <protection locked="0"/>
    </xf>
    <xf numFmtId="0" fontId="57" fillId="0" borderId="45" xfId="0" applyFont="1" applyBorder="1" applyAlignment="1" applyProtection="1">
      <alignment horizontal="center" vertical="center" wrapText="1"/>
      <protection locked="0"/>
    </xf>
    <xf numFmtId="0" fontId="63" fillId="0" borderId="114" xfId="0" applyFont="1" applyBorder="1" applyAlignment="1" applyProtection="1">
      <alignment horizontal="center" vertical="center" wrapText="1"/>
      <protection locked="0"/>
    </xf>
    <xf numFmtId="0" fontId="57" fillId="2" borderId="35" xfId="0" applyFont="1" applyFill="1" applyBorder="1" applyAlignment="1">
      <alignment horizontal="center" vertical="center"/>
    </xf>
    <xf numFmtId="0" fontId="57" fillId="2" borderId="21" xfId="0" applyFont="1" applyFill="1" applyBorder="1" applyAlignment="1">
      <alignment horizontal="center" vertical="center"/>
    </xf>
    <xf numFmtId="0" fontId="63" fillId="2" borderId="11" xfId="0" applyFont="1" applyFill="1" applyBorder="1" applyAlignment="1">
      <alignment horizontal="center" vertical="center"/>
    </xf>
    <xf numFmtId="0" fontId="57" fillId="2" borderId="11" xfId="0" applyFont="1" applyFill="1" applyBorder="1" applyAlignment="1">
      <alignment horizontal="center" vertical="center"/>
    </xf>
    <xf numFmtId="0" fontId="57" fillId="2" borderId="22" xfId="0" applyFont="1" applyFill="1" applyBorder="1" applyAlignment="1">
      <alignment horizontal="center" vertical="center"/>
    </xf>
    <xf numFmtId="0" fontId="63" fillId="0" borderId="133" xfId="0" applyFont="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Font="1" applyBorder="1" applyAlignment="1" applyProtection="1">
      <alignment horizontal="left" vertical="center" wrapText="1"/>
      <protection locked="0"/>
    </xf>
    <xf numFmtId="0" fontId="57" fillId="0" borderId="125" xfId="0" applyFont="1" applyBorder="1" applyAlignment="1" applyProtection="1">
      <alignment horizontal="center" vertical="center" wrapText="1"/>
      <protection locked="0"/>
    </xf>
    <xf numFmtId="0" fontId="57" fillId="0" borderId="30" xfId="0" applyFont="1" applyBorder="1" applyAlignment="1" applyProtection="1">
      <alignment horizontal="center" vertical="center"/>
      <protection locked="0"/>
    </xf>
    <xf numFmtId="0" fontId="70" fillId="2" borderId="126" xfId="0" applyFont="1" applyFill="1" applyBorder="1" applyAlignment="1">
      <alignment horizontal="right" vertical="center"/>
    </xf>
    <xf numFmtId="0" fontId="70" fillId="2" borderId="134" xfId="0" applyFont="1" applyFill="1" applyBorder="1">
      <alignment vertical="center"/>
    </xf>
    <xf numFmtId="49" fontId="57" fillId="2" borderId="18" xfId="0" applyNumberFormat="1" applyFont="1" applyFill="1" applyBorder="1" applyAlignment="1">
      <alignment horizontal="center" vertical="center" wrapText="1"/>
    </xf>
    <xf numFmtId="17" fontId="67" fillId="0" borderId="41" xfId="0" applyNumberFormat="1"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49" fillId="0" borderId="123" xfId="0" applyFont="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49" fillId="2" borderId="29" xfId="0" applyFont="1" applyFill="1" applyBorder="1">
      <alignment vertical="center"/>
    </xf>
    <xf numFmtId="0" fontId="49" fillId="11" borderId="0" xfId="0" applyFont="1" applyFill="1">
      <alignment vertical="center"/>
    </xf>
    <xf numFmtId="0" fontId="30" fillId="2" borderId="10" xfId="14"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Alignment="1">
      <alignment horizontal="left" vertical="center"/>
    </xf>
    <xf numFmtId="0" fontId="49" fillId="2" borderId="2" xfId="0" applyFont="1" applyFill="1" applyBorder="1" applyAlignment="1">
      <alignment horizontal="right" vertical="center"/>
    </xf>
    <xf numFmtId="0" fontId="49" fillId="11" borderId="23" xfId="0" applyFont="1" applyFill="1" applyBorder="1">
      <alignment vertical="center"/>
    </xf>
    <xf numFmtId="0" fontId="30" fillId="11" borderId="30" xfId="14" applyFont="1" applyFill="1" applyBorder="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11" borderId="0" xfId="0" applyFont="1" applyFill="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10" fillId="0" borderId="0" xfId="16" applyFont="1" applyAlignment="1">
      <alignment horizontal="left"/>
    </xf>
    <xf numFmtId="0" fontId="10" fillId="0" borderId="0" xfId="16" applyFont="1" applyAlignment="1">
      <alignment horizontal="right"/>
    </xf>
    <xf numFmtId="0" fontId="85" fillId="0" borderId="0" xfId="16" applyFont="1" applyAlignment="1">
      <alignment horizontal="left"/>
    </xf>
    <xf numFmtId="0" fontId="85" fillId="0" borderId="0" xfId="16" applyFont="1" applyAlignment="1" applyProtection="1">
      <alignment horizontal="left"/>
      <protection locked="0"/>
    </xf>
    <xf numFmtId="0" fontId="86" fillId="0" borderId="0" xfId="16" applyFont="1" applyAlignment="1" applyProtection="1">
      <alignment horizontal="left"/>
      <protection locked="0"/>
    </xf>
    <xf numFmtId="0" fontId="86" fillId="0" borderId="0" xfId="16" applyFont="1" applyAlignment="1" applyProtection="1">
      <alignment horizontal="left" vertical="center"/>
      <protection locked="0"/>
    </xf>
    <xf numFmtId="49" fontId="87" fillId="2" borderId="96" xfId="16" applyNumberFormat="1" applyFont="1" applyFill="1" applyBorder="1"/>
    <xf numFmtId="0" fontId="65" fillId="2" borderId="0" xfId="16" applyFont="1" applyFill="1" applyAlignment="1">
      <alignment horizontal="center" vertical="center"/>
    </xf>
    <xf numFmtId="0" fontId="32" fillId="2" borderId="0" xfId="16" applyFont="1" applyFill="1" applyAlignment="1">
      <alignment vertical="center"/>
    </xf>
    <xf numFmtId="49" fontId="29" fillId="2" borderId="0" xfId="16" applyNumberFormat="1" applyFont="1" applyFill="1" applyAlignment="1">
      <alignment horizontal="center"/>
    </xf>
    <xf numFmtId="0" fontId="29" fillId="2" borderId="0" xfId="16" applyFont="1" applyFill="1" applyAlignment="1">
      <alignment horizontal="center"/>
    </xf>
    <xf numFmtId="0" fontId="29" fillId="0" borderId="0" xfId="16" applyFont="1" applyAlignment="1" applyProtection="1">
      <alignment horizontal="center"/>
      <protection locked="0"/>
    </xf>
    <xf numFmtId="0" fontId="31" fillId="2" borderId="1" xfId="14" applyFont="1" applyFill="1" applyBorder="1">
      <alignment vertical="center"/>
    </xf>
    <xf numFmtId="184" fontId="40" fillId="2" borderId="1" xfId="16" applyNumberFormat="1" applyFont="1" applyFill="1" applyBorder="1" applyAlignment="1">
      <alignment horizontal="right" vertical="center"/>
    </xf>
    <xf numFmtId="49" fontId="32" fillId="2" borderId="0" xfId="16" applyNumberFormat="1" applyFont="1" applyFill="1"/>
    <xf numFmtId="49" fontId="31" fillId="2" borderId="0" xfId="16" applyNumberFormat="1" applyFont="1" applyFill="1"/>
    <xf numFmtId="49" fontId="31" fillId="0" borderId="0" xfId="16" applyNumberFormat="1" applyFont="1" applyProtection="1">
      <protection locked="0"/>
    </xf>
    <xf numFmtId="0" fontId="10" fillId="0" borderId="0" xfId="16" applyFont="1" applyAlignment="1" applyProtection="1">
      <alignment horizontal="left"/>
      <protection locked="0"/>
    </xf>
    <xf numFmtId="0" fontId="31" fillId="2" borderId="15" xfId="14" applyFont="1" applyFill="1" applyBorder="1">
      <alignment vertical="center"/>
    </xf>
    <xf numFmtId="0" fontId="40" fillId="2" borderId="15" xfId="16" applyFont="1" applyFill="1" applyBorder="1" applyAlignment="1">
      <alignment horizontal="right" vertical="center"/>
    </xf>
    <xf numFmtId="0" fontId="10" fillId="2" borderId="1" xfId="16" applyFont="1" applyFill="1" applyBorder="1" applyAlignment="1">
      <alignment vertical="center"/>
    </xf>
    <xf numFmtId="0" fontId="32" fillId="0" borderId="1" xfId="16" applyFont="1" applyBorder="1" applyAlignment="1" applyProtection="1">
      <alignment horizontal="left" vertical="center"/>
      <protection locked="0"/>
    </xf>
    <xf numFmtId="0" fontId="14" fillId="2" borderId="0" xfId="14" applyFont="1" applyFill="1">
      <alignment vertical="center"/>
    </xf>
    <xf numFmtId="0" fontId="38" fillId="0" borderId="13" xfId="16" applyFont="1" applyBorder="1" applyAlignment="1" applyProtection="1">
      <alignment horizontal="left" vertical="center"/>
      <protection locked="0"/>
    </xf>
    <xf numFmtId="0" fontId="10" fillId="2" borderId="50" xfId="16" applyFont="1" applyFill="1" applyBorder="1" applyAlignment="1">
      <alignment vertical="center"/>
    </xf>
    <xf numFmtId="0" fontId="31" fillId="0" borderId="109" xfId="16" applyFont="1" applyBorder="1" applyAlignment="1" applyProtection="1">
      <alignment horizontal="left" vertical="center"/>
      <protection locked="0"/>
    </xf>
    <xf numFmtId="0" fontId="31" fillId="2" borderId="25" xfId="16" applyFont="1" applyFill="1" applyBorder="1" applyAlignment="1">
      <alignment vertical="center"/>
    </xf>
    <xf numFmtId="0" fontId="31" fillId="2" borderId="116" xfId="16" applyFont="1" applyFill="1" applyBorder="1" applyAlignment="1">
      <alignment vertical="center"/>
    </xf>
    <xf numFmtId="0" fontId="31" fillId="0" borderId="0" xfId="16" applyFont="1" applyAlignment="1" applyProtection="1">
      <alignment vertical="center"/>
      <protection locked="0"/>
    </xf>
    <xf numFmtId="0" fontId="31" fillId="2" borderId="120" xfId="16" applyFont="1" applyFill="1" applyBorder="1" applyAlignment="1">
      <alignment horizontal="left" vertical="center"/>
    </xf>
    <xf numFmtId="0" fontId="31" fillId="2" borderId="96" xfId="16" applyFont="1" applyFill="1" applyBorder="1" applyAlignment="1">
      <alignment horizontal="left" vertical="center"/>
    </xf>
    <xf numFmtId="0" fontId="31" fillId="2" borderId="112" xfId="16" applyFont="1" applyFill="1" applyBorder="1" applyAlignment="1">
      <alignment horizontal="left" vertical="center"/>
    </xf>
    <xf numFmtId="184" fontId="31" fillId="2" borderId="34" xfId="16" applyNumberFormat="1" applyFont="1" applyFill="1" applyBorder="1" applyAlignment="1">
      <alignment horizontal="left" vertical="center"/>
    </xf>
    <xf numFmtId="10" fontId="31" fillId="2" borderId="96" xfId="16" applyNumberFormat="1" applyFont="1" applyFill="1" applyBorder="1" applyAlignment="1">
      <alignment horizontal="left" vertical="center"/>
    </xf>
    <xf numFmtId="184" fontId="31" fillId="2" borderId="117" xfId="16" applyNumberFormat="1" applyFont="1" applyFill="1" applyBorder="1" applyAlignment="1">
      <alignment horizontal="left" vertical="center"/>
    </xf>
    <xf numFmtId="184" fontId="31" fillId="0" borderId="0" xfId="16" applyNumberFormat="1" applyFont="1" applyAlignment="1" applyProtection="1">
      <alignment horizontal="left" vertical="center"/>
      <protection locked="0"/>
    </xf>
    <xf numFmtId="0" fontId="31" fillId="2" borderId="10"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0" fontId="31" fillId="2" borderId="1" xfId="16"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1" fillId="2" borderId="11" xfId="16" applyFont="1" applyFill="1" applyBorder="1" applyAlignment="1">
      <alignment vertical="center"/>
    </xf>
    <xf numFmtId="181" fontId="31" fillId="2" borderId="1" xfId="16" applyNumberFormat="1" applyFont="1" applyFill="1" applyBorder="1" applyAlignment="1">
      <alignment horizontal="left" vertical="center"/>
    </xf>
    <xf numFmtId="49" fontId="32" fillId="2" borderId="10" xfId="16" applyNumberFormat="1" applyFont="1" applyFill="1" applyBorder="1" applyAlignment="1">
      <alignment horizontal="left" vertical="center"/>
    </xf>
    <xf numFmtId="0" fontId="32" fillId="2" borderId="2" xfId="16" applyFont="1" applyFill="1" applyBorder="1" applyAlignment="1">
      <alignment horizontal="left" vertical="center"/>
    </xf>
    <xf numFmtId="0" fontId="32" fillId="2" borderId="4" xfId="16" applyFont="1" applyFill="1" applyBorder="1" applyAlignment="1">
      <alignment horizontal="left" vertical="center"/>
    </xf>
    <xf numFmtId="184" fontId="32" fillId="2" borderId="1" xfId="16" applyNumberFormat="1" applyFont="1" applyFill="1" applyBorder="1" applyAlignment="1">
      <alignment horizontal="left" vertical="center"/>
    </xf>
    <xf numFmtId="181" fontId="32" fillId="2" borderId="1" xfId="16" applyNumberFormat="1" applyFont="1" applyFill="1" applyBorder="1" applyAlignment="1">
      <alignment horizontal="left" vertical="center"/>
    </xf>
    <xf numFmtId="0" fontId="10" fillId="2" borderId="4" xfId="16" applyFont="1" applyFill="1" applyBorder="1" applyAlignment="1">
      <alignment horizontal="right" vertical="center"/>
    </xf>
    <xf numFmtId="187" fontId="32" fillId="0" borderId="1" xfId="16" applyNumberFormat="1" applyFont="1" applyBorder="1" applyAlignment="1" applyProtection="1">
      <alignment horizontal="left" vertical="center"/>
      <protection locked="0"/>
    </xf>
    <xf numFmtId="181" fontId="32" fillId="2" borderId="4" xfId="16" applyNumberFormat="1" applyFont="1" applyFill="1" applyBorder="1" applyAlignment="1">
      <alignment horizontal="right" vertical="center"/>
    </xf>
    <xf numFmtId="178" fontId="32" fillId="0" borderId="1" xfId="16" applyNumberFormat="1" applyFont="1" applyBorder="1" applyAlignment="1" applyProtection="1">
      <alignment horizontal="left" vertical="center"/>
      <protection locked="0"/>
    </xf>
    <xf numFmtId="184" fontId="32" fillId="0" borderId="1" xfId="16" applyNumberFormat="1" applyFont="1" applyBorder="1" applyAlignment="1" applyProtection="1">
      <alignment horizontal="left" vertical="center"/>
      <protection locked="0"/>
    </xf>
    <xf numFmtId="181" fontId="32" fillId="0" borderId="1" xfId="16" applyNumberFormat="1" applyFont="1" applyBorder="1" applyAlignment="1" applyProtection="1">
      <alignment horizontal="left" vertical="center"/>
      <protection locked="0"/>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181" fontId="31" fillId="0" borderId="13" xfId="16" applyNumberFormat="1" applyFont="1" applyBorder="1" applyAlignment="1" applyProtection="1">
      <alignment horizontal="left" vertical="center"/>
      <protection locked="0"/>
    </xf>
    <xf numFmtId="0" fontId="31" fillId="2" borderId="14" xfId="16" applyFont="1" applyFill="1" applyBorder="1" applyAlignment="1">
      <alignment vertical="center"/>
    </xf>
    <xf numFmtId="184" fontId="31" fillId="2" borderId="96" xfId="16" applyNumberFormat="1" applyFont="1" applyFill="1" applyBorder="1" applyAlignment="1">
      <alignment horizontal="left" vertical="center"/>
    </xf>
    <xf numFmtId="181" fontId="31" fillId="0" borderId="96" xfId="16" applyNumberFormat="1" applyFont="1" applyBorder="1" applyAlignment="1" applyProtection="1">
      <alignment horizontal="left" vertical="center"/>
      <protection locked="0"/>
    </xf>
    <xf numFmtId="0" fontId="31" fillId="2" borderId="23" xfId="16" applyFont="1" applyFill="1" applyBorder="1" applyAlignment="1">
      <alignment vertical="center"/>
    </xf>
    <xf numFmtId="0" fontId="31" fillId="2" borderId="118" xfId="16" applyFont="1" applyFill="1" applyBorder="1" applyAlignment="1">
      <alignment vertical="center"/>
    </xf>
    <xf numFmtId="0" fontId="31" fillId="2" borderId="117" xfId="16" applyFont="1" applyFill="1" applyBorder="1" applyAlignment="1">
      <alignment horizontal="left" vertical="center"/>
    </xf>
    <xf numFmtId="0" fontId="31" fillId="2" borderId="136" xfId="16" applyFont="1" applyFill="1" applyBorder="1" applyAlignment="1">
      <alignment horizontal="left" vertical="center"/>
    </xf>
    <xf numFmtId="0" fontId="88" fillId="0" borderId="2" xfId="16" applyFont="1" applyBorder="1" applyAlignment="1" applyProtection="1">
      <alignment horizontal="left" vertical="center"/>
      <protection locked="0"/>
    </xf>
    <xf numFmtId="0" fontId="88" fillId="0" borderId="136" xfId="16" applyFont="1" applyBorder="1" applyAlignment="1" applyProtection="1">
      <alignment horizontal="left" vertical="center"/>
      <protection locked="0"/>
    </xf>
    <xf numFmtId="0" fontId="88" fillId="0" borderId="4" xfId="16" applyFont="1" applyBorder="1" applyAlignment="1" applyProtection="1">
      <alignment horizontal="left" vertical="center"/>
      <protection locked="0"/>
    </xf>
    <xf numFmtId="0" fontId="32" fillId="0" borderId="0" xfId="16" applyFont="1" applyAlignment="1" applyProtection="1">
      <alignment horizontal="left" vertical="center"/>
      <protection locked="0"/>
    </xf>
    <xf numFmtId="0" fontId="32" fillId="2" borderId="41" xfId="16" applyFont="1" applyFill="1" applyBorder="1" applyAlignment="1">
      <alignment horizontal="left" vertical="center"/>
    </xf>
    <xf numFmtId="0" fontId="32" fillId="2" borderId="1" xfId="16" applyFont="1" applyFill="1" applyBorder="1" applyAlignment="1">
      <alignment horizontal="left" vertical="center"/>
    </xf>
    <xf numFmtId="184" fontId="32" fillId="2" borderId="2" xfId="16" applyNumberFormat="1" applyFont="1" applyFill="1" applyBorder="1" applyAlignment="1">
      <alignment horizontal="left" vertical="center"/>
    </xf>
    <xf numFmtId="184" fontId="32" fillId="2" borderId="136" xfId="16" applyNumberFormat="1" applyFont="1" applyFill="1" applyBorder="1" applyAlignment="1">
      <alignment horizontal="left" vertical="center"/>
    </xf>
    <xf numFmtId="184" fontId="32" fillId="2" borderId="4" xfId="16" applyNumberFormat="1" applyFont="1" applyFill="1" applyBorder="1" applyAlignment="1">
      <alignment horizontal="left" vertical="center"/>
    </xf>
    <xf numFmtId="0" fontId="32" fillId="2" borderId="11" xfId="16" applyFont="1" applyFill="1" applyBorder="1" applyAlignment="1">
      <alignment horizontal="left" vertical="center"/>
    </xf>
    <xf numFmtId="0" fontId="32" fillId="0" borderId="0" xfId="16" applyFont="1" applyAlignment="1" applyProtection="1">
      <alignment horizontal="right" vertical="center"/>
      <protection locked="0"/>
    </xf>
    <xf numFmtId="0" fontId="32" fillId="2" borderId="41" xfId="16" applyFont="1" applyFill="1" applyBorder="1" applyAlignment="1">
      <alignment horizontal="right" vertical="center"/>
    </xf>
    <xf numFmtId="0" fontId="32" fillId="2" borderId="1" xfId="16" applyFont="1" applyFill="1" applyBorder="1" applyAlignment="1">
      <alignment horizontal="right" vertical="center"/>
    </xf>
    <xf numFmtId="184" fontId="32" fillId="2" borderId="2" xfId="16" applyNumberFormat="1" applyFont="1" applyFill="1" applyBorder="1" applyAlignment="1">
      <alignment horizontal="right" vertical="center"/>
    </xf>
    <xf numFmtId="181" fontId="32" fillId="0" borderId="136" xfId="16" applyNumberFormat="1" applyFont="1" applyBorder="1" applyAlignment="1" applyProtection="1">
      <alignment horizontal="right" vertical="center"/>
      <protection locked="0"/>
    </xf>
    <xf numFmtId="181" fontId="32" fillId="0" borderId="4" xfId="16" applyNumberFormat="1" applyFont="1" applyBorder="1" applyAlignment="1" applyProtection="1">
      <alignment horizontal="right" vertical="center"/>
      <protection locked="0"/>
    </xf>
    <xf numFmtId="0" fontId="32" fillId="2" borderId="11" xfId="16" applyFont="1" applyFill="1" applyBorder="1" applyAlignment="1">
      <alignment horizontal="right" vertical="center"/>
    </xf>
    <xf numFmtId="181" fontId="32" fillId="2" borderId="2" xfId="16" applyNumberFormat="1" applyFont="1" applyFill="1" applyBorder="1" applyAlignment="1">
      <alignment horizontal="right" vertical="center"/>
    </xf>
    <xf numFmtId="0" fontId="10" fillId="0" borderId="0" xfId="16" applyFont="1" applyAlignment="1" applyProtection="1">
      <alignment horizontal="right"/>
      <protection locked="0"/>
    </xf>
    <xf numFmtId="181" fontId="32" fillId="2" borderId="136" xfId="16" applyNumberFormat="1" applyFont="1" applyFill="1" applyBorder="1" applyAlignment="1">
      <alignment horizontal="right" vertical="center"/>
    </xf>
    <xf numFmtId="181" fontId="32" fillId="0" borderId="2" xfId="16" applyNumberFormat="1" applyFont="1" applyBorder="1" applyAlignment="1" applyProtection="1">
      <alignment horizontal="right" vertical="center"/>
      <protection locked="0"/>
    </xf>
    <xf numFmtId="0" fontId="32" fillId="2" borderId="136" xfId="16" applyFont="1" applyFill="1" applyBorder="1" applyAlignment="1">
      <alignment horizontal="left" vertical="center"/>
    </xf>
    <xf numFmtId="10" fontId="32" fillId="0" borderId="2" xfId="16" applyNumberFormat="1" applyFont="1" applyBorder="1" applyAlignment="1" applyProtection="1">
      <alignment horizontal="left" vertical="center"/>
      <protection locked="0"/>
    </xf>
    <xf numFmtId="10" fontId="32" fillId="0" borderId="136" xfId="16" applyNumberFormat="1" applyFont="1" applyBorder="1" applyAlignment="1" applyProtection="1">
      <alignment horizontal="left" vertical="center"/>
      <protection locked="0"/>
    </xf>
    <xf numFmtId="10" fontId="32" fillId="0" borderId="4" xfId="16" applyNumberFormat="1" applyFont="1" applyBorder="1" applyAlignment="1" applyProtection="1">
      <alignment horizontal="left" vertical="center"/>
      <protection locked="0"/>
    </xf>
    <xf numFmtId="181" fontId="32" fillId="0" borderId="2" xfId="16" applyNumberFormat="1" applyFont="1" applyBorder="1" applyAlignment="1" applyProtection="1">
      <alignment horizontal="left" vertical="center"/>
      <protection locked="0"/>
    </xf>
    <xf numFmtId="181" fontId="32" fillId="0" borderId="136" xfId="16" applyNumberFormat="1" applyFont="1" applyBorder="1" applyAlignment="1" applyProtection="1">
      <alignment horizontal="left" vertical="center"/>
      <protection locked="0"/>
    </xf>
    <xf numFmtId="181" fontId="32" fillId="0" borderId="4" xfId="16" applyNumberFormat="1" applyFont="1" applyBorder="1" applyAlignment="1" applyProtection="1">
      <alignment horizontal="left" vertical="center"/>
      <protection locked="0"/>
    </xf>
    <xf numFmtId="187" fontId="32" fillId="0" borderId="0" xfId="16" applyNumberFormat="1" applyFont="1" applyAlignment="1" applyProtection="1">
      <alignment horizontal="left" vertical="center"/>
      <protection locked="0"/>
    </xf>
    <xf numFmtId="0" fontId="32" fillId="2" borderId="13" xfId="16" applyFont="1" applyFill="1" applyBorder="1" applyAlignment="1">
      <alignment horizontal="left" vertical="center"/>
    </xf>
    <xf numFmtId="187" fontId="32" fillId="0" borderId="33" xfId="16" applyNumberFormat="1" applyFont="1" applyBorder="1" applyAlignment="1" applyProtection="1">
      <alignment horizontal="left" vertical="center"/>
      <protection locked="0"/>
    </xf>
    <xf numFmtId="187" fontId="32" fillId="0" borderId="137" xfId="16" applyNumberFormat="1" applyFont="1" applyBorder="1" applyAlignment="1" applyProtection="1">
      <alignment horizontal="left" vertical="center"/>
      <protection locked="0"/>
    </xf>
    <xf numFmtId="187" fontId="32" fillId="0" borderId="62" xfId="16" applyNumberFormat="1" applyFont="1" applyBorder="1" applyAlignment="1" applyProtection="1">
      <alignment horizontal="left" vertical="center"/>
      <protection locked="0"/>
    </xf>
    <xf numFmtId="187" fontId="32" fillId="2" borderId="11" xfId="16" applyNumberFormat="1" applyFont="1" applyFill="1" applyBorder="1" applyAlignment="1">
      <alignment horizontal="left" vertical="center"/>
    </xf>
    <xf numFmtId="0" fontId="32" fillId="0" borderId="0" xfId="16" applyFont="1" applyAlignment="1" applyProtection="1">
      <alignment horizontal="left"/>
      <protection locked="0"/>
    </xf>
    <xf numFmtId="0" fontId="32" fillId="2" borderId="10" xfId="16" applyFont="1" applyFill="1" applyBorder="1" applyAlignment="1">
      <alignment horizontal="left" vertical="center"/>
    </xf>
    <xf numFmtId="184" fontId="32" fillId="2" borderId="1" xfId="16" applyNumberFormat="1" applyFont="1" applyFill="1" applyBorder="1" applyAlignment="1">
      <alignment horizontal="left"/>
    </xf>
    <xf numFmtId="0" fontId="32" fillId="2" borderId="1" xfId="16" applyFont="1" applyFill="1" applyBorder="1" applyAlignment="1">
      <alignment horizontal="left"/>
    </xf>
    <xf numFmtId="0" fontId="32" fillId="2" borderId="11" xfId="16" applyFont="1" applyFill="1" applyBorder="1" applyAlignment="1">
      <alignment horizontal="left"/>
    </xf>
    <xf numFmtId="0" fontId="32" fillId="2" borderId="12" xfId="16" applyFont="1" applyFill="1" applyBorder="1" applyAlignment="1">
      <alignment horizontal="left" vertical="center"/>
    </xf>
    <xf numFmtId="184" fontId="32" fillId="2" borderId="13" xfId="16" applyNumberFormat="1" applyFont="1" applyFill="1" applyBorder="1" applyAlignment="1">
      <alignment horizontal="left" vertical="center"/>
    </xf>
    <xf numFmtId="0" fontId="32" fillId="2" borderId="13" xfId="16" applyFont="1" applyFill="1" applyBorder="1" applyAlignment="1">
      <alignment horizontal="left"/>
    </xf>
    <xf numFmtId="0" fontId="32" fillId="2" borderId="14" xfId="16" applyFont="1" applyFill="1" applyBorder="1" applyAlignment="1">
      <alignment horizontal="left" vertical="center"/>
    </xf>
    <xf numFmtId="0" fontId="31" fillId="3" borderId="49" xfId="16" applyFont="1" applyFill="1" applyBorder="1" applyAlignment="1" applyProtection="1">
      <alignment vertical="center"/>
      <protection locked="0"/>
    </xf>
    <xf numFmtId="0" fontId="31" fillId="3" borderId="31" xfId="16" applyFont="1" applyFill="1" applyBorder="1" applyAlignment="1" applyProtection="1">
      <alignment vertical="center"/>
      <protection locked="0"/>
    </xf>
    <xf numFmtId="0" fontId="31" fillId="0" borderId="1" xfId="16" applyFont="1" applyBorder="1" applyAlignment="1" applyProtection="1">
      <alignment horizontal="left" vertical="center"/>
      <protection locked="0"/>
    </xf>
    <xf numFmtId="178" fontId="7" fillId="0" borderId="1" xfId="14" applyNumberFormat="1" applyFont="1" applyBorder="1" applyAlignment="1" applyProtection="1">
      <alignment horizontal="left" vertical="center"/>
      <protection locked="0" hidden="1"/>
    </xf>
    <xf numFmtId="0" fontId="32" fillId="0" borderId="15" xfId="16" applyFont="1" applyBorder="1" applyAlignment="1" applyProtection="1">
      <alignment horizontal="left" vertical="center"/>
      <protection locked="0"/>
    </xf>
    <xf numFmtId="0" fontId="43" fillId="2" borderId="41" xfId="16" applyFont="1" applyFill="1" applyBorder="1" applyAlignment="1" applyProtection="1">
      <alignment vertical="center"/>
      <protection locked="0"/>
    </xf>
    <xf numFmtId="0" fontId="43" fillId="2" borderId="3" xfId="16" applyFont="1" applyFill="1" applyBorder="1" applyAlignment="1" applyProtection="1">
      <alignment vertical="center"/>
      <protection locked="0"/>
    </xf>
    <xf numFmtId="0" fontId="31" fillId="2" borderId="3" xfId="16" applyFont="1" applyFill="1" applyBorder="1" applyAlignment="1" applyProtection="1">
      <alignment vertical="center"/>
      <protection locked="0"/>
    </xf>
    <xf numFmtId="0" fontId="31" fillId="2" borderId="10" xfId="16" applyFont="1" applyFill="1" applyBorder="1" applyAlignment="1" applyProtection="1">
      <alignment horizontal="left" vertical="center" wrapText="1"/>
      <protection locked="0"/>
    </xf>
    <xf numFmtId="0" fontId="32" fillId="2" borderId="2" xfId="16" applyFont="1" applyFill="1" applyBorder="1" applyAlignment="1" applyProtection="1">
      <alignment vertical="center"/>
      <protection locked="0"/>
    </xf>
    <xf numFmtId="0" fontId="32" fillId="2" borderId="1" xfId="16" applyFont="1" applyFill="1" applyBorder="1" applyAlignment="1" applyProtection="1">
      <alignment horizontal="left" vertical="center"/>
      <protection locked="0"/>
    </xf>
    <xf numFmtId="0" fontId="32" fillId="0" borderId="2" xfId="16" applyFont="1" applyBorder="1" applyAlignment="1" applyProtection="1">
      <alignment vertical="center"/>
      <protection locked="0"/>
    </xf>
    <xf numFmtId="0" fontId="7" fillId="0" borderId="1" xfId="16" applyFont="1" applyBorder="1" applyAlignment="1" applyProtection="1">
      <alignment horizontal="left" vertical="center"/>
      <protection locked="0"/>
    </xf>
    <xf numFmtId="9" fontId="32" fillId="0" borderId="1" xfId="16" applyNumberFormat="1" applyFont="1" applyBorder="1" applyAlignment="1" applyProtection="1">
      <alignment horizontal="left" vertical="center"/>
      <protection locked="0"/>
    </xf>
    <xf numFmtId="0" fontId="31" fillId="2" borderId="2" xfId="16" applyFont="1" applyFill="1" applyBorder="1" applyAlignment="1" applyProtection="1">
      <alignment vertical="center"/>
      <protection locked="0"/>
    </xf>
    <xf numFmtId="0" fontId="43" fillId="2" borderId="1" xfId="16" applyFont="1" applyFill="1" applyBorder="1" applyAlignment="1" applyProtection="1">
      <alignment horizontal="left" vertical="center"/>
      <protection locked="0"/>
    </xf>
    <xf numFmtId="9" fontId="31" fillId="2" borderId="1" xfId="16" applyNumberFormat="1" applyFont="1" applyFill="1" applyBorder="1" applyAlignment="1" applyProtection="1">
      <alignment horizontal="left" vertical="center"/>
      <protection locked="0"/>
    </xf>
    <xf numFmtId="178" fontId="32" fillId="3" borderId="1" xfId="16" applyNumberFormat="1" applyFont="1" applyFill="1" applyBorder="1" applyAlignment="1" applyProtection="1">
      <alignment horizontal="left" vertical="center"/>
      <protection locked="0"/>
    </xf>
    <xf numFmtId="0" fontId="7" fillId="0" borderId="1" xfId="16" applyFont="1" applyBorder="1" applyAlignment="1" applyProtection="1">
      <alignment horizontal="left" vertical="center" wrapText="1"/>
      <protection locked="0"/>
    </xf>
    <xf numFmtId="0" fontId="31" fillId="2" borderId="2" xfId="16" applyFont="1" applyFill="1" applyBorder="1" applyAlignment="1" applyProtection="1">
      <alignment vertical="center" wrapText="1"/>
      <protection locked="0"/>
    </xf>
    <xf numFmtId="0" fontId="31" fillId="2" borderId="3" xfId="16" applyFont="1" applyFill="1" applyBorder="1" applyAlignment="1" applyProtection="1">
      <alignment vertical="center" wrapText="1"/>
      <protection locked="0"/>
    </xf>
    <xf numFmtId="0" fontId="31" fillId="2" borderId="4" xfId="16" applyFont="1" applyFill="1" applyBorder="1" applyAlignment="1" applyProtection="1">
      <alignment vertical="center" wrapText="1"/>
      <protection locked="0"/>
    </xf>
    <xf numFmtId="0" fontId="43" fillId="2" borderId="48" xfId="16" applyFont="1" applyFill="1" applyBorder="1" applyAlignment="1" applyProtection="1">
      <alignment vertical="center"/>
      <protection locked="0"/>
    </xf>
    <xf numFmtId="0" fontId="43" fillId="2" borderId="95" xfId="16" applyFont="1" applyFill="1" applyBorder="1" applyAlignment="1" applyProtection="1">
      <alignment vertical="center"/>
      <protection locked="0"/>
    </xf>
    <xf numFmtId="0" fontId="43" fillId="2" borderId="114" xfId="16" applyFont="1" applyFill="1" applyBorder="1" applyAlignment="1" applyProtection="1">
      <alignment vertical="center"/>
      <protection locked="0"/>
    </xf>
    <xf numFmtId="0" fontId="7" fillId="2" borderId="1" xfId="16" applyFont="1" applyFill="1" applyBorder="1" applyAlignment="1" applyProtection="1">
      <alignment horizontal="left" vertical="center"/>
      <protection locked="0"/>
    </xf>
    <xf numFmtId="9" fontId="7" fillId="2" borderId="1" xfId="16" applyNumberFormat="1" applyFont="1" applyFill="1" applyBorder="1" applyAlignment="1" applyProtection="1">
      <alignment horizontal="left" vertical="center"/>
      <protection locked="0"/>
    </xf>
    <xf numFmtId="0" fontId="32" fillId="0" borderId="0" xfId="16" applyFont="1" applyAlignment="1" applyProtection="1">
      <alignment horizontal="right"/>
      <protection locked="0"/>
    </xf>
    <xf numFmtId="0" fontId="43" fillId="2" borderId="34" xfId="16" applyFont="1" applyFill="1" applyBorder="1" applyAlignment="1" applyProtection="1">
      <alignment vertical="center"/>
      <protection locked="0"/>
    </xf>
    <xf numFmtId="0" fontId="43" fillId="2" borderId="96" xfId="16" applyFont="1" applyFill="1" applyBorder="1" applyAlignment="1" applyProtection="1">
      <alignment vertical="center"/>
      <protection locked="0"/>
    </xf>
    <xf numFmtId="0" fontId="43" fillId="2" borderId="112" xfId="16" applyFont="1" applyFill="1" applyBorder="1" applyAlignment="1" applyProtection="1">
      <alignment vertical="center"/>
      <protection locked="0"/>
    </xf>
    <xf numFmtId="0" fontId="43" fillId="0" borderId="1" xfId="16" applyFont="1" applyBorder="1" applyAlignment="1" applyProtection="1">
      <alignment horizontal="left" vertical="center"/>
      <protection locked="0"/>
    </xf>
    <xf numFmtId="0" fontId="14" fillId="2" borderId="111" xfId="16" applyFont="1" applyFill="1" applyBorder="1" applyAlignment="1" applyProtection="1">
      <alignment horizontal="left" vertical="center" wrapText="1"/>
      <protection locked="0"/>
    </xf>
    <xf numFmtId="0" fontId="12" fillId="2" borderId="20" xfId="16" applyFont="1" applyFill="1" applyBorder="1" applyAlignment="1" applyProtection="1">
      <alignment vertical="center"/>
      <protection locked="0"/>
    </xf>
    <xf numFmtId="0" fontId="10" fillId="2" borderId="20" xfId="16" applyFont="1" applyFill="1" applyBorder="1" applyAlignment="1" applyProtection="1">
      <alignment vertical="center"/>
      <protection locked="0"/>
    </xf>
    <xf numFmtId="0" fontId="89" fillId="0" borderId="20" xfId="16" applyBorder="1" applyAlignment="1" applyProtection="1">
      <alignment horizontal="left" vertical="center"/>
      <protection locked="0"/>
    </xf>
    <xf numFmtId="9" fontId="32" fillId="0" borderId="13" xfId="16" applyNumberFormat="1" applyFont="1" applyBorder="1" applyAlignment="1" applyProtection="1">
      <alignment horizontal="left" vertical="center"/>
      <protection locked="0"/>
    </xf>
    <xf numFmtId="0" fontId="14" fillId="2" borderId="20" xfId="16" applyFont="1" applyFill="1" applyBorder="1" applyAlignment="1" applyProtection="1">
      <alignment vertical="center"/>
      <protection locked="0"/>
    </xf>
    <xf numFmtId="0" fontId="31" fillId="3" borderId="29" xfId="16" applyFont="1" applyFill="1" applyBorder="1" applyAlignment="1" applyProtection="1">
      <alignment vertical="center"/>
      <protection locked="0"/>
    </xf>
    <xf numFmtId="0" fontId="31" fillId="0" borderId="11" xfId="16" applyFont="1" applyBorder="1" applyAlignment="1" applyProtection="1">
      <alignment horizontal="left" vertical="center"/>
      <protection locked="0"/>
    </xf>
    <xf numFmtId="0" fontId="31" fillId="2" borderId="11" xfId="16" applyFont="1" applyFill="1" applyBorder="1" applyAlignment="1" applyProtection="1">
      <alignment horizontal="left" vertical="center"/>
      <protection locked="0"/>
    </xf>
    <xf numFmtId="178" fontId="7" fillId="0" borderId="11" xfId="14" applyNumberFormat="1" applyFont="1" applyBorder="1" applyAlignment="1" applyProtection="1">
      <alignment horizontal="left" vertical="center"/>
      <protection locked="0" hidden="1"/>
    </xf>
    <xf numFmtId="178" fontId="32" fillId="2" borderId="11" xfId="16" applyNumberFormat="1" applyFont="1" applyFill="1" applyBorder="1" applyAlignment="1" applyProtection="1">
      <alignment horizontal="left" vertical="center"/>
      <protection locked="0"/>
    </xf>
    <xf numFmtId="0" fontId="32" fillId="0" borderId="40" xfId="16" applyFont="1" applyBorder="1" applyAlignment="1" applyProtection="1">
      <alignment horizontal="left" vertical="center"/>
      <protection locked="0"/>
    </xf>
    <xf numFmtId="0" fontId="32" fillId="2" borderId="40" xfId="16" applyFont="1" applyFill="1" applyBorder="1" applyAlignment="1" applyProtection="1">
      <alignment horizontal="left" vertical="center"/>
      <protection locked="0"/>
    </xf>
    <xf numFmtId="0" fontId="32" fillId="0" borderId="11" xfId="16" applyFont="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178" fontId="32" fillId="0" borderId="11" xfId="16" applyNumberFormat="1" applyFont="1" applyBorder="1" applyAlignment="1" applyProtection="1">
      <alignment horizontal="left" vertical="center"/>
      <protection locked="0"/>
    </xf>
    <xf numFmtId="0" fontId="43" fillId="2" borderId="11" xfId="16" applyFont="1" applyFill="1" applyBorder="1" applyAlignment="1" applyProtection="1">
      <alignment horizontal="left" vertical="center"/>
      <protection locked="0"/>
    </xf>
    <xf numFmtId="0" fontId="7" fillId="0" borderId="11" xfId="16" applyFont="1" applyBorder="1" applyAlignment="1" applyProtection="1">
      <alignment horizontal="left" vertical="center"/>
      <protection locked="0"/>
    </xf>
    <xf numFmtId="9" fontId="7" fillId="0" borderId="1" xfId="16" applyNumberFormat="1" applyFont="1" applyBorder="1" applyAlignment="1" applyProtection="1">
      <alignment horizontal="left" vertical="center"/>
      <protection locked="0"/>
    </xf>
    <xf numFmtId="9" fontId="43" fillId="0" borderId="1" xfId="16" applyNumberFormat="1" applyFont="1" applyBorder="1" applyAlignment="1" applyProtection="1">
      <alignment horizontal="left" vertical="center"/>
      <protection locked="0"/>
    </xf>
    <xf numFmtId="181" fontId="7" fillId="0" borderId="13" xfId="16" applyNumberFormat="1" applyFont="1" applyBorder="1" applyAlignment="1" applyProtection="1">
      <alignment horizontal="left" vertical="center"/>
      <protection locked="0"/>
    </xf>
    <xf numFmtId="0" fontId="90" fillId="0" borderId="115" xfId="16" applyFont="1" applyBorder="1" applyAlignment="1" applyProtection="1">
      <alignment horizontal="left" vertical="center"/>
      <protection locked="0"/>
    </xf>
    <xf numFmtId="0" fontId="31" fillId="2" borderId="1" xfId="16" applyFont="1" applyFill="1" applyBorder="1" applyAlignment="1" applyProtection="1">
      <alignment horizontal="left" vertical="center"/>
      <protection locked="0"/>
    </xf>
    <xf numFmtId="178" fontId="32" fillId="2" borderId="1" xfId="16" applyNumberFormat="1" applyFont="1" applyFill="1" applyBorder="1" applyAlignment="1" applyProtection="1">
      <alignment horizontal="left" vertical="center"/>
      <protection locked="0"/>
    </xf>
    <xf numFmtId="0" fontId="32" fillId="2" borderId="15" xfId="16" applyFont="1" applyFill="1" applyBorder="1" applyAlignment="1" applyProtection="1">
      <alignment horizontal="left" vertical="center"/>
      <protection locked="0"/>
    </xf>
    <xf numFmtId="0" fontId="31" fillId="2" borderId="2" xfId="16" applyFont="1" applyFill="1" applyBorder="1" applyAlignment="1" applyProtection="1">
      <alignment horizontal="left" vertical="center"/>
      <protection locked="0"/>
    </xf>
    <xf numFmtId="0" fontId="86" fillId="0" borderId="0" xfId="16" applyFont="1" applyAlignment="1">
      <alignment horizontal="left"/>
    </xf>
    <xf numFmtId="0" fontId="65" fillId="0" borderId="0" xfId="0" applyFont="1" applyProtection="1">
      <alignment vertical="center"/>
      <protection locked="0"/>
    </xf>
    <xf numFmtId="0" fontId="39" fillId="0" borderId="0" xfId="0" applyFont="1" applyProtection="1">
      <alignment vertical="center"/>
      <protection locked="0"/>
    </xf>
    <xf numFmtId="0" fontId="32" fillId="0" borderId="0" xfId="0" applyFont="1" applyAlignment="1" applyProtection="1">
      <alignment horizontal="left" vertical="center"/>
      <protection locked="0"/>
    </xf>
    <xf numFmtId="49" fontId="87" fillId="2" borderId="96" xfId="0" applyNumberFormat="1" applyFont="1" applyFill="1" applyBorder="1" applyAlignment="1"/>
    <xf numFmtId="49" fontId="30" fillId="7"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Alignment="1">
      <alignment horizontal="center"/>
    </xf>
    <xf numFmtId="0" fontId="29" fillId="2" borderId="0" xfId="0" applyFont="1" applyFill="1" applyAlignment="1">
      <alignment horizontal="center"/>
    </xf>
    <xf numFmtId="178" fontId="30" fillId="2" borderId="96" xfId="0" applyNumberFormat="1" applyFont="1" applyFill="1" applyBorder="1" applyAlignment="1"/>
    <xf numFmtId="0" fontId="65" fillId="2" borderId="0" xfId="0" applyFont="1" applyFill="1" applyProtection="1">
      <alignment vertical="center"/>
      <protection locked="0"/>
    </xf>
    <xf numFmtId="0" fontId="40" fillId="2" borderId="1" xfId="0" applyFont="1" applyFill="1" applyBorder="1" applyAlignment="1">
      <alignment horizontal="right" vertical="center"/>
    </xf>
    <xf numFmtId="0" fontId="32" fillId="2" borderId="0" xfId="0" applyFont="1" applyFill="1">
      <alignment vertical="center"/>
    </xf>
    <xf numFmtId="0" fontId="31" fillId="2" borderId="0" xfId="0" applyFont="1" applyFill="1">
      <alignment vertical="center"/>
    </xf>
    <xf numFmtId="49" fontId="32" fillId="2" borderId="0" xfId="0" applyNumberFormat="1" applyFont="1" applyFill="1" applyAlignment="1"/>
    <xf numFmtId="49" fontId="31" fillId="2" borderId="0" xfId="0" applyNumberFormat="1" applyFont="1" applyFill="1" applyAlignment="1"/>
    <xf numFmtId="178" fontId="31" fillId="5"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3" xfId="14" applyFont="1" applyFill="1" applyBorder="1">
      <alignment vertical="center"/>
    </xf>
    <xf numFmtId="0" fontId="40" fillId="2" borderId="13" xfId="0" applyFont="1" applyFill="1" applyBorder="1" applyAlignment="1">
      <alignment horizontal="right" vertical="center"/>
    </xf>
    <xf numFmtId="49" fontId="30" fillId="2" borderId="0" xfId="0" applyNumberFormat="1" applyFont="1" applyFill="1" applyAlignment="1">
      <alignment horizontal="center"/>
    </xf>
    <xf numFmtId="49" fontId="38" fillId="2" borderId="7" xfId="0" applyNumberFormat="1" applyFont="1" applyFill="1" applyBorder="1" applyAlignment="1">
      <alignment horizontal="center" vertical="center"/>
    </xf>
    <xf numFmtId="0" fontId="38" fillId="2" borderId="8" xfId="0" applyFont="1" applyFill="1" applyBorder="1" applyAlignment="1">
      <alignment horizontal="center" vertical="center"/>
    </xf>
    <xf numFmtId="0" fontId="38" fillId="2" borderId="32" xfId="0" applyFont="1" applyFill="1" applyBorder="1" applyAlignment="1">
      <alignment horizontal="right" vertical="center"/>
    </xf>
    <xf numFmtId="0" fontId="38" fillId="2" borderId="39" xfId="0" applyFont="1" applyFill="1" applyBorder="1" applyAlignment="1">
      <alignment horizontal="center" vertical="center"/>
    </xf>
    <xf numFmtId="49" fontId="40" fillId="2" borderId="51" xfId="0" applyNumberFormat="1" applyFont="1" applyFill="1" applyBorder="1">
      <alignment vertical="center"/>
    </xf>
    <xf numFmtId="0" fontId="40" fillId="2" borderId="15" xfId="0" applyFont="1" applyFill="1" applyBorder="1" applyAlignment="1">
      <alignment vertical="center" wrapText="1"/>
    </xf>
    <xf numFmtId="0" fontId="38" fillId="2" borderId="64" xfId="0" applyFont="1" applyFill="1" applyBorder="1" applyAlignment="1">
      <alignment horizontal="center" vertical="center"/>
    </xf>
    <xf numFmtId="0" fontId="32" fillId="2" borderId="15" xfId="0" applyFont="1" applyFill="1" applyBorder="1">
      <alignment vertical="center"/>
    </xf>
    <xf numFmtId="0" fontId="38" fillId="2" borderId="34" xfId="0" applyFont="1" applyFill="1" applyBorder="1" applyAlignment="1">
      <alignment horizontal="right" vertical="center"/>
    </xf>
    <xf numFmtId="0" fontId="38" fillId="2" borderId="117" xfId="0" applyFont="1" applyFill="1" applyBorder="1" applyAlignment="1">
      <alignment horizontal="center" vertical="center"/>
    </xf>
    <xf numFmtId="49" fontId="38" fillId="2" borderId="51" xfId="0" applyNumberFormat="1" applyFont="1" applyFill="1" applyBorder="1" applyAlignment="1">
      <alignment horizontal="left" vertical="center"/>
    </xf>
    <xf numFmtId="0" fontId="40" fillId="2" borderId="114" xfId="0" applyFont="1" applyFill="1" applyBorder="1" applyAlignment="1">
      <alignment horizontal="center" vertical="center"/>
    </xf>
    <xf numFmtId="0" fontId="38" fillId="2" borderId="15" xfId="0" applyFont="1" applyFill="1" applyBorder="1">
      <alignment vertical="center"/>
    </xf>
    <xf numFmtId="0" fontId="38" fillId="2" borderId="1" xfId="0" applyFont="1" applyFill="1" applyBorder="1" applyAlignment="1">
      <alignment horizontal="left" vertical="center"/>
    </xf>
    <xf numFmtId="0" fontId="40" fillId="2" borderId="11" xfId="0" applyFont="1" applyFill="1" applyBorder="1" applyAlignment="1">
      <alignment horizontal="center" vertical="center"/>
    </xf>
    <xf numFmtId="49" fontId="38" fillId="2" borderId="119" xfId="0" applyNumberFormat="1" applyFont="1" applyFill="1" applyBorder="1" applyAlignment="1">
      <alignment horizontal="left" vertical="center"/>
    </xf>
    <xf numFmtId="0" fontId="40" fillId="2" borderId="0" xfId="0" applyFont="1" applyFill="1" applyAlignment="1">
      <alignment horizontal="center" vertical="center"/>
    </xf>
    <xf numFmtId="0" fontId="38" fillId="2" borderId="64" xfId="0" applyFont="1" applyFill="1" applyBorder="1">
      <alignment vertical="center"/>
    </xf>
    <xf numFmtId="0" fontId="38" fillId="2" borderId="4" xfId="0" applyFont="1" applyFill="1" applyBorder="1" applyAlignment="1">
      <alignment horizontal="left" vertical="center"/>
    </xf>
    <xf numFmtId="49" fontId="40" fillId="2" borderId="27" xfId="0" applyNumberFormat="1" applyFont="1" applyFill="1" applyBorder="1">
      <alignment vertical="center"/>
    </xf>
    <xf numFmtId="0" fontId="40" fillId="2" borderId="64" xfId="0" applyFont="1" applyFill="1" applyBorder="1" applyAlignment="1">
      <alignment horizontal="center" vertical="center"/>
    </xf>
    <xf numFmtId="181" fontId="40" fillId="2" borderId="11" xfId="0" applyNumberFormat="1" applyFont="1" applyFill="1" applyBorder="1" applyAlignment="1">
      <alignment horizontal="center" vertical="center"/>
    </xf>
    <xf numFmtId="0" fontId="38" fillId="2" borderId="114" xfId="0" applyFont="1" applyFill="1" applyBorder="1" applyAlignment="1">
      <alignment vertical="center" wrapText="1"/>
    </xf>
    <xf numFmtId="0" fontId="38" fillId="2" borderId="114" xfId="0" applyFont="1" applyFill="1" applyBorder="1">
      <alignment vertical="center"/>
    </xf>
    <xf numFmtId="0" fontId="38" fillId="2" borderId="15" xfId="0" applyFont="1" applyFill="1" applyBorder="1" applyAlignment="1">
      <alignment horizontal="left" vertical="center"/>
    </xf>
    <xf numFmtId="181"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lignment vertical="center"/>
    </xf>
    <xf numFmtId="0" fontId="91" fillId="2" borderId="1" xfId="0" applyFont="1" applyFill="1" applyBorder="1" applyAlignment="1">
      <alignment horizontal="right" vertical="center" wrapText="1"/>
    </xf>
    <xf numFmtId="0" fontId="40" fillId="2" borderId="1" xfId="0" applyFont="1" applyFill="1" applyBorder="1" applyAlignment="1" applyProtection="1">
      <alignment horizontal="center" vertical="center"/>
      <protection locked="0"/>
    </xf>
    <xf numFmtId="181" fontId="40" fillId="2" borderId="40" xfId="0" applyNumberFormat="1" applyFont="1" applyFill="1" applyBorder="1" applyAlignment="1">
      <alignment horizontal="center" vertical="center"/>
    </xf>
    <xf numFmtId="49" fontId="40" fillId="2" borderId="120" xfId="0" applyNumberFormat="1" applyFont="1" applyFill="1" applyBorder="1">
      <alignment vertical="center"/>
    </xf>
    <xf numFmtId="49" fontId="38" fillId="2" borderId="138" xfId="0" applyNumberFormat="1" applyFont="1" applyFill="1" applyBorder="1">
      <alignment vertical="center"/>
    </xf>
    <xf numFmtId="0" fontId="38" fillId="2" borderId="134" xfId="0" applyFont="1" applyFill="1" applyBorder="1" applyAlignment="1">
      <alignment vertical="center" wrapText="1"/>
    </xf>
    <xf numFmtId="0" fontId="40" fillId="0" borderId="6" xfId="0" applyFont="1" applyBorder="1" applyAlignment="1" applyProtection="1">
      <alignment horizontal="center" vertical="center"/>
      <protection locked="0"/>
    </xf>
    <xf numFmtId="0" fontId="38" fillId="2" borderId="6" xfId="0" applyFont="1" applyFill="1" applyBorder="1">
      <alignment vertical="center"/>
    </xf>
    <xf numFmtId="0" fontId="38" fillId="2" borderId="6" xfId="0" applyFont="1" applyFill="1" applyBorder="1" applyAlignment="1">
      <alignment horizontal="left" vertical="center"/>
    </xf>
    <xf numFmtId="181" fontId="40" fillId="2" borderId="124" xfId="0" applyNumberFormat="1" applyFont="1" applyFill="1" applyBorder="1" applyAlignment="1">
      <alignment horizontal="center" vertical="center"/>
    </xf>
    <xf numFmtId="49" fontId="40" fillId="2" borderId="58" xfId="0" applyNumberFormat="1" applyFont="1" applyFill="1" applyBorder="1" applyAlignment="1">
      <alignment horizontal="left" vertical="center"/>
    </xf>
    <xf numFmtId="0" fontId="40" fillId="2" borderId="16" xfId="0" applyFont="1" applyFill="1" applyBorder="1" applyAlignment="1">
      <alignment horizontal="left" vertical="center"/>
    </xf>
    <xf numFmtId="0" fontId="40" fillId="2" borderId="16" xfId="0" applyFont="1" applyFill="1" applyBorder="1" applyAlignment="1">
      <alignment horizontal="center" vertical="center"/>
    </xf>
    <xf numFmtId="0" fontId="38" fillId="2" borderId="64" xfId="0" applyFont="1" applyFill="1" applyBorder="1" applyAlignment="1">
      <alignment horizontal="left" vertical="center"/>
    </xf>
    <xf numFmtId="181" fontId="38" fillId="2" borderId="43" xfId="0" applyNumberFormat="1" applyFont="1" applyFill="1" applyBorder="1" applyAlignment="1">
      <alignment horizontal="center" vertical="center"/>
    </xf>
    <xf numFmtId="49" fontId="38" fillId="2" borderId="10" xfId="0" applyNumberFormat="1" applyFont="1" applyFill="1" applyBorder="1" applyAlignment="1">
      <alignment horizontal="left" vertical="center"/>
    </xf>
    <xf numFmtId="0" fontId="7"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0" fontId="38" fillId="2" borderId="3" xfId="0" applyFont="1" applyFill="1" applyBorder="1" applyAlignment="1">
      <alignment horizontal="left" vertical="center" wrapText="1"/>
    </xf>
    <xf numFmtId="179" fontId="40" fillId="2" borderId="42"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28" xfId="0" applyNumberFormat="1" applyFont="1" applyFill="1" applyBorder="1" applyAlignment="1">
      <alignment horizontal="center" vertical="center"/>
    </xf>
    <xf numFmtId="0" fontId="39" fillId="5" borderId="0" xfId="0" applyFont="1" applyFill="1" applyProtection="1">
      <alignment vertical="center"/>
      <protection locked="0"/>
    </xf>
    <xf numFmtId="49" fontId="38" fillId="2" borderId="138" xfId="0" applyNumberFormat="1" applyFont="1" applyFill="1" applyBorder="1" applyAlignment="1">
      <alignment horizontal="left" vertical="center"/>
    </xf>
    <xf numFmtId="181" fontId="38" fillId="2" borderId="11" xfId="0" applyNumberFormat="1" applyFont="1" applyFill="1" applyBorder="1" applyAlignment="1">
      <alignment horizontal="center" vertical="center"/>
    </xf>
    <xf numFmtId="0" fontId="38" fillId="2" borderId="42" xfId="0" applyFont="1" applyFill="1" applyBorder="1" applyAlignment="1">
      <alignment horizontal="center" vertical="center"/>
    </xf>
    <xf numFmtId="0" fontId="38" fillId="2" borderId="2" xfId="0" applyFont="1" applyFill="1" applyBorder="1">
      <alignment vertical="center"/>
    </xf>
    <xf numFmtId="0" fontId="38" fillId="2" borderId="1" xfId="0" applyFont="1" applyFill="1" applyBorder="1" applyAlignment="1">
      <alignment vertical="center" wrapText="1"/>
    </xf>
    <xf numFmtId="49" fontId="38" fillId="2" borderId="58" xfId="0" applyNumberFormat="1" applyFont="1" applyFill="1" applyBorder="1">
      <alignment vertical="center"/>
    </xf>
    <xf numFmtId="0" fontId="38" fillId="2" borderId="11" xfId="0" applyFont="1" applyFill="1" applyBorder="1" applyAlignment="1">
      <alignment horizontal="center" vertical="center"/>
    </xf>
    <xf numFmtId="10" fontId="38" fillId="2" borderId="11" xfId="0" applyNumberFormat="1" applyFont="1" applyFill="1" applyBorder="1" applyAlignment="1">
      <alignment horizontal="center" vertical="center"/>
    </xf>
    <xf numFmtId="0" fontId="38" fillId="2" borderId="6" xfId="0" applyFont="1" applyFill="1" applyBorder="1" applyAlignment="1">
      <alignment horizontal="center" vertical="center"/>
    </xf>
    <xf numFmtId="0" fontId="38" fillId="2" borderId="6" xfId="0" applyFont="1" applyFill="1" applyBorder="1" applyAlignment="1">
      <alignment horizontal="left" vertical="center" wrapText="1"/>
    </xf>
    <xf numFmtId="181" fontId="38" fillId="2" borderId="124" xfId="0" applyNumberFormat="1" applyFont="1" applyFill="1" applyBorder="1" applyAlignment="1">
      <alignment horizontal="center" vertical="center"/>
    </xf>
    <xf numFmtId="49" fontId="40" fillId="2" borderId="12" xfId="0" applyNumberFormat="1" applyFont="1" applyFill="1" applyBorder="1" applyAlignment="1">
      <alignment horizontal="left" vertical="center"/>
    </xf>
    <xf numFmtId="0" fontId="38" fillId="2" borderId="34" xfId="0" applyFont="1" applyFill="1" applyBorder="1" applyAlignment="1">
      <alignment horizontal="left" vertical="center"/>
    </xf>
    <xf numFmtId="0" fontId="38" fillId="2" borderId="96"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38" fillId="13" borderId="1" xfId="0" applyFont="1" applyFill="1" applyBorder="1" applyAlignment="1">
      <alignment horizontal="center" vertical="center"/>
    </xf>
    <xf numFmtId="0" fontId="38" fillId="2" borderId="1" xfId="0" applyFont="1" applyFill="1" applyBorder="1" applyAlignment="1">
      <alignment horizontal="left" vertical="center" wrapText="1"/>
    </xf>
    <xf numFmtId="181" fontId="38" fillId="13" borderId="42" xfId="0" applyNumberFormat="1" applyFont="1" applyFill="1" applyBorder="1" applyAlignment="1">
      <alignment horizontal="center" vertical="center" wrapText="1"/>
    </xf>
    <xf numFmtId="49" fontId="60" fillId="2" borderId="0" xfId="0" applyNumberFormat="1" applyFont="1" applyFill="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8" fillId="2" borderId="15" xfId="0" applyFont="1" applyFill="1" applyBorder="1" applyAlignment="1">
      <alignment horizontal="center" vertical="center"/>
    </xf>
    <xf numFmtId="0" fontId="38" fillId="2" borderId="15" xfId="0" applyFont="1" applyFill="1" applyBorder="1" applyAlignment="1">
      <alignment horizontal="left" vertical="center" wrapText="1"/>
    </xf>
    <xf numFmtId="49" fontId="38" fillId="2" borderId="112" xfId="0" applyNumberFormat="1" applyFont="1" applyFill="1" applyBorder="1">
      <alignment vertical="center"/>
    </xf>
    <xf numFmtId="0" fontId="38" fillId="2" borderId="112"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58" xfId="0" applyNumberFormat="1" applyFont="1" applyFill="1" applyBorder="1" applyAlignment="1">
      <alignment horizontal="left" vertical="center"/>
    </xf>
    <xf numFmtId="10" fontId="40" fillId="2" borderId="11" xfId="0" applyNumberFormat="1" applyFont="1" applyFill="1" applyBorder="1" applyAlignment="1">
      <alignment horizontal="center" vertical="center"/>
    </xf>
    <xf numFmtId="194" fontId="40" fillId="2" borderId="11" xfId="0" applyNumberFormat="1" applyFont="1" applyFill="1" applyBorder="1" applyAlignment="1">
      <alignment horizontal="center" vertical="center"/>
    </xf>
    <xf numFmtId="0" fontId="40" fillId="2" borderId="16" xfId="0" applyFont="1" applyFill="1" applyBorder="1" applyAlignment="1">
      <alignment horizontal="left" vertical="center" wrapText="1"/>
    </xf>
    <xf numFmtId="0" fontId="38" fillId="2" borderId="34" xfId="0" applyFont="1" applyFill="1" applyBorder="1" applyAlignment="1">
      <alignment horizontal="left" vertical="center" wrapText="1"/>
    </xf>
    <xf numFmtId="0" fontId="38" fillId="2" borderId="96" xfId="0" applyFont="1" applyFill="1" applyBorder="1" applyAlignment="1">
      <alignment horizontal="center" vertical="center" wrapText="1"/>
    </xf>
    <xf numFmtId="0" fontId="38" fillId="2" borderId="117" xfId="0" applyFont="1" applyFill="1" applyBorder="1" applyAlignment="1">
      <alignment horizontal="center" vertical="center" wrapText="1"/>
    </xf>
    <xf numFmtId="0" fontId="40" fillId="2" borderId="15" xfId="0" applyFont="1" applyFill="1" applyBorder="1" applyAlignment="1">
      <alignment horizontal="center" vertical="center"/>
    </xf>
    <xf numFmtId="0" fontId="32" fillId="2" borderId="0" xfId="0" applyFont="1" applyFill="1" applyProtection="1">
      <alignment vertical="center"/>
      <protection locked="0"/>
    </xf>
    <xf numFmtId="0" fontId="40" fillId="2" borderId="64" xfId="0" applyFont="1" applyFill="1" applyBorder="1" applyAlignment="1">
      <alignment vertical="center" wrapText="1"/>
    </xf>
    <xf numFmtId="0" fontId="38" fillId="2" borderId="64" xfId="0" applyFont="1" applyFill="1" applyBorder="1" applyAlignment="1">
      <alignment horizontal="left" vertical="center" wrapText="1"/>
    </xf>
    <xf numFmtId="179" fontId="40" fillId="2" borderId="11" xfId="0" applyNumberFormat="1" applyFont="1" applyFill="1" applyBorder="1" applyAlignment="1">
      <alignment horizontal="center" vertical="center"/>
    </xf>
    <xf numFmtId="0" fontId="40" fillId="2" borderId="16" xfId="0" applyFont="1" applyFill="1" applyBorder="1" applyAlignment="1">
      <alignment vertical="center" wrapText="1"/>
    </xf>
    <xf numFmtId="0" fontId="40" fillId="2" borderId="13" xfId="0" applyFont="1" applyFill="1" applyBorder="1" applyAlignment="1">
      <alignment horizontal="left" vertical="center"/>
    </xf>
    <xf numFmtId="0" fontId="40" fillId="2" borderId="13" xfId="0" applyFont="1" applyFill="1" applyBorder="1" applyAlignment="1">
      <alignment horizontal="center" vertical="center"/>
    </xf>
    <xf numFmtId="0" fontId="38" fillId="2" borderId="13" xfId="0" applyFont="1" applyFill="1" applyBorder="1">
      <alignment vertical="center"/>
    </xf>
    <xf numFmtId="0" fontId="38" fillId="2" borderId="13" xfId="0" applyFont="1" applyFill="1" applyBorder="1" applyAlignment="1">
      <alignment horizontal="left" vertical="center"/>
    </xf>
    <xf numFmtId="179" fontId="40" fillId="2" borderId="14" xfId="0" applyNumberFormat="1" applyFont="1" applyFill="1" applyBorder="1" applyAlignment="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2" borderId="0" xfId="0" applyFont="1" applyFill="1" applyAlignment="1"/>
    <xf numFmtId="0" fontId="38" fillId="2" borderId="0" xfId="0" applyFont="1" applyFill="1" applyAlignment="1" applyProtection="1">
      <protection locked="0"/>
    </xf>
    <xf numFmtId="0" fontId="60" fillId="5" borderId="0" xfId="0" applyFont="1" applyFill="1" applyAlignment="1" applyProtection="1">
      <protection locked="0"/>
    </xf>
    <xf numFmtId="0" fontId="32" fillId="2" borderId="49" xfId="0" applyFont="1" applyFill="1" applyBorder="1" applyAlignment="1">
      <alignment horizontal="center" vertical="center"/>
    </xf>
    <xf numFmtId="0" fontId="38" fillId="2" borderId="29" xfId="0" applyFont="1" applyFill="1" applyBorder="1" applyAlignment="1"/>
    <xf numFmtId="49" fontId="38" fillId="2" borderId="7" xfId="0" applyNumberFormat="1" applyFont="1" applyFill="1" applyBorder="1" applyAlignment="1" applyProtection="1">
      <alignment horizontal="center" vertical="center"/>
      <protection locked="0"/>
    </xf>
    <xf numFmtId="0" fontId="38" fillId="2" borderId="35" xfId="0" applyFont="1" applyFill="1" applyBorder="1" applyAlignment="1" applyProtection="1">
      <alignment horizontal="center" vertical="center"/>
      <protection locked="0"/>
    </xf>
    <xf numFmtId="0" fontId="38" fillId="2" borderId="17" xfId="0" applyFont="1" applyFill="1" applyBorder="1" applyAlignment="1" applyProtection="1">
      <alignment horizontal="right" vertical="center"/>
      <protection locked="0"/>
    </xf>
    <xf numFmtId="179" fontId="32" fillId="5" borderId="0" xfId="0" applyNumberFormat="1" applyFont="1" applyFill="1" applyAlignment="1" applyProtection="1">
      <alignment horizontal="center" vertical="center"/>
      <protection locked="0"/>
    </xf>
    <xf numFmtId="49" fontId="38" fillId="2" borderId="30"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protection locked="0"/>
    </xf>
    <xf numFmtId="0" fontId="38" fillId="2" borderId="42" xfId="0" applyFont="1" applyFill="1" applyBorder="1" applyAlignment="1" applyProtection="1">
      <alignment horizontal="center" vertical="center"/>
      <protection locked="0"/>
    </xf>
    <xf numFmtId="49" fontId="31" fillId="5" borderId="0" xfId="0" applyNumberFormat="1" applyFont="1" applyFill="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lignment horizontal="center" vertical="center"/>
    </xf>
    <xf numFmtId="0" fontId="38" fillId="2" borderId="48" xfId="0" applyFont="1" applyFill="1" applyBorder="1" applyProtection="1">
      <alignment vertical="center"/>
      <protection locked="0"/>
    </xf>
    <xf numFmtId="0" fontId="38" fillId="2"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0" fontId="38" fillId="2" borderId="64" xfId="0" applyFont="1" applyFill="1" applyBorder="1" applyProtection="1">
      <alignment vertical="center"/>
      <protection locked="0"/>
    </xf>
    <xf numFmtId="0" fontId="38" fillId="2" borderId="112" xfId="0" applyFont="1" applyFill="1" applyBorder="1" applyAlignment="1" applyProtection="1">
      <alignment horizontal="left" vertical="center"/>
      <protection locked="0"/>
    </xf>
    <xf numFmtId="0" fontId="40" fillId="2" borderId="28" xfId="0" applyFont="1" applyFill="1" applyBorder="1" applyAlignment="1">
      <alignment horizontal="center" vertical="center"/>
    </xf>
    <xf numFmtId="49" fontId="40" fillId="2" borderId="30"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protection locked="0"/>
    </xf>
    <xf numFmtId="181" fontId="40" fillId="0" borderId="11" xfId="0" applyNumberFormat="1" applyFont="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91" fillId="2" borderId="4" xfId="0" applyFont="1" applyFill="1" applyBorder="1" applyAlignment="1">
      <alignment horizontal="right" vertical="center" wrapText="1"/>
    </xf>
    <xf numFmtId="0" fontId="38" fillId="2" borderId="95" xfId="0" applyFont="1" applyFill="1" applyBorder="1" applyAlignment="1">
      <alignment horizontal="left" vertical="center"/>
    </xf>
    <xf numFmtId="0" fontId="32" fillId="2" borderId="42" xfId="0" applyFont="1" applyFill="1" applyBorder="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2" fillId="2" borderId="1" xfId="0" applyFont="1" applyFill="1" applyBorder="1" applyProtection="1">
      <alignment vertical="center"/>
      <protection locked="0"/>
    </xf>
    <xf numFmtId="0" fontId="32" fillId="2" borderId="3" xfId="0" applyFont="1" applyFill="1" applyBorder="1" applyProtection="1">
      <alignment vertical="center"/>
      <protection locked="0"/>
    </xf>
    <xf numFmtId="0" fontId="32" fillId="2" borderId="30" xfId="0" applyFont="1" applyFill="1" applyBorder="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4" xfId="0" applyFont="1" applyFill="1" applyBorder="1" applyProtection="1">
      <alignment vertical="center"/>
      <protection locked="0"/>
    </xf>
    <xf numFmtId="0" fontId="32" fillId="2" borderId="96" xfId="0" applyFont="1" applyFill="1" applyBorder="1" applyProtection="1">
      <alignment vertical="center"/>
      <protection locked="0"/>
    </xf>
    <xf numFmtId="0" fontId="32" fillId="2" borderId="117" xfId="0" applyFont="1" applyFill="1" applyBorder="1" applyProtection="1">
      <alignment vertical="center"/>
      <protection locked="0"/>
    </xf>
    <xf numFmtId="49" fontId="40" fillId="2" borderId="10" xfId="0" applyNumberFormat="1" applyFont="1" applyFill="1" applyBorder="1" applyAlignment="1">
      <alignment horizontal="left" vertical="center"/>
    </xf>
    <xf numFmtId="0" fontId="38" fillId="2" borderId="2" xfId="0" applyFont="1" applyFill="1" applyBorder="1" applyAlignment="1" applyProtection="1">
      <alignment horizontal="left" vertical="center"/>
      <protection locked="0"/>
    </xf>
    <xf numFmtId="0" fontId="38" fillId="2" borderId="3" xfId="0" applyFont="1" applyFill="1" applyBorder="1" applyAlignment="1" applyProtection="1">
      <alignment horizontal="center" vertical="center"/>
      <protection locked="0"/>
    </xf>
    <xf numFmtId="0" fontId="38" fillId="2" borderId="2"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5" xfId="0" applyFont="1" applyFill="1" applyBorder="1" applyProtection="1">
      <alignment vertical="center"/>
      <protection locked="0"/>
    </xf>
    <xf numFmtId="0" fontId="38" fillId="2" borderId="15"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5" fillId="5"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92" fillId="2" borderId="15" xfId="0" applyFont="1" applyFill="1" applyBorder="1">
      <alignment vertical="center"/>
    </xf>
    <xf numFmtId="0" fontId="92" fillId="2" borderId="114" xfId="0" applyFont="1" applyFill="1" applyBorder="1">
      <alignment vertical="center"/>
    </xf>
    <xf numFmtId="0" fontId="38" fillId="2" borderId="0" xfId="0" applyFont="1" applyFill="1">
      <alignment vertical="center"/>
    </xf>
    <xf numFmtId="181" fontId="40" fillId="2" borderId="69" xfId="0" applyNumberFormat="1" applyFont="1" applyFill="1" applyBorder="1" applyAlignment="1">
      <alignment horizontal="center" vertical="center"/>
    </xf>
    <xf numFmtId="0" fontId="38" fillId="2" borderId="126" xfId="0" applyFont="1" applyFill="1" applyBorder="1">
      <alignment vertical="center"/>
    </xf>
    <xf numFmtId="181" fontId="40" fillId="2" borderId="6" xfId="0" applyNumberFormat="1" applyFont="1" applyFill="1" applyBorder="1" applyAlignment="1">
      <alignment horizontal="center" vertical="center"/>
    </xf>
    <xf numFmtId="0" fontId="40" fillId="2" borderId="34" xfId="0" applyFont="1" applyFill="1" applyBorder="1" applyAlignment="1">
      <alignment horizontal="center" vertical="center"/>
    </xf>
    <xf numFmtId="0" fontId="38" fillId="2" borderId="96" xfId="0" applyFont="1" applyFill="1" applyBorder="1">
      <alignment vertical="center"/>
    </xf>
    <xf numFmtId="0" fontId="38" fillId="2" borderId="117" xfId="0" applyFont="1" applyFill="1" applyBorder="1">
      <alignment vertical="center"/>
    </xf>
    <xf numFmtId="0" fontId="38" fillId="2" borderId="2" xfId="0" applyFont="1" applyFill="1" applyBorder="1" applyAlignment="1">
      <alignment horizontal="left" vertical="center"/>
    </xf>
    <xf numFmtId="0" fontId="38" fillId="2" borderId="3" xfId="0" applyFont="1" applyFill="1" applyBorder="1">
      <alignment vertical="center"/>
    </xf>
    <xf numFmtId="0" fontId="38" fillId="2" borderId="42" xfId="0" applyFont="1" applyFill="1" applyBorder="1">
      <alignment vertical="center"/>
    </xf>
    <xf numFmtId="0" fontId="38" fillId="2" borderId="126" xfId="0" applyFont="1" applyFill="1" applyBorder="1" applyAlignment="1">
      <alignment horizontal="left" vertical="center"/>
    </xf>
    <xf numFmtId="0" fontId="38" fillId="2" borderId="127" xfId="0" applyFont="1" applyFill="1" applyBorder="1">
      <alignment vertical="center"/>
    </xf>
    <xf numFmtId="0" fontId="38" fillId="2" borderId="139" xfId="0" applyFont="1" applyFill="1" applyBorder="1">
      <alignment vertical="center"/>
    </xf>
    <xf numFmtId="0" fontId="38" fillId="2" borderId="16" xfId="0" applyFont="1" applyFill="1" applyBorder="1">
      <alignment vertical="center"/>
    </xf>
    <xf numFmtId="0" fontId="31" fillId="2" borderId="0" xfId="0" applyFont="1" applyFill="1" applyAlignment="1" applyProtection="1">
      <alignment horizontal="left" vertical="center"/>
      <protection locked="0"/>
    </xf>
    <xf numFmtId="0" fontId="37" fillId="2" borderId="0" xfId="0" applyFont="1" applyFill="1" applyAlignment="1" applyProtection="1">
      <alignment horizontal="center" vertical="center"/>
      <protection locked="0"/>
    </xf>
    <xf numFmtId="0" fontId="32" fillId="2" borderId="0" xfId="0" applyFont="1" applyFill="1" applyAlignment="1" applyProtection="1">
      <alignment horizontal="left" vertical="center"/>
      <protection locked="0"/>
    </xf>
    <xf numFmtId="179" fontId="3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2" borderId="0" xfId="0" applyFont="1" applyFill="1">
      <alignment vertical="center"/>
    </xf>
    <xf numFmtId="0" fontId="60" fillId="5" borderId="118" xfId="0" applyFont="1" applyFill="1" applyBorder="1" applyProtection="1">
      <alignment vertical="center"/>
      <protection locked="0"/>
    </xf>
    <xf numFmtId="0" fontId="32" fillId="5" borderId="25" xfId="0" applyFont="1" applyFill="1" applyBorder="1" applyProtection="1">
      <alignment vertical="center"/>
      <protection locked="0"/>
    </xf>
    <xf numFmtId="0" fontId="32" fillId="5" borderId="116" xfId="0" applyFont="1" applyFill="1" applyBorder="1" applyAlignment="1" applyProtection="1">
      <alignment horizontal="left" vertical="center"/>
      <protection locked="0"/>
    </xf>
    <xf numFmtId="0" fontId="43" fillId="2" borderId="140" xfId="0" applyFont="1" applyFill="1" applyBorder="1" applyAlignment="1">
      <alignment horizontal="center" vertical="center"/>
    </xf>
    <xf numFmtId="0" fontId="7" fillId="2" borderId="140" xfId="0" applyFont="1" applyFill="1" applyBorder="1" applyAlignment="1">
      <alignment vertical="center" wrapText="1"/>
    </xf>
    <xf numFmtId="0" fontId="7" fillId="2" borderId="116" xfId="0" applyFont="1" applyFill="1" applyBorder="1">
      <alignment vertical="center"/>
    </xf>
    <xf numFmtId="0" fontId="32" fillId="2" borderId="7" xfId="0" applyFont="1" applyFill="1" applyBorder="1">
      <alignment vertical="center"/>
    </xf>
    <xf numFmtId="0" fontId="32" fillId="3" borderId="9" xfId="0" applyFont="1" applyFill="1" applyBorder="1" applyAlignment="1" applyProtection="1">
      <alignment horizontal="center" vertical="center"/>
      <protection locked="0"/>
    </xf>
    <xf numFmtId="0" fontId="32" fillId="2" borderId="7" xfId="0" applyFont="1" applyFill="1" applyBorder="1" applyAlignment="1" applyProtection="1">
      <alignment horizontal="left" vertical="center"/>
      <protection locked="0"/>
    </xf>
    <xf numFmtId="0" fontId="32" fillId="2" borderId="9" xfId="0" applyFont="1" applyFill="1" applyBorder="1" applyAlignment="1">
      <alignment horizontal="center" vertical="center"/>
    </xf>
    <xf numFmtId="0" fontId="32" fillId="2" borderId="0" xfId="0" applyFont="1" applyFill="1" applyAlignment="1">
      <alignment horizontal="center" vertical="center"/>
    </xf>
    <xf numFmtId="0" fontId="7" fillId="2" borderId="131" xfId="0" applyFont="1" applyFill="1" applyBorder="1" applyAlignment="1">
      <alignment vertical="center" wrapText="1"/>
    </xf>
    <xf numFmtId="0" fontId="7" fillId="2" borderId="22" xfId="0" applyFont="1" applyFill="1" applyBorder="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2" fillId="2" borderId="11" xfId="0" applyFont="1" applyFill="1" applyBorder="1" applyAlignment="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7" fillId="2" borderId="131" xfId="0" applyFont="1" applyFill="1" applyBorder="1" applyAlignment="1">
      <alignment horizontal="right" vertical="center" wrapText="1"/>
    </xf>
    <xf numFmtId="0" fontId="7" fillId="2" borderId="11" xfId="0" applyFont="1" applyFill="1" applyBorder="1" applyAlignment="1">
      <alignment horizontal="center"/>
    </xf>
    <xf numFmtId="0" fontId="32" fillId="5" borderId="119" xfId="0" applyFont="1" applyFill="1" applyBorder="1" applyAlignment="1" applyProtection="1">
      <alignment vertical="center" wrapText="1"/>
      <protection locked="0"/>
    </xf>
    <xf numFmtId="49" fontId="32" fillId="2" borderId="10" xfId="0" applyNumberFormat="1" applyFont="1" applyFill="1" applyBorder="1" applyAlignment="1">
      <alignment horizontal="left" vertical="center"/>
    </xf>
    <xf numFmtId="0" fontId="32" fillId="2" borderId="10" xfId="0" applyFont="1" applyFill="1" applyBorder="1" applyProtection="1">
      <alignment vertical="center"/>
      <protection locked="0"/>
    </xf>
    <xf numFmtId="193" fontId="32" fillId="2" borderId="11" xfId="0" applyNumberFormat="1" applyFont="1" applyFill="1" applyBorder="1" applyAlignment="1">
      <alignment horizontal="center" vertical="center"/>
    </xf>
    <xf numFmtId="0" fontId="32" fillId="5" borderId="112" xfId="0" applyFont="1" applyFill="1" applyBorder="1" applyAlignment="1" applyProtection="1">
      <alignment vertical="center" wrapText="1"/>
      <protection locked="0"/>
    </xf>
    <xf numFmtId="0" fontId="32" fillId="2" borderId="12" xfId="0" applyFont="1" applyFill="1" applyBorder="1">
      <alignment vertical="center"/>
    </xf>
    <xf numFmtId="10" fontId="32" fillId="0" borderId="14" xfId="0" applyNumberFormat="1" applyFont="1" applyBorder="1" applyAlignment="1" applyProtection="1">
      <alignment horizontal="center" vertical="center"/>
      <protection locked="0"/>
    </xf>
    <xf numFmtId="0" fontId="32" fillId="2" borderId="19" xfId="0" applyFont="1" applyFill="1" applyBorder="1" applyAlignment="1">
      <alignment vertical="center" wrapText="1"/>
    </xf>
    <xf numFmtId="0" fontId="32" fillId="2" borderId="24" xfId="0" applyFont="1" applyFill="1" applyBorder="1" applyAlignment="1">
      <alignment horizontal="center" vertical="center"/>
    </xf>
    <xf numFmtId="0" fontId="45" fillId="2" borderId="0" xfId="0" applyFont="1" applyFill="1" applyProtection="1">
      <alignment vertical="center"/>
      <protection locked="0"/>
    </xf>
    <xf numFmtId="0" fontId="45" fillId="2" borderId="21" xfId="0" applyFont="1" applyFill="1" applyBorder="1" applyAlignment="1">
      <alignment vertical="center" wrapText="1"/>
    </xf>
    <xf numFmtId="0" fontId="31" fillId="2" borderId="37" xfId="0" applyFont="1" applyFill="1" applyBorder="1" applyAlignment="1">
      <alignment horizontal="left" vertical="center" wrapText="1"/>
    </xf>
    <xf numFmtId="181" fontId="32" fillId="2" borderId="8" xfId="0" applyNumberFormat="1" applyFont="1" applyFill="1" applyBorder="1" applyAlignment="1">
      <alignment horizontal="center" vertical="center"/>
    </xf>
    <xf numFmtId="0" fontId="31" fillId="2" borderId="49" xfId="0" applyFont="1" applyFill="1" applyBorder="1" applyAlignment="1">
      <alignment horizontal="center" vertical="center"/>
    </xf>
    <xf numFmtId="0" fontId="32" fillId="3" borderId="39" xfId="0" applyFont="1" applyFill="1" applyBorder="1" applyAlignment="1" applyProtection="1">
      <alignment horizontal="center" vertical="center"/>
      <protection locked="0"/>
    </xf>
    <xf numFmtId="0" fontId="32" fillId="2" borderId="58" xfId="0" applyFont="1" applyFill="1" applyBorder="1" applyAlignment="1">
      <alignment vertical="center" wrapText="1"/>
    </xf>
    <xf numFmtId="0" fontId="32" fillId="3" borderId="0" xfId="0" applyFont="1" applyFill="1" applyAlignment="1" applyProtection="1">
      <alignment horizontal="center" vertical="center"/>
      <protection locked="0"/>
    </xf>
    <xf numFmtId="0" fontId="32" fillId="2" borderId="10" xfId="0" applyFont="1" applyFill="1" applyBorder="1" applyAlignment="1">
      <alignment vertical="center" wrapText="1"/>
    </xf>
    <xf numFmtId="0" fontId="32" fillId="2" borderId="2" xfId="0" applyFont="1" applyFill="1" applyBorder="1" applyAlignment="1">
      <alignment horizontal="center" vertical="center"/>
    </xf>
    <xf numFmtId="181" fontId="32" fillId="2" borderId="2" xfId="0" applyNumberFormat="1" applyFont="1" applyFill="1" applyBorder="1" applyAlignment="1">
      <alignment horizontal="center" vertical="center"/>
    </xf>
    <xf numFmtId="49" fontId="31" fillId="2" borderId="12" xfId="0" applyNumberFormat="1" applyFont="1" applyFill="1" applyBorder="1" applyAlignment="1">
      <alignment horizontal="left" vertical="center"/>
    </xf>
    <xf numFmtId="0" fontId="32" fillId="2" borderId="14" xfId="0" applyFont="1" applyFill="1" applyBorder="1" applyAlignment="1">
      <alignment horizontal="center" vertical="center"/>
    </xf>
    <xf numFmtId="0" fontId="31" fillId="2" borderId="12" xfId="0" applyFont="1" applyFill="1" applyBorder="1" applyAlignment="1">
      <alignment horizontal="center" vertical="center"/>
    </xf>
    <xf numFmtId="0" fontId="32" fillId="2" borderId="1" xfId="0" applyFont="1" applyFill="1" applyBorder="1" applyAlignment="1"/>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7" fillId="2" borderId="116" xfId="0" applyFont="1" applyFill="1" applyBorder="1" applyAlignment="1">
      <alignment vertical="center" wrapText="1"/>
    </xf>
    <xf numFmtId="0" fontId="7" fillId="2" borderId="22" xfId="0" applyFont="1" applyFill="1" applyBorder="1" applyAlignment="1">
      <alignment vertical="center" wrapText="1"/>
    </xf>
    <xf numFmtId="10" fontId="7" fillId="2" borderId="22" xfId="0" applyNumberFormat="1" applyFont="1" applyFill="1" applyBorder="1" applyAlignment="1">
      <alignment vertical="center" wrapText="1"/>
    </xf>
    <xf numFmtId="0" fontId="40" fillId="2" borderId="1" xfId="0" applyFont="1" applyFill="1" applyBorder="1" applyAlignment="1" applyProtection="1">
      <alignment horizontal="left" vertical="center" wrapText="1"/>
      <protection locked="0"/>
    </xf>
    <xf numFmtId="0" fontId="38" fillId="2" borderId="3" xfId="0" applyFont="1" applyFill="1" applyBorder="1" applyAlignment="1" applyProtection="1">
      <alignment horizontal="center" vertical="center" wrapText="1"/>
      <protection locked="0"/>
    </xf>
    <xf numFmtId="0" fontId="38" fillId="2" borderId="42" xfId="0" applyFont="1" applyFill="1" applyBorder="1" applyAlignment="1" applyProtection="1">
      <alignment horizontal="center" vertical="center" wrapText="1"/>
      <protection locked="0"/>
    </xf>
    <xf numFmtId="49" fontId="40" fillId="2" borderId="51" xfId="0" applyNumberFormat="1" applyFont="1" applyFill="1" applyBorder="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Protection="1">
      <alignment vertical="center"/>
      <protection locked="0"/>
    </xf>
    <xf numFmtId="0" fontId="40" fillId="2" borderId="64" xfId="0" applyFont="1" applyFill="1" applyBorder="1" applyAlignment="1" applyProtection="1">
      <alignment vertical="center" wrapText="1"/>
      <protection locked="0"/>
    </xf>
    <xf numFmtId="0" fontId="38" fillId="2" borderId="64" xfId="0" applyFont="1" applyFill="1" applyBorder="1" applyAlignment="1" applyProtection="1">
      <alignment horizontal="left" vertical="center" wrapText="1"/>
      <protection locked="0"/>
    </xf>
    <xf numFmtId="49" fontId="40" fillId="2" borderId="58" xfId="0" applyNumberFormat="1" applyFont="1" applyFill="1" applyBorder="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8" fillId="2" borderId="13" xfId="0" applyFont="1" applyFill="1" applyBorder="1" applyProtection="1">
      <alignment vertical="center"/>
      <protection locked="0"/>
    </xf>
    <xf numFmtId="0" fontId="38" fillId="2" borderId="13" xfId="0" applyFont="1" applyFill="1" applyBorder="1" applyAlignment="1" applyProtection="1">
      <alignment horizontal="left" vertical="center"/>
      <protection locked="0"/>
    </xf>
    <xf numFmtId="0" fontId="38" fillId="2" borderId="1" xfId="0" applyFont="1" applyFill="1" applyBorder="1" applyAlignment="1">
      <alignment horizontal="center"/>
    </xf>
    <xf numFmtId="0" fontId="32" fillId="2" borderId="1" xfId="0" applyFont="1" applyFill="1" applyBorder="1" applyAlignment="1">
      <alignment horizontal="left"/>
    </xf>
    <xf numFmtId="184" fontId="32" fillId="2" borderId="1" xfId="0" applyNumberFormat="1" applyFont="1" applyFill="1" applyBorder="1" applyAlignment="1">
      <alignment horizontal="center"/>
    </xf>
    <xf numFmtId="181" fontId="40" fillId="2" borderId="1" xfId="0" applyNumberFormat="1" applyFont="1" applyFill="1" applyBorder="1" applyAlignment="1">
      <alignment horizontal="center" vertical="center"/>
    </xf>
    <xf numFmtId="0" fontId="43" fillId="2" borderId="1" xfId="0" applyFont="1" applyFill="1" applyBorder="1" applyAlignment="1">
      <alignment horizontal="left"/>
    </xf>
    <xf numFmtId="0" fontId="43" fillId="2" borderId="1" xfId="0" applyFont="1" applyFill="1" applyBorder="1" applyAlignment="1">
      <alignment horizontal="center"/>
    </xf>
    <xf numFmtId="0" fontId="37" fillId="2" borderId="1" xfId="0" applyFont="1" applyFill="1" applyBorder="1" applyAlignment="1">
      <alignment horizontal="center"/>
    </xf>
    <xf numFmtId="0" fontId="6" fillId="2" borderId="22" xfId="0" applyFont="1" applyFill="1" applyBorder="1">
      <alignment vertical="center"/>
    </xf>
    <xf numFmtId="193" fontId="7" fillId="2" borderId="22" xfId="0" applyNumberFormat="1" applyFont="1" applyFill="1" applyBorder="1" applyAlignment="1">
      <alignment vertical="center" wrapText="1"/>
    </xf>
    <xf numFmtId="0" fontId="45" fillId="2" borderId="64" xfId="0" applyFont="1" applyFill="1" applyBorder="1">
      <alignment vertical="center"/>
    </xf>
    <xf numFmtId="0" fontId="38" fillId="2" borderId="35" xfId="0" applyFont="1" applyFill="1" applyBorder="1" applyAlignment="1">
      <alignment horizontal="center" vertical="center"/>
    </xf>
    <xf numFmtId="0" fontId="40" fillId="2" borderId="50" xfId="0" applyFont="1" applyFill="1" applyBorder="1" applyAlignment="1">
      <alignment horizontal="center" vertical="center"/>
    </xf>
    <xf numFmtId="49" fontId="40" fillId="2" borderId="114" xfId="0" applyNumberFormat="1" applyFont="1" applyFill="1" applyBorder="1" applyAlignment="1" applyProtection="1">
      <alignment horizontal="left" vertical="center"/>
      <protection locked="0"/>
    </xf>
    <xf numFmtId="0" fontId="38" fillId="2" borderId="4" xfId="0" applyFont="1" applyFill="1" applyBorder="1" applyAlignment="1">
      <alignment vertical="center" wrapText="1"/>
    </xf>
    <xf numFmtId="49" fontId="40" fillId="2" borderId="58" xfId="0" applyNumberFormat="1" applyFont="1" applyFill="1" applyBorder="1" applyAlignment="1" applyProtection="1">
      <alignment horizontal="left" vertical="center"/>
      <protection locked="0"/>
    </xf>
    <xf numFmtId="0" fontId="60" fillId="2" borderId="0" xfId="0" applyFont="1" applyFill="1" applyProtection="1">
      <alignment vertical="center"/>
      <protection locked="0"/>
    </xf>
    <xf numFmtId="0" fontId="29" fillId="0" borderId="0" xfId="0" applyFont="1" applyAlignment="1" applyProtection="1">
      <alignment horizontal="center" vertical="center"/>
      <protection locked="0"/>
    </xf>
    <xf numFmtId="0" fontId="70" fillId="2" borderId="134" xfId="0" applyFont="1" applyFill="1" applyBorder="1" applyProtection="1">
      <alignment vertical="center"/>
      <protection locked="0"/>
    </xf>
    <xf numFmtId="0" fontId="93" fillId="2" borderId="0" xfId="0" applyFont="1" applyFill="1" applyProtection="1">
      <alignment vertical="center"/>
      <protection locked="0"/>
    </xf>
    <xf numFmtId="192" fontId="63" fillId="0" borderId="110" xfId="12" applyNumberFormat="1" applyFont="1" applyBorder="1" applyAlignment="1" applyProtection="1">
      <alignment horizontal="center" vertical="center" wrapText="1"/>
      <protection locked="0"/>
    </xf>
    <xf numFmtId="49" fontId="63" fillId="7" borderId="19" xfId="12" applyNumberFormat="1" applyFont="1" applyFill="1" applyBorder="1" applyAlignment="1" applyProtection="1">
      <alignment horizontal="center" vertical="center" wrapText="1"/>
      <protection locked="0"/>
    </xf>
    <xf numFmtId="49" fontId="63" fillId="7" borderId="7" xfId="12" applyNumberFormat="1" applyFont="1" applyFill="1" applyBorder="1" applyAlignment="1" applyProtection="1">
      <alignment horizontal="center" vertical="center" wrapText="1"/>
      <protection locked="0"/>
    </xf>
    <xf numFmtId="49" fontId="63" fillId="7" borderId="10" xfId="12" applyNumberFormat="1" applyFont="1" applyFill="1" applyBorder="1" applyAlignment="1" applyProtection="1">
      <alignment horizontal="center" vertical="center" wrapText="1"/>
      <protection locked="0"/>
    </xf>
    <xf numFmtId="0" fontId="63" fillId="0" borderId="10" xfId="12" applyNumberFormat="1" applyFont="1" applyBorder="1" applyAlignment="1" applyProtection="1">
      <alignment horizontal="center" vertical="center" wrapText="1"/>
      <protection locked="0"/>
    </xf>
    <xf numFmtId="176" fontId="63" fillId="0" borderId="58" xfId="12" applyFont="1" applyBorder="1" applyAlignment="1" applyProtection="1">
      <alignment horizontal="center" vertical="center" wrapText="1"/>
      <protection locked="0"/>
    </xf>
    <xf numFmtId="176" fontId="57" fillId="0" borderId="41" xfId="12" applyFont="1" applyBorder="1" applyAlignment="1" applyProtection="1">
      <alignment horizontal="center" vertical="center" wrapText="1"/>
      <protection locked="0"/>
    </xf>
    <xf numFmtId="176" fontId="57" fillId="0" borderId="44" xfId="12" applyFont="1" applyBorder="1" applyAlignment="1" applyProtection="1">
      <alignment horizontal="center" vertical="center" wrapText="1"/>
      <protection locked="0"/>
    </xf>
    <xf numFmtId="49" fontId="57" fillId="0" borderId="18" xfId="12" applyNumberFormat="1" applyFont="1" applyBorder="1" applyAlignment="1" applyProtection="1">
      <alignment horizontal="center" vertical="center" wrapText="1"/>
      <protection locked="0"/>
    </xf>
    <xf numFmtId="49" fontId="57" fillId="7" borderId="58" xfId="12" applyNumberFormat="1" applyFont="1" applyFill="1" applyBorder="1" applyAlignment="1" applyProtection="1">
      <alignment horizontal="center" vertical="center" wrapText="1"/>
      <protection locked="0"/>
    </xf>
    <xf numFmtId="49" fontId="57" fillId="0" borderId="27" xfId="12" applyNumberFormat="1" applyFont="1" applyBorder="1" applyAlignment="1" applyProtection="1">
      <alignment horizontal="center" vertical="center" wrapText="1"/>
      <protection locked="0"/>
    </xf>
    <xf numFmtId="176" fontId="57" fillId="7" borderId="27" xfId="12" applyFont="1" applyFill="1" applyBorder="1" applyAlignment="1" applyProtection="1">
      <alignment horizontal="center" vertical="center" wrapText="1"/>
      <protection locked="0"/>
    </xf>
    <xf numFmtId="49" fontId="84" fillId="0" borderId="51" xfId="12" applyNumberFormat="1" applyFont="1" applyBorder="1" applyAlignment="1" applyProtection="1">
      <alignment horizontal="center" vertical="center" wrapText="1"/>
      <protection locked="0"/>
    </xf>
    <xf numFmtId="176" fontId="84" fillId="0" borderId="58" xfId="12" applyFont="1" applyBorder="1" applyAlignment="1" applyProtection="1">
      <alignment horizontal="center" vertical="center" wrapText="1"/>
      <protection locked="0"/>
    </xf>
    <xf numFmtId="49" fontId="84" fillId="0" borderId="27" xfId="12" applyNumberFormat="1" applyFont="1" applyBorder="1" applyAlignment="1" applyProtection="1">
      <alignment horizontal="center" vertical="center" wrapText="1"/>
      <protection locked="0"/>
    </xf>
    <xf numFmtId="49" fontId="57" fillId="7" borderId="10" xfId="12" applyNumberFormat="1" applyFont="1" applyFill="1" applyBorder="1" applyAlignment="1" applyProtection="1">
      <alignment horizontal="center" vertical="center" wrapText="1"/>
      <protection locked="0"/>
    </xf>
    <xf numFmtId="49" fontId="63" fillId="0" borderId="58" xfId="0" applyNumberFormat="1" applyFont="1" applyBorder="1" applyAlignment="1" applyProtection="1">
      <alignment horizontal="center" vertical="center" wrapText="1"/>
      <protection locked="0"/>
    </xf>
    <xf numFmtId="176" fontId="57" fillId="7" borderId="7" xfId="12" applyFont="1" applyFill="1" applyBorder="1" applyAlignment="1" applyProtection="1">
      <alignment horizontal="center" vertical="center" wrapText="1"/>
      <protection locked="0"/>
    </xf>
    <xf numFmtId="176" fontId="57" fillId="7" borderId="10" xfId="12" applyFont="1" applyFill="1" applyBorder="1" applyAlignment="1" applyProtection="1">
      <alignment horizontal="center" vertical="center" wrapText="1"/>
      <protection locked="0"/>
    </xf>
    <xf numFmtId="9" fontId="63" fillId="0" borderId="41" xfId="12" applyNumberFormat="1" applyFont="1" applyBorder="1" applyAlignment="1" applyProtection="1">
      <alignment horizontal="center" vertical="center" wrapText="1"/>
      <protection locked="0"/>
    </xf>
    <xf numFmtId="9" fontId="63" fillId="0" borderId="10" xfId="12" applyNumberFormat="1" applyFont="1" applyBorder="1" applyAlignment="1" applyProtection="1">
      <alignment horizontal="center" vertical="center" wrapText="1"/>
      <protection locked="0"/>
    </xf>
    <xf numFmtId="49" fontId="57" fillId="7" borderId="4" xfId="12" applyNumberFormat="1" applyFont="1" applyFill="1" applyBorder="1" applyAlignment="1" applyProtection="1">
      <alignment horizontal="center" vertical="center" wrapText="1"/>
      <protection locked="0"/>
    </xf>
    <xf numFmtId="176" fontId="63" fillId="0" borderId="41" xfId="12" applyFont="1" applyBorder="1" applyAlignment="1" applyProtection="1">
      <alignment horizontal="center" vertical="center" wrapText="1"/>
      <protection locked="0"/>
    </xf>
    <xf numFmtId="176" fontId="63" fillId="0" borderId="4" xfId="12" applyFont="1" applyBorder="1" applyAlignment="1" applyProtection="1">
      <alignment horizontal="center" vertical="center" wrapText="1"/>
      <protection locked="0"/>
    </xf>
    <xf numFmtId="0" fontId="58" fillId="2" borderId="21" xfId="0" applyFont="1" applyFill="1" applyBorder="1" applyAlignment="1" applyProtection="1">
      <alignment vertical="center" wrapText="1"/>
      <protection locked="0"/>
    </xf>
    <xf numFmtId="192" fontId="63" fillId="2" borderId="113" xfId="0" applyNumberFormat="1" applyFont="1" applyFill="1" applyBorder="1" applyAlignment="1">
      <alignment horizontal="center" vertical="center" wrapText="1"/>
    </xf>
    <xf numFmtId="0" fontId="73" fillId="2" borderId="0" xfId="0" applyFont="1" applyFill="1" applyAlignment="1">
      <alignment vertical="center" wrapText="1"/>
    </xf>
    <xf numFmtId="0" fontId="63" fillId="0" borderId="15" xfId="12" applyNumberFormat="1" applyFont="1" applyBorder="1" applyAlignment="1" applyProtection="1">
      <alignment horizontal="center" vertical="center" wrapText="1"/>
      <protection locked="0"/>
    </xf>
    <xf numFmtId="0" fontId="70" fillId="2" borderId="135" xfId="0" applyFont="1" applyFill="1" applyBorder="1" applyAlignment="1">
      <alignment horizontal="center" vertical="center"/>
    </xf>
    <xf numFmtId="188" fontId="30" fillId="2" borderId="0" xfId="0" applyNumberFormat="1" applyFont="1" applyFill="1" applyAlignment="1" applyProtection="1">
      <alignment horizontal="center" vertical="center"/>
      <protection locked="0"/>
    </xf>
    <xf numFmtId="181" fontId="30" fillId="11" borderId="0" xfId="0" applyNumberFormat="1" applyFont="1" applyFill="1" applyProtection="1">
      <alignment vertical="center"/>
      <protection locked="0"/>
    </xf>
    <xf numFmtId="0" fontId="30" fillId="11" borderId="0" xfId="0" applyFont="1" applyFill="1" applyAlignment="1" applyProtection="1">
      <alignment horizontal="center" vertical="center"/>
      <protection locked="0"/>
    </xf>
    <xf numFmtId="0" fontId="30" fillId="2" borderId="30" xfId="0" applyFont="1" applyFill="1" applyBorder="1" applyAlignment="1">
      <alignment horizontal="center" vertical="center"/>
    </xf>
    <xf numFmtId="188" fontId="63" fillId="2" borderId="39" xfId="0" applyNumberFormat="1" applyFont="1" applyFill="1" applyBorder="1" applyAlignment="1">
      <alignment horizontal="center" vertical="center" wrapText="1"/>
    </xf>
    <xf numFmtId="188" fontId="63" fillId="2" borderId="42" xfId="0" applyNumberFormat="1" applyFont="1" applyFill="1" applyBorder="1" applyAlignment="1">
      <alignment horizontal="center" vertical="center" wrapText="1"/>
    </xf>
    <xf numFmtId="0" fontId="63" fillId="2" borderId="42" xfId="0" applyFont="1" applyFill="1" applyBorder="1" applyAlignment="1">
      <alignment horizontal="center" vertical="center" wrapText="1"/>
    </xf>
    <xf numFmtId="49" fontId="63" fillId="7" borderId="110" xfId="12" applyNumberFormat="1" applyFont="1" applyFill="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0" fontId="29" fillId="2" borderId="42" xfId="0" applyFont="1" applyFill="1" applyBorder="1" applyAlignment="1">
      <alignment horizontal="center" vertical="center" wrapText="1"/>
    </xf>
    <xf numFmtId="49" fontId="57" fillId="0" borderId="113" xfId="12" applyNumberFormat="1" applyFont="1" applyBorder="1" applyAlignment="1" applyProtection="1">
      <alignment horizontal="center" vertical="center" wrapText="1"/>
      <protection locked="0"/>
    </xf>
    <xf numFmtId="0" fontId="29" fillId="0" borderId="141" xfId="0" applyFont="1" applyBorder="1" applyAlignment="1" applyProtection="1">
      <alignment horizontal="center" vertical="center" wrapText="1"/>
      <protection locked="0"/>
    </xf>
    <xf numFmtId="49" fontId="57" fillId="7" borderId="112" xfId="12" applyNumberFormat="1" applyFont="1" applyFill="1" applyBorder="1" applyAlignment="1" applyProtection="1">
      <alignment horizontal="center" vertical="center" wrapText="1"/>
      <protection locked="0"/>
    </xf>
    <xf numFmtId="0" fontId="29" fillId="2" borderId="142" xfId="0" applyFont="1" applyFill="1" applyBorder="1" applyAlignment="1">
      <alignment horizontal="center" vertical="center" wrapText="1"/>
    </xf>
    <xf numFmtId="49" fontId="57" fillId="0" borderId="119" xfId="12" applyNumberFormat="1" applyFont="1" applyBorder="1" applyAlignment="1" applyProtection="1">
      <alignment horizontal="center" vertical="center" wrapText="1"/>
      <protection locked="0"/>
    </xf>
    <xf numFmtId="49" fontId="84" fillId="0" borderId="114" xfId="12" applyNumberFormat="1" applyFont="1" applyBorder="1" applyAlignment="1" applyProtection="1">
      <alignment horizontal="center" vertical="center" wrapText="1"/>
      <protection locked="0"/>
    </xf>
    <xf numFmtId="0" fontId="29" fillId="2" borderId="130" xfId="0" applyFont="1" applyFill="1" applyBorder="1" applyAlignment="1">
      <alignment horizontal="center" vertical="center" wrapText="1"/>
    </xf>
    <xf numFmtId="0" fontId="63" fillId="0" borderId="4" xfId="12" applyNumberFormat="1" applyFont="1" applyBorder="1" applyAlignment="1" applyProtection="1">
      <alignment horizontal="center" vertical="center" wrapText="1"/>
      <protection locked="0"/>
    </xf>
    <xf numFmtId="9" fontId="63" fillId="0" borderId="4" xfId="12" applyNumberFormat="1" applyFont="1" applyBorder="1" applyAlignment="1" applyProtection="1">
      <alignment horizontal="center" vertical="center" wrapText="1"/>
      <protection locked="0"/>
    </xf>
    <xf numFmtId="0" fontId="76" fillId="4" borderId="38" xfId="12" applyNumberFormat="1" applyFont="1" applyFill="1" applyBorder="1" applyAlignment="1" applyProtection="1">
      <alignment vertical="center" wrapText="1"/>
      <protection locked="0"/>
    </xf>
    <xf numFmtId="188" fontId="57" fillId="2" borderId="42" xfId="0" applyNumberFormat="1" applyFont="1" applyFill="1" applyBorder="1" applyAlignment="1">
      <alignment horizontal="center" vertical="center"/>
    </xf>
    <xf numFmtId="187" fontId="57" fillId="13" borderId="42" xfId="0" applyNumberFormat="1" applyFont="1" applyFill="1" applyBorder="1" applyAlignment="1">
      <alignment horizontal="left" vertical="center" wrapText="1"/>
    </xf>
    <xf numFmtId="188" fontId="57" fillId="2" borderId="14" xfId="0" applyNumberFormat="1" applyFont="1" applyFill="1" applyBorder="1" applyAlignment="1">
      <alignment horizontal="center" vertical="center" wrapText="1"/>
    </xf>
    <xf numFmtId="0" fontId="68" fillId="0" borderId="30" xfId="0" applyFont="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Border="1" applyAlignment="1" applyProtection="1">
      <alignment horizontal="center" vertical="center"/>
      <protection locked="0"/>
    </xf>
    <xf numFmtId="9" fontId="63" fillId="0" borderId="30" xfId="0" applyNumberFormat="1" applyFont="1" applyBorder="1" applyAlignment="1" applyProtection="1">
      <alignment horizontal="center" vertical="center" wrapText="1"/>
      <protection locked="0"/>
    </xf>
    <xf numFmtId="0" fontId="49" fillId="0" borderId="30" xfId="0" applyFont="1" applyBorder="1" applyProtection="1">
      <alignment vertical="center"/>
      <protection locked="0"/>
    </xf>
    <xf numFmtId="0" fontId="63" fillId="0" borderId="30"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29" fillId="2" borderId="0" xfId="0" applyFont="1" applyFill="1" applyAlignment="1">
      <alignment horizontal="center" vertical="center"/>
    </xf>
    <xf numFmtId="0" fontId="57" fillId="0" borderId="1" xfId="12" applyNumberFormat="1" applyFont="1" applyBorder="1" applyAlignment="1" applyProtection="1">
      <alignment horizontal="center" vertical="center" wrapText="1"/>
      <protection locked="0"/>
    </xf>
    <xf numFmtId="176" fontId="84" fillId="0" borderId="8" xfId="12" applyFont="1" applyBorder="1" applyAlignment="1" applyProtection="1">
      <alignment horizontal="center" vertical="center" wrapText="1"/>
      <protection locked="0"/>
    </xf>
    <xf numFmtId="0" fontId="63" fillId="0" borderId="1" xfId="12" applyNumberFormat="1" applyFont="1" applyBorder="1" applyAlignment="1" applyProtection="1">
      <alignment horizontal="center" vertical="center" wrapText="1"/>
      <protection locked="0"/>
    </xf>
    <xf numFmtId="0" fontId="63" fillId="0" borderId="6" xfId="12" applyNumberFormat="1" applyFont="1" applyBorder="1" applyAlignment="1" applyProtection="1">
      <alignment horizontal="center" vertical="center" wrapText="1"/>
      <protection locked="0"/>
    </xf>
    <xf numFmtId="0" fontId="57" fillId="0" borderId="6" xfId="12" applyNumberFormat="1" applyFont="1" applyBorder="1" applyAlignment="1" applyProtection="1">
      <alignment horizontal="center" vertical="center" wrapText="1"/>
      <protection locked="0"/>
    </xf>
    <xf numFmtId="0" fontId="83" fillId="0" borderId="123" xfId="12" applyNumberFormat="1" applyFont="1" applyBorder="1" applyAlignment="1" applyProtection="1">
      <alignment horizontal="center" vertical="center" wrapText="1"/>
      <protection locked="0"/>
    </xf>
    <xf numFmtId="0" fontId="63" fillId="0" borderId="123" xfId="12" applyNumberFormat="1" applyFont="1" applyBorder="1" applyAlignment="1" applyProtection="1">
      <alignment horizontal="center" vertical="center" wrapText="1"/>
      <protection locked="0"/>
    </xf>
    <xf numFmtId="0" fontId="57" fillId="0" borderId="123" xfId="12" applyNumberFormat="1"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176" fontId="84" fillId="0" borderId="123" xfId="12" applyFont="1" applyBorder="1" applyAlignment="1" applyProtection="1">
      <alignment horizontal="center" vertical="center" wrapText="1"/>
      <protection locked="0"/>
    </xf>
    <xf numFmtId="0" fontId="67" fillId="0" borderId="30" xfId="0" applyFont="1" applyBorder="1" applyAlignment="1" applyProtection="1">
      <alignment horizontal="center" vertical="center" wrapText="1"/>
      <protection locked="0"/>
    </xf>
    <xf numFmtId="0" fontId="67" fillId="0" borderId="30" xfId="0" applyFont="1" applyBorder="1" applyAlignment="1" applyProtection="1">
      <alignment horizontal="center" vertical="center"/>
      <protection locked="0"/>
    </xf>
    <xf numFmtId="0" fontId="67" fillId="0" borderId="30" xfId="0" applyFont="1" applyBorder="1" applyAlignment="1" applyProtection="1">
      <alignment vertical="center" wrapText="1"/>
      <protection locked="0"/>
    </xf>
    <xf numFmtId="0" fontId="63" fillId="0" borderId="30" xfId="0" applyFont="1" applyBorder="1" applyAlignment="1" applyProtection="1">
      <alignment vertical="center" wrapText="1"/>
      <protection locked="0"/>
    </xf>
    <xf numFmtId="0" fontId="67" fillId="2" borderId="1" xfId="0" applyFont="1" applyFill="1" applyBorder="1" applyAlignment="1">
      <alignment horizontal="left" vertical="center" wrapText="1"/>
    </xf>
    <xf numFmtId="0" fontId="67" fillId="2" borderId="11" xfId="0" applyFont="1" applyFill="1" applyBorder="1" applyAlignment="1">
      <alignment horizontal="center" vertical="center" wrapText="1"/>
    </xf>
    <xf numFmtId="0" fontId="80" fillId="0" borderId="0" xfId="0" applyFont="1" applyAlignment="1" applyProtection="1">
      <alignment horizontal="left" vertical="center"/>
      <protection locked="0"/>
    </xf>
    <xf numFmtId="0" fontId="49" fillId="2" borderId="49" xfId="0" applyFont="1" applyFill="1" applyBorder="1" applyAlignment="1">
      <alignment horizontal="center" vertical="center"/>
    </xf>
    <xf numFmtId="0" fontId="29" fillId="2" borderId="31" xfId="0" applyFont="1" applyFill="1" applyBorder="1" applyAlignment="1">
      <alignment horizontal="center" vertical="center"/>
    </xf>
    <xf numFmtId="0" fontId="57" fillId="2" borderId="31" xfId="0" applyFont="1" applyFill="1" applyBorder="1" applyAlignment="1">
      <alignment horizontal="center" vertical="center"/>
    </xf>
    <xf numFmtId="0" fontId="57" fillId="2" borderId="29" xfId="0" applyFont="1" applyFill="1" applyBorder="1" applyAlignment="1">
      <alignment horizontal="center" vertical="center"/>
    </xf>
    <xf numFmtId="0" fontId="29" fillId="2" borderId="120" xfId="0" applyFont="1" applyFill="1" applyBorder="1">
      <alignment vertical="center"/>
    </xf>
    <xf numFmtId="0" fontId="49" fillId="2" borderId="2" xfId="0" applyFont="1" applyFill="1" applyBorder="1" applyAlignment="1">
      <alignment horizontal="center" vertical="center"/>
    </xf>
    <xf numFmtId="0" fontId="49" fillId="2" borderId="143" xfId="0" applyFont="1" applyFill="1" applyBorder="1" applyAlignment="1">
      <alignment horizontal="center" vertical="center"/>
    </xf>
    <xf numFmtId="0" fontId="49" fillId="2" borderId="11" xfId="0" applyFont="1" applyFill="1" applyBorder="1" applyAlignment="1">
      <alignment horizontal="center" vertical="center"/>
    </xf>
    <xf numFmtId="0" fontId="29" fillId="2" borderId="58" xfId="0" applyFont="1" applyFill="1" applyBorder="1" applyAlignment="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4"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2" borderId="10" xfId="0" applyFont="1" applyFill="1" applyBorder="1" applyAlignment="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43"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3" xfId="0" applyFont="1" applyBorder="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45" xfId="0" applyFont="1" applyFill="1" applyBorder="1" applyAlignment="1">
      <alignment horizontal="left" vertical="center"/>
    </xf>
    <xf numFmtId="0" fontId="49" fillId="2" borderId="31" xfId="0" applyFont="1" applyFill="1" applyBorder="1" applyAlignment="1">
      <alignment horizontal="center" vertical="center"/>
    </xf>
    <xf numFmtId="0" fontId="29" fillId="2" borderId="29" xfId="0" applyFont="1" applyFill="1" applyBorder="1" applyAlignment="1">
      <alignment horizontal="center" vertical="center"/>
    </xf>
    <xf numFmtId="0" fontId="29" fillId="2" borderId="96" xfId="0" applyFont="1" applyFill="1" applyBorder="1" applyAlignment="1">
      <alignment horizontal="center" vertical="center"/>
    </xf>
    <xf numFmtId="0" fontId="49" fillId="2" borderId="112" xfId="0" applyFont="1" applyFill="1" applyBorder="1" applyAlignment="1">
      <alignment horizontal="center" vertical="center"/>
    </xf>
    <xf numFmtId="186" fontId="29" fillId="2" borderId="28"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29" fillId="2" borderId="11" xfId="0" applyFont="1" applyFill="1" applyBorder="1" applyAlignment="1">
      <alignment horizontal="center" vertical="center"/>
    </xf>
    <xf numFmtId="180" fontId="29" fillId="2" borderId="11" xfId="0" applyNumberFormat="1" applyFont="1" applyFill="1" applyBorder="1" applyAlignment="1">
      <alignment horizontal="center" vertical="center"/>
    </xf>
    <xf numFmtId="180" fontId="29" fillId="0" borderId="11" xfId="0" applyNumberFormat="1" applyFont="1" applyBorder="1" applyAlignment="1" applyProtection="1">
      <alignment horizontal="center" vertical="center"/>
      <protection locked="0"/>
    </xf>
    <xf numFmtId="0" fontId="49" fillId="2" borderId="62" xfId="0" applyFont="1" applyFill="1" applyBorder="1" applyAlignment="1">
      <alignment horizontal="center" vertical="center"/>
    </xf>
    <xf numFmtId="0" fontId="29" fillId="0" borderId="13" xfId="0" applyFont="1" applyBorder="1" applyAlignment="1" applyProtection="1">
      <alignment horizontal="center" vertical="center"/>
      <protection locked="0"/>
    </xf>
    <xf numFmtId="180" fontId="29" fillId="2" borderId="14" xfId="0" applyNumberFormat="1" applyFont="1" applyFill="1" applyBorder="1" applyAlignment="1">
      <alignment horizontal="center" vertical="center"/>
    </xf>
    <xf numFmtId="0" fontId="78" fillId="5" borderId="0" xfId="0" applyFont="1" applyFill="1" applyProtection="1">
      <alignment vertical="center"/>
      <protection locked="0"/>
    </xf>
    <xf numFmtId="0" fontId="73" fillId="0" borderId="0" xfId="0" applyFont="1" applyProtection="1">
      <alignment vertical="center"/>
      <protection locked="0"/>
    </xf>
    <xf numFmtId="0" fontId="63" fillId="5" borderId="0" xfId="0" applyFont="1" applyFill="1" applyProtection="1">
      <alignment vertical="center"/>
      <protection locked="0"/>
    </xf>
    <xf numFmtId="0" fontId="67" fillId="5" borderId="0" xfId="0" applyFont="1" applyFill="1" applyProtection="1">
      <alignment vertical="center"/>
      <protection locked="0"/>
    </xf>
    <xf numFmtId="0" fontId="67" fillId="0" borderId="0" xfId="0" applyFont="1" applyProtection="1">
      <alignment vertical="center"/>
      <protection locked="0"/>
    </xf>
    <xf numFmtId="0" fontId="39" fillId="4" borderId="0" xfId="0" applyFont="1" applyFill="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Protection="1">
      <alignment vertical="center"/>
      <protection locked="0"/>
    </xf>
    <xf numFmtId="184" fontId="38" fillId="4" borderId="0" xfId="0" applyNumberFormat="1" applyFont="1" applyFill="1" applyAlignment="1" applyProtection="1">
      <alignment horizontal="center" vertical="center"/>
      <protection locked="0"/>
    </xf>
    <xf numFmtId="0" fontId="42" fillId="3" borderId="2" xfId="14" applyFont="1" applyFill="1" applyBorder="1" applyAlignment="1" applyProtection="1">
      <alignment horizontal="left" vertical="center"/>
      <protection locked="0"/>
    </xf>
    <xf numFmtId="0" fontId="42" fillId="3" borderId="4" xfId="14" applyFont="1" applyFill="1" applyBorder="1">
      <alignment vertical="center"/>
    </xf>
    <xf numFmtId="0" fontId="42" fillId="11" borderId="0" xfId="14" applyFont="1" applyFill="1">
      <alignment vertical="center"/>
    </xf>
    <xf numFmtId="0" fontId="38" fillId="11" borderId="0" xfId="0" applyFont="1" applyFill="1" applyProtection="1">
      <alignment vertical="center"/>
      <protection locked="0"/>
    </xf>
    <xf numFmtId="0" fontId="42" fillId="2" borderId="0" xfId="14" applyFont="1" applyFill="1">
      <alignment vertical="center"/>
    </xf>
    <xf numFmtId="0" fontId="42" fillId="2" borderId="37" xfId="0" applyFont="1" applyFill="1" applyBorder="1">
      <alignment vertical="center"/>
    </xf>
    <xf numFmtId="0" fontId="42" fillId="2" borderId="38" xfId="0" applyFont="1" applyFill="1" applyBorder="1">
      <alignment vertical="center"/>
    </xf>
    <xf numFmtId="184" fontId="73" fillId="2" borderId="32"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73" fillId="2" borderId="48" xfId="0" applyFont="1" applyFill="1" applyBorder="1">
      <alignment vertical="center"/>
    </xf>
    <xf numFmtId="184" fontId="38" fillId="3" borderId="1" xfId="0" applyNumberFormat="1" applyFont="1" applyFill="1" applyBorder="1" applyAlignment="1" applyProtection="1">
      <alignment horizontal="center" vertical="center" wrapText="1"/>
      <protection locked="0"/>
    </xf>
    <xf numFmtId="49" fontId="38" fillId="2" borderId="10" xfId="0" applyNumberFormat="1" applyFont="1" applyFill="1" applyBorder="1" applyAlignment="1">
      <alignment horizontal="center" vertical="center"/>
    </xf>
    <xf numFmtId="184" fontId="38" fillId="0" borderId="1" xfId="0" applyNumberFormat="1" applyFont="1" applyBorder="1" applyAlignment="1" applyProtection="1">
      <alignment horizontal="center" vertical="center"/>
      <protection locked="0"/>
    </xf>
    <xf numFmtId="187" fontId="7" fillId="2" borderId="1" xfId="0" applyNumberFormat="1" applyFont="1" applyFill="1" applyBorder="1" applyAlignment="1">
      <alignment horizontal="center" vertical="center"/>
    </xf>
    <xf numFmtId="49" fontId="38" fillId="2" borderId="51" xfId="0" applyNumberFormat="1" applyFont="1" applyFill="1" applyBorder="1" applyAlignment="1">
      <alignment horizontal="center" vertical="center"/>
    </xf>
    <xf numFmtId="0" fontId="38" fillId="2" borderId="48" xfId="0" applyFont="1" applyFill="1" applyBorder="1">
      <alignment vertical="center"/>
    </xf>
    <xf numFmtId="184" fontId="7" fillId="0" borderId="15" xfId="0" applyNumberFormat="1" applyFont="1" applyBorder="1" applyAlignment="1" applyProtection="1">
      <alignment horizontal="center" vertical="center"/>
      <protection locked="0"/>
    </xf>
    <xf numFmtId="184" fontId="38" fillId="0" borderId="15" xfId="0" applyNumberFormat="1" applyFont="1" applyBorder="1" applyAlignment="1" applyProtection="1">
      <alignment horizontal="center" vertical="center"/>
      <protection locked="0"/>
    </xf>
    <xf numFmtId="0" fontId="73" fillId="2" borderId="2" xfId="0" applyFont="1" applyFill="1" applyBorder="1">
      <alignment vertical="center"/>
    </xf>
    <xf numFmtId="184" fontId="73" fillId="2" borderId="1" xfId="0" applyNumberFormat="1" applyFont="1" applyFill="1" applyBorder="1" applyAlignment="1">
      <alignment horizontal="center" vertical="center"/>
    </xf>
    <xf numFmtId="0" fontId="73" fillId="2" borderId="1" xfId="0" applyFont="1" applyFill="1" applyBorder="1" applyAlignment="1">
      <alignment horizontal="center" vertical="center"/>
    </xf>
    <xf numFmtId="0" fontId="73" fillId="2" borderId="3" xfId="0" applyFont="1" applyFill="1" applyBorder="1">
      <alignment vertical="center"/>
    </xf>
    <xf numFmtId="0" fontId="38" fillId="2" borderId="10" xfId="14" applyFont="1" applyFill="1" applyBorder="1" applyAlignment="1">
      <alignment horizontal="right" vertical="center"/>
    </xf>
    <xf numFmtId="0" fontId="38" fillId="2" borderId="2" xfId="14" applyFont="1" applyFill="1" applyBorder="1">
      <alignment vertical="center"/>
    </xf>
    <xf numFmtId="178" fontId="38" fillId="2" borderId="1" xfId="0" applyNumberFormat="1" applyFont="1" applyFill="1" applyBorder="1" applyAlignment="1">
      <alignment horizontal="center" vertical="center"/>
    </xf>
    <xf numFmtId="179" fontId="38" fillId="2" borderId="1" xfId="14" applyNumberFormat="1" applyFont="1" applyFill="1" applyBorder="1" applyAlignment="1">
      <alignment horizontal="center" vertical="center"/>
    </xf>
    <xf numFmtId="181" fontId="38" fillId="2" borderId="1" xfId="14" applyNumberFormat="1" applyFont="1" applyFill="1" applyBorder="1" applyAlignment="1">
      <alignment horizontal="center" vertical="center"/>
    </xf>
    <xf numFmtId="9" fontId="38" fillId="2" borderId="1" xfId="14" applyNumberFormat="1" applyFont="1" applyFill="1" applyBorder="1" applyAlignment="1">
      <alignment horizontal="center" vertical="center"/>
    </xf>
    <xf numFmtId="0" fontId="38" fillId="2" borderId="1" xfId="14" applyFont="1" applyFill="1" applyBorder="1" applyAlignment="1">
      <alignment horizontal="center" vertical="center"/>
    </xf>
    <xf numFmtId="178" fontId="38" fillId="2" borderId="1" xfId="14" applyNumberFormat="1" applyFont="1" applyFill="1" applyBorder="1" applyAlignment="1">
      <alignment horizontal="center" vertical="center"/>
    </xf>
    <xf numFmtId="178" fontId="38" fillId="2" borderId="1" xfId="14" applyNumberFormat="1" applyFont="1" applyFill="1" applyBorder="1">
      <alignment vertical="center"/>
    </xf>
    <xf numFmtId="10" fontId="38" fillId="2" borderId="1" xfId="14" applyNumberFormat="1" applyFont="1" applyFill="1" applyBorder="1" applyAlignment="1">
      <alignment horizontal="center" vertical="center"/>
    </xf>
    <xf numFmtId="0" fontId="38" fillId="2" borderId="95" xfId="0" applyFont="1" applyFill="1" applyBorder="1">
      <alignment vertical="center"/>
    </xf>
    <xf numFmtId="0" fontId="60" fillId="3" borderId="2" xfId="14" applyFont="1" applyFill="1" applyBorder="1" applyAlignment="1" applyProtection="1">
      <alignment horizontal="right" vertical="center"/>
      <protection locked="0"/>
    </xf>
    <xf numFmtId="0" fontId="38" fillId="0" borderId="3" xfId="0" applyFont="1" applyBorder="1" applyProtection="1">
      <alignment vertical="center"/>
      <protection locked="0"/>
    </xf>
    <xf numFmtId="0" fontId="38" fillId="2" borderId="96" xfId="0" applyFont="1" applyFill="1" applyBorder="1" applyAlignment="1">
      <alignment horizontal="left" vertical="center"/>
    </xf>
    <xf numFmtId="0" fontId="38" fillId="2" borderId="3" xfId="0" applyFont="1" applyFill="1" applyBorder="1" applyAlignment="1">
      <alignment horizontal="left" vertical="center"/>
    </xf>
    <xf numFmtId="0" fontId="73" fillId="2" borderId="2" xfId="14" applyFont="1" applyFill="1" applyBorder="1">
      <alignment vertical="center"/>
    </xf>
    <xf numFmtId="178" fontId="73" fillId="2" borderId="1" xfId="14" applyNumberFormat="1" applyFont="1" applyFill="1" applyBorder="1" applyAlignment="1">
      <alignment horizontal="center" vertical="center"/>
    </xf>
    <xf numFmtId="0" fontId="73" fillId="2" borderId="1" xfId="14" applyFont="1" applyFill="1" applyBorder="1">
      <alignment vertical="center"/>
    </xf>
    <xf numFmtId="178" fontId="73" fillId="2" borderId="1" xfId="14" applyNumberFormat="1" applyFont="1" applyFill="1" applyBorder="1">
      <alignment vertical="center"/>
    </xf>
    <xf numFmtId="10" fontId="73" fillId="2" borderId="1" xfId="14" applyNumberFormat="1" applyFont="1" applyFill="1" applyBorder="1" applyAlignment="1">
      <alignment horizontal="center" vertical="center"/>
    </xf>
    <xf numFmtId="0" fontId="73" fillId="2" borderId="1" xfId="0" applyFont="1" applyFill="1" applyBorder="1" applyAlignment="1">
      <alignment horizontal="right" vertical="center"/>
    </xf>
    <xf numFmtId="0" fontId="63" fillId="2" borderId="3" xfId="0" applyFont="1" applyFill="1" applyBorder="1">
      <alignment vertical="center"/>
    </xf>
    <xf numFmtId="178" fontId="73" fillId="2" borderId="0" xfId="0" applyNumberFormat="1" applyFont="1" applyFill="1" applyAlignment="1">
      <alignment horizontal="center" vertical="center"/>
    </xf>
    <xf numFmtId="178" fontId="73" fillId="2" borderId="3" xfId="14" applyNumberFormat="1" applyFont="1" applyFill="1" applyBorder="1">
      <alignment vertical="center"/>
    </xf>
    <xf numFmtId="10" fontId="73" fillId="2" borderId="15" xfId="0" applyNumberFormat="1" applyFont="1" applyFill="1" applyBorder="1" applyAlignment="1">
      <alignment horizontal="center" vertical="center"/>
    </xf>
    <xf numFmtId="0" fontId="38" fillId="2" borderId="1" xfId="14" applyFont="1" applyFill="1" applyBorder="1" applyAlignment="1">
      <alignment horizontal="left" vertical="center"/>
    </xf>
    <xf numFmtId="186" fontId="38" fillId="2" borderId="4" xfId="0" applyNumberFormat="1" applyFont="1" applyFill="1" applyBorder="1" applyAlignment="1">
      <alignment horizontal="center" vertical="center"/>
    </xf>
    <xf numFmtId="186" fontId="38" fillId="2" borderId="1" xfId="0" applyNumberFormat="1" applyFont="1" applyFill="1" applyBorder="1" applyAlignment="1">
      <alignment horizontal="center" vertical="center"/>
    </xf>
    <xf numFmtId="178" fontId="38" fillId="2" borderId="3" xfId="14" applyNumberFormat="1" applyFont="1" applyFill="1" applyBorder="1">
      <alignment vertical="center"/>
    </xf>
    <xf numFmtId="10" fontId="38" fillId="2" borderId="15" xfId="0" applyNumberFormat="1" applyFont="1" applyFill="1" applyBorder="1" applyAlignment="1">
      <alignment horizontal="center" vertical="center"/>
    </xf>
    <xf numFmtId="0" fontId="38" fillId="2" borderId="2" xfId="0" applyFont="1" applyFill="1" applyBorder="1" applyAlignment="1"/>
    <xf numFmtId="178" fontId="38" fillId="2" borderId="0" xfId="0" applyNumberFormat="1" applyFont="1" applyFill="1" applyAlignment="1">
      <alignment horizontal="center" vertical="center"/>
    </xf>
    <xf numFmtId="0" fontId="73" fillId="2" borderId="1" xfId="14" applyFont="1" applyFill="1" applyBorder="1" applyAlignment="1">
      <alignment vertical="center" wrapText="1"/>
    </xf>
    <xf numFmtId="178" fontId="73" fillId="2" borderId="4" xfId="0" applyNumberFormat="1" applyFont="1" applyFill="1" applyBorder="1" applyAlignment="1">
      <alignment horizontal="center" vertical="center" wrapText="1"/>
    </xf>
    <xf numFmtId="0" fontId="63" fillId="2" borderId="2" xfId="0" applyFont="1" applyFill="1" applyBorder="1">
      <alignment vertical="center"/>
    </xf>
    <xf numFmtId="0" fontId="38" fillId="2" borderId="2" xfId="14" applyFont="1" applyFill="1" applyBorder="1" applyAlignment="1">
      <alignment horizontal="left" vertical="center"/>
    </xf>
    <xf numFmtId="10" fontId="38" fillId="2" borderId="1" xfId="0" applyNumberFormat="1" applyFont="1" applyFill="1" applyBorder="1" applyAlignment="1">
      <alignment horizontal="center" vertical="center" wrapText="1"/>
    </xf>
    <xf numFmtId="178" fontId="38" fillId="2" borderId="1" xfId="0" applyNumberFormat="1" applyFont="1" applyFill="1" applyBorder="1" applyAlignment="1">
      <alignment horizontal="center" vertical="center" wrapText="1"/>
    </xf>
    <xf numFmtId="49" fontId="38" fillId="2" borderId="12" xfId="0" applyNumberFormat="1" applyFont="1" applyFill="1" applyBorder="1" applyAlignment="1">
      <alignment horizontal="center" vertical="center"/>
    </xf>
    <xf numFmtId="0" fontId="73" fillId="2" borderId="33" xfId="14" applyFont="1" applyFill="1" applyBorder="1">
      <alignment vertical="center"/>
    </xf>
    <xf numFmtId="178" fontId="73" fillId="2" borderId="13" xfId="0" applyNumberFormat="1" applyFont="1" applyFill="1" applyBorder="1" applyAlignment="1">
      <alignment horizontal="center" vertical="center"/>
    </xf>
    <xf numFmtId="0" fontId="73" fillId="2" borderId="13" xfId="0" applyFont="1" applyFill="1" applyBorder="1">
      <alignment vertical="center"/>
    </xf>
    <xf numFmtId="178" fontId="73" fillId="2" borderId="13" xfId="0" applyNumberFormat="1" applyFont="1" applyFill="1" applyBorder="1">
      <alignment vertical="center"/>
    </xf>
    <xf numFmtId="10" fontId="73" fillId="2" borderId="13" xfId="0" applyNumberFormat="1" applyFont="1" applyFill="1" applyBorder="1" applyAlignment="1">
      <alignment horizontal="center" vertical="center"/>
    </xf>
    <xf numFmtId="178" fontId="73" fillId="2" borderId="33" xfId="0" applyNumberFormat="1" applyFont="1" applyFill="1" applyBorder="1">
      <alignment vertical="center"/>
    </xf>
    <xf numFmtId="178" fontId="73" fillId="2" borderId="45" xfId="0" applyNumberFormat="1" applyFont="1" applyFill="1" applyBorder="1">
      <alignment vertical="center"/>
    </xf>
    <xf numFmtId="0" fontId="73" fillId="2" borderId="21" xfId="0" applyFont="1" applyFill="1" applyBorder="1">
      <alignment vertical="center"/>
    </xf>
    <xf numFmtId="184" fontId="42" fillId="2" borderId="20" xfId="0" applyNumberFormat="1" applyFont="1" applyFill="1" applyBorder="1" applyAlignment="1">
      <alignment horizontal="center" vertical="center"/>
    </xf>
    <xf numFmtId="0" fontId="42" fillId="2" borderId="47" xfId="0" applyFont="1" applyFill="1" applyBorder="1">
      <alignment vertical="center"/>
    </xf>
    <xf numFmtId="0" fontId="42" fillId="2" borderId="0" xfId="14" applyFont="1" applyFill="1" applyAlignment="1">
      <alignment horizontal="center" vertical="center"/>
    </xf>
    <xf numFmtId="0" fontId="42" fillId="2" borderId="39" xfId="0" applyFont="1" applyFill="1" applyBorder="1">
      <alignment vertical="center"/>
    </xf>
    <xf numFmtId="0" fontId="73" fillId="5" borderId="0" xfId="0" applyFont="1" applyFill="1" applyProtection="1">
      <alignment vertical="center"/>
      <protection locked="0"/>
    </xf>
    <xf numFmtId="184" fontId="38" fillId="0" borderId="11" xfId="0" applyNumberFormat="1" applyFont="1" applyBorder="1" applyAlignment="1" applyProtection="1">
      <alignment horizontal="center" vertical="center"/>
      <protection locked="0"/>
    </xf>
    <xf numFmtId="187" fontId="7" fillId="2" borderId="11" xfId="0" applyNumberFormat="1" applyFont="1" applyFill="1" applyBorder="1" applyAlignment="1">
      <alignment horizontal="center" vertical="center"/>
    </xf>
    <xf numFmtId="184" fontId="38" fillId="0" borderId="40" xfId="0" applyNumberFormat="1" applyFont="1" applyBorder="1" applyAlignment="1" applyProtection="1">
      <alignment horizontal="center" vertical="center"/>
      <protection locked="0"/>
    </xf>
    <xf numFmtId="0" fontId="73" fillId="2" borderId="42" xfId="0" applyFont="1" applyFill="1" applyBorder="1">
      <alignment vertical="center"/>
    </xf>
    <xf numFmtId="0" fontId="40" fillId="2" borderId="3" xfId="0" applyFont="1" applyFill="1" applyBorder="1">
      <alignment vertical="center"/>
    </xf>
    <xf numFmtId="0" fontId="38" fillId="2" borderId="42" xfId="0" applyFont="1" applyFill="1" applyBorder="1" applyAlignment="1">
      <alignment horizontal="left" vertical="center"/>
    </xf>
    <xf numFmtId="0" fontId="63" fillId="2" borderId="42" xfId="0" applyFont="1" applyFill="1" applyBorder="1">
      <alignment vertical="center"/>
    </xf>
    <xf numFmtId="178" fontId="73" fillId="2" borderId="46" xfId="0" applyNumberFormat="1" applyFont="1" applyFill="1" applyBorder="1">
      <alignment vertical="center"/>
    </xf>
    <xf numFmtId="0" fontId="73" fillId="2" borderId="22" xfId="0" applyFont="1" applyFill="1" applyBorder="1">
      <alignment vertical="center"/>
    </xf>
    <xf numFmtId="49" fontId="70" fillId="7" borderId="129" xfId="0" applyNumberFormat="1" applyFont="1" applyFill="1" applyBorder="1" applyAlignment="1" applyProtection="1">
      <alignment horizontal="right"/>
      <protection locked="0"/>
    </xf>
    <xf numFmtId="0" fontId="94" fillId="2" borderId="31" xfId="14" applyFont="1" applyFill="1" applyBorder="1">
      <alignment vertical="center"/>
    </xf>
    <xf numFmtId="49" fontId="30" fillId="2" borderId="0" xfId="14" applyNumberFormat="1" applyFont="1" applyFill="1" applyAlignment="1">
      <alignment horizontal="right" vertical="center"/>
    </xf>
    <xf numFmtId="0" fontId="31" fillId="3" borderId="2" xfId="14" applyFont="1" applyFill="1" applyBorder="1" applyProtection="1">
      <alignment vertical="center"/>
      <protection locked="0"/>
    </xf>
    <xf numFmtId="0" fontId="30" fillId="2" borderId="2" xfId="14" applyFont="1" applyFill="1" applyBorder="1" applyAlignment="1">
      <alignment horizontal="right" vertical="center"/>
    </xf>
    <xf numFmtId="0" fontId="30" fillId="2" borderId="4" xfId="14" applyFont="1" applyFill="1" applyBorder="1">
      <alignment vertical="center"/>
    </xf>
    <xf numFmtId="0" fontId="30" fillId="3" borderId="1" xfId="14" applyFont="1" applyFill="1" applyBorder="1" applyProtection="1">
      <alignment vertical="center"/>
      <protection locked="0"/>
    </xf>
    <xf numFmtId="0" fontId="31" fillId="3" borderId="11" xfId="14" applyFont="1" applyFill="1" applyBorder="1" applyAlignment="1" applyProtection="1">
      <alignment horizontal="left" vertical="center"/>
      <protection locked="0"/>
    </xf>
    <xf numFmtId="10" fontId="31" fillId="13" borderId="2" xfId="14" applyNumberFormat="1" applyFont="1" applyFill="1" applyBorder="1" applyAlignment="1">
      <alignment horizontal="center"/>
    </xf>
    <xf numFmtId="10" fontId="31" fillId="13" borderId="2" xfId="14" applyNumberFormat="1" applyFont="1" applyFill="1" applyBorder="1" applyAlignment="1">
      <alignment horizontal="center" vertical="center"/>
    </xf>
    <xf numFmtId="9" fontId="31" fillId="13" borderId="2" xfId="14" applyNumberFormat="1" applyFont="1" applyFill="1" applyBorder="1" applyAlignment="1">
      <alignment horizontal="center" vertical="center"/>
    </xf>
    <xf numFmtId="0" fontId="60" fillId="3" borderId="11" xfId="14" applyFont="1" applyFill="1" applyBorder="1" applyAlignment="1" applyProtection="1">
      <alignment horizontal="right" vertical="center"/>
      <protection locked="0"/>
    </xf>
    <xf numFmtId="0" fontId="60" fillId="4" borderId="4" xfId="0" applyFont="1" applyFill="1" applyBorder="1" applyProtection="1">
      <alignment vertical="center"/>
      <protection locked="0"/>
    </xf>
    <xf numFmtId="0" fontId="60" fillId="4" borderId="0" xfId="0" applyFont="1" applyFill="1" applyProtection="1">
      <alignment vertical="center"/>
      <protection locked="0"/>
    </xf>
    <xf numFmtId="0" fontId="9" fillId="15" borderId="0" xfId="12" applyNumberFormat="1" applyFill="1" applyAlignment="1"/>
    <xf numFmtId="0" fontId="9" fillId="3" borderId="0" xfId="12" applyNumberFormat="1" applyFill="1" applyAlignment="1"/>
    <xf numFmtId="0" fontId="9" fillId="0" borderId="0" xfId="12" applyNumberFormat="1" applyAlignment="1"/>
    <xf numFmtId="14" fontId="9" fillId="0" borderId="0" xfId="12" applyNumberFormat="1" applyAlignment="1"/>
    <xf numFmtId="14" fontId="9" fillId="15" borderId="0" xfId="12" applyNumberFormat="1" applyFill="1" applyAlignment="1"/>
    <xf numFmtId="14" fontId="9" fillId="3" borderId="0" xfId="12" applyNumberFormat="1" applyFill="1" applyAlignment="1"/>
    <xf numFmtId="49" fontId="63" fillId="0" borderId="112" xfId="0" applyNumberFormat="1"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67" fillId="2" borderId="14" xfId="0" applyFont="1" applyFill="1" applyBorder="1" applyAlignment="1">
      <alignment horizontal="center" vertical="center" wrapText="1"/>
    </xf>
    <xf numFmtId="0" fontId="57" fillId="2" borderId="32" xfId="0" applyFont="1" applyFill="1" applyBorder="1" applyAlignment="1">
      <alignment horizontal="center" vertical="center"/>
    </xf>
    <xf numFmtId="178" fontId="32" fillId="2" borderId="2" xfId="14" applyNumberFormat="1" applyFont="1" applyFill="1" applyBorder="1" applyAlignment="1">
      <alignment horizontal="center"/>
    </xf>
    <xf numFmtId="0" fontId="49" fillId="2" borderId="9" xfId="0" applyFont="1" applyFill="1" applyBorder="1" applyAlignment="1">
      <alignment horizontal="center" vertical="center"/>
    </xf>
    <xf numFmtId="0" fontId="49" fillId="2" borderId="59"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46" xfId="0" applyFont="1" applyFill="1" applyBorder="1" applyAlignment="1">
      <alignment horizontal="center" vertical="center"/>
    </xf>
    <xf numFmtId="0" fontId="7" fillId="0" borderId="146" xfId="0" applyFont="1" applyBorder="1" applyAlignment="1" applyProtection="1">
      <alignment horizontal="center" vertical="center"/>
      <protection locked="0"/>
    </xf>
    <xf numFmtId="0" fontId="7" fillId="2" borderId="14" xfId="0" applyFont="1" applyFill="1" applyBorder="1" applyAlignment="1">
      <alignment horizontal="center" vertical="center"/>
    </xf>
    <xf numFmtId="0" fontId="7" fillId="0" borderId="60" xfId="0" applyFont="1" applyBorder="1" applyAlignment="1" applyProtection="1">
      <alignment horizontal="center" vertical="center"/>
      <protection locked="0"/>
    </xf>
    <xf numFmtId="0" fontId="32" fillId="2" borderId="0" xfId="0" applyFont="1" applyFill="1" applyAlignment="1"/>
    <xf numFmtId="0" fontId="73" fillId="3" borderId="10" xfId="0" applyFont="1" applyFill="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23" xfId="0" applyFont="1" applyBorder="1" applyAlignment="1" applyProtection="1">
      <alignment horizontal="center" vertical="center" wrapText="1"/>
      <protection locked="0"/>
    </xf>
    <xf numFmtId="0" fontId="95" fillId="0" borderId="123" xfId="0" applyFont="1" applyBorder="1" applyAlignment="1" applyProtection="1">
      <alignment horizontal="center" vertical="center" wrapText="1"/>
      <protection locked="0"/>
    </xf>
    <xf numFmtId="0" fontId="32" fillId="11" borderId="0" xfId="0" applyFont="1" applyFill="1" applyAlignment="1" applyProtection="1">
      <protection locked="0"/>
    </xf>
    <xf numFmtId="0" fontId="63" fillId="0" borderId="22" xfId="0" applyFont="1" applyBorder="1" applyAlignment="1" applyProtection="1">
      <alignment horizontal="center" vertical="center" wrapText="1"/>
      <protection locked="0"/>
    </xf>
    <xf numFmtId="0" fontId="33" fillId="0" borderId="147" xfId="0" applyFont="1" applyBorder="1" applyAlignment="1"/>
    <xf numFmtId="0" fontId="38" fillId="5" borderId="0" xfId="0" applyFont="1" applyFill="1">
      <alignment vertical="center"/>
    </xf>
    <xf numFmtId="0" fontId="38" fillId="0" borderId="0" xfId="0" applyFont="1">
      <alignment vertical="center"/>
    </xf>
    <xf numFmtId="0" fontId="96" fillId="2" borderId="0" xfId="0" applyFont="1" applyFill="1">
      <alignment vertical="center"/>
    </xf>
    <xf numFmtId="0" fontId="38" fillId="3" borderId="0" xfId="0" applyFont="1" applyFill="1" applyProtection="1">
      <alignment vertical="center"/>
      <protection locked="0"/>
    </xf>
    <xf numFmtId="0" fontId="78" fillId="2" borderId="15" xfId="0" applyFont="1" applyFill="1" applyBorder="1">
      <alignment vertical="center"/>
    </xf>
    <xf numFmtId="0" fontId="78" fillId="3" borderId="15" xfId="0" applyFont="1" applyFill="1" applyBorder="1" applyAlignment="1" applyProtection="1">
      <alignment horizontal="center" vertical="center" wrapText="1"/>
      <protection locked="0"/>
    </xf>
    <xf numFmtId="0" fontId="63" fillId="2" borderId="15" xfId="0" applyFont="1" applyFill="1" applyBorder="1" applyAlignment="1">
      <alignment vertical="center" wrapText="1"/>
    </xf>
    <xf numFmtId="0" fontId="63" fillId="2" borderId="15" xfId="0" applyFont="1" applyFill="1" applyBorder="1" applyAlignment="1">
      <alignment horizontal="center" vertical="center" wrapText="1"/>
    </xf>
    <xf numFmtId="0" fontId="49" fillId="7" borderId="15" xfId="0" applyFont="1" applyFill="1" applyBorder="1" applyAlignment="1" applyProtection="1">
      <alignment horizontal="center" vertical="center"/>
      <protection locked="0"/>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63" fillId="2" borderId="1" xfId="0" applyFont="1" applyFill="1" applyBorder="1" applyAlignment="1">
      <alignment horizontal="left" vertical="center" wrapText="1"/>
    </xf>
    <xf numFmtId="0" fontId="63" fillId="0" borderId="1" xfId="0" applyFont="1" applyBorder="1" applyAlignment="1" applyProtection="1">
      <alignment horizontal="center" vertical="center"/>
      <protection locked="0"/>
    </xf>
    <xf numFmtId="0" fontId="38" fillId="2" borderId="3" xfId="0" applyFont="1" applyFill="1" applyBorder="1" applyAlignment="1">
      <alignment vertical="center" wrapText="1"/>
    </xf>
    <xf numFmtId="0" fontId="73" fillId="2" borderId="2" xfId="0" applyFont="1" applyFill="1" applyBorder="1" applyAlignment="1">
      <alignment horizontal="right" vertical="center"/>
    </xf>
    <xf numFmtId="0" fontId="63" fillId="2" borderId="4" xfId="0" applyFont="1" applyFill="1" applyBorder="1">
      <alignment vertical="center"/>
    </xf>
    <xf numFmtId="0" fontId="63" fillId="2" borderId="16" xfId="0" applyFont="1" applyFill="1" applyBorder="1" applyAlignment="1">
      <alignment horizontal="center" vertical="center"/>
    </xf>
    <xf numFmtId="0" fontId="73" fillId="2" borderId="50" xfId="0" applyFont="1" applyFill="1" applyBorder="1" applyAlignment="1">
      <alignment horizontal="right" vertical="center"/>
    </xf>
    <xf numFmtId="0" fontId="63" fillId="2" borderId="0" xfId="0" applyFont="1" applyFill="1">
      <alignment vertical="center"/>
    </xf>
    <xf numFmtId="179" fontId="63" fillId="2" borderId="15" xfId="0" applyNumberFormat="1" applyFont="1" applyFill="1" applyBorder="1" applyAlignment="1">
      <alignment horizontal="center" vertical="center"/>
    </xf>
    <xf numFmtId="0" fontId="63" fillId="2" borderId="8" xfId="0" applyFont="1" applyFill="1" applyBorder="1">
      <alignment vertical="center"/>
    </xf>
    <xf numFmtId="0" fontId="49" fillId="2" borderId="8" xfId="0" applyFont="1" applyFill="1" applyBorder="1" applyAlignment="1">
      <alignment horizontal="center" vertical="center"/>
    </xf>
    <xf numFmtId="0" fontId="63" fillId="2" borderId="32" xfId="0" applyFont="1" applyFill="1" applyBorder="1" applyAlignment="1">
      <alignment horizontal="right" vertical="center"/>
    </xf>
    <xf numFmtId="0" fontId="38" fillId="2" borderId="39" xfId="0" applyFont="1" applyFill="1" applyBorder="1">
      <alignment vertical="center"/>
    </xf>
    <xf numFmtId="0" fontId="73" fillId="2" borderId="30" xfId="0" applyFont="1" applyFill="1" applyBorder="1">
      <alignment vertical="center"/>
    </xf>
    <xf numFmtId="0" fontId="63" fillId="2" borderId="1" xfId="0" applyFont="1" applyFill="1" applyBorder="1">
      <alignment vertical="center"/>
    </xf>
    <xf numFmtId="0" fontId="63" fillId="2" borderId="2" xfId="0" applyFont="1" applyFill="1" applyBorder="1" applyAlignment="1">
      <alignment horizontal="right" vertical="center"/>
    </xf>
    <xf numFmtId="0" fontId="63" fillId="2" borderId="13" xfId="0" applyFont="1" applyFill="1" applyBorder="1">
      <alignment vertical="center"/>
    </xf>
    <xf numFmtId="0" fontId="63" fillId="2" borderId="13" xfId="0" applyFont="1" applyFill="1" applyBorder="1" applyAlignment="1">
      <alignment horizontal="center" vertical="center"/>
    </xf>
    <xf numFmtId="0" fontId="63" fillId="2" borderId="14" xfId="0" applyFont="1" applyFill="1" applyBorder="1" applyAlignment="1">
      <alignment horizontal="center" vertical="center"/>
    </xf>
    <xf numFmtId="0" fontId="63" fillId="2" borderId="33" xfId="0" applyFont="1" applyFill="1" applyBorder="1" applyAlignment="1">
      <alignment horizontal="right" vertical="center"/>
    </xf>
    <xf numFmtId="0" fontId="38" fillId="2" borderId="46" xfId="0" applyFont="1" applyFill="1" applyBorder="1">
      <alignment vertical="center"/>
    </xf>
    <xf numFmtId="0" fontId="63" fillId="2" borderId="118" xfId="0" applyFont="1" applyFill="1" applyBorder="1">
      <alignment vertical="center"/>
    </xf>
    <xf numFmtId="0" fontId="63" fillId="2" borderId="110" xfId="0" applyFont="1" applyFill="1" applyBorder="1">
      <alignment vertical="center"/>
    </xf>
    <xf numFmtId="0" fontId="63" fillId="2" borderId="109" xfId="0" applyFont="1" applyFill="1" applyBorder="1">
      <alignment vertical="center"/>
    </xf>
    <xf numFmtId="181" fontId="97" fillId="2" borderId="116" xfId="0" applyNumberFormat="1" applyFont="1" applyFill="1" applyBorder="1" applyAlignment="1">
      <alignment horizontal="center" vertical="center"/>
    </xf>
    <xf numFmtId="0" fontId="63" fillId="2" borderId="39" xfId="0" applyFont="1" applyFill="1" applyBorder="1" applyAlignment="1">
      <alignment horizontal="center" vertical="center"/>
    </xf>
    <xf numFmtId="0" fontId="63" fillId="2" borderId="34" xfId="0" applyFont="1" applyFill="1" applyBorder="1" applyAlignment="1">
      <alignment horizontal="right" vertical="center"/>
    </xf>
    <xf numFmtId="0" fontId="63" fillId="2" borderId="42" xfId="0" applyFont="1" applyFill="1" applyBorder="1" applyAlignment="1">
      <alignment horizontal="center" vertical="center"/>
    </xf>
    <xf numFmtId="0" fontId="80" fillId="0" borderId="10"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80" fillId="0" borderId="11" xfId="0" applyFont="1" applyBorder="1" applyAlignment="1" applyProtection="1">
      <alignment horizontal="center" vertical="center"/>
      <protection locked="0"/>
    </xf>
    <xf numFmtId="0" fontId="21" fillId="2" borderId="0" xfId="0" applyFont="1" applyFill="1" applyAlignment="1">
      <alignment horizontal="left" vertical="center"/>
    </xf>
    <xf numFmtId="0" fontId="98" fillId="2" borderId="147" xfId="0" applyFont="1" applyFill="1" applyBorder="1" applyAlignment="1">
      <alignment horizontal="left"/>
    </xf>
    <xf numFmtId="0" fontId="33" fillId="2" borderId="147" xfId="0" applyFont="1" applyFill="1" applyBorder="1" applyAlignment="1">
      <alignment horizontal="left"/>
    </xf>
    <xf numFmtId="0" fontId="73" fillId="2" borderId="49" xfId="0" applyFont="1" applyFill="1" applyBorder="1" applyAlignment="1">
      <alignment horizontal="left" vertical="center"/>
    </xf>
    <xf numFmtId="0" fontId="63" fillId="2" borderId="31" xfId="0" applyFont="1" applyFill="1" applyBorder="1">
      <alignment vertical="center"/>
    </xf>
    <xf numFmtId="0" fontId="63" fillId="2" borderId="17" xfId="0" applyFont="1" applyFill="1" applyBorder="1" applyAlignment="1">
      <alignment horizontal="center" vertical="center"/>
    </xf>
    <xf numFmtId="0" fontId="73" fillId="3" borderId="36" xfId="0" applyFont="1" applyFill="1" applyBorder="1" applyAlignment="1" applyProtection="1">
      <alignment horizontal="right" vertical="center"/>
      <protection locked="0"/>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2" borderId="108" xfId="0" applyFont="1" applyFill="1" applyBorder="1">
      <alignment vertical="center"/>
    </xf>
    <xf numFmtId="0" fontId="38" fillId="2" borderId="9" xfId="0" applyFont="1" applyFill="1" applyBorder="1" applyAlignment="1">
      <alignment horizontal="center" vertical="center"/>
    </xf>
    <xf numFmtId="0" fontId="73" fillId="2" borderId="120" xfId="0" applyFont="1" applyFill="1" applyBorder="1" applyAlignment="1">
      <alignment horizontal="left" vertical="center"/>
    </xf>
    <xf numFmtId="0" fontId="63" fillId="2" borderId="112" xfId="0" applyFont="1" applyFill="1" applyBorder="1" applyAlignment="1">
      <alignment horizontal="right" vertical="center"/>
    </xf>
    <xf numFmtId="0" fontId="73" fillId="2" borderId="34" xfId="0" applyFont="1" applyFill="1" applyBorder="1" applyAlignment="1">
      <alignment horizontal="center" vertical="center"/>
    </xf>
    <xf numFmtId="181" fontId="63" fillId="2" borderId="28" xfId="0" applyNumberFormat="1" applyFont="1" applyFill="1" applyBorder="1">
      <alignment vertical="center"/>
    </xf>
    <xf numFmtId="0" fontId="38" fillId="2" borderId="4" xfId="0" applyFont="1" applyFill="1" applyBorder="1">
      <alignment vertical="center"/>
    </xf>
    <xf numFmtId="0" fontId="38" fillId="0" borderId="11" xfId="0" applyFont="1" applyBorder="1" applyProtection="1">
      <alignment vertical="center"/>
      <protection locked="0"/>
    </xf>
    <xf numFmtId="0" fontId="73" fillId="2" borderId="44" xfId="0" applyFont="1" applyFill="1" applyBorder="1" applyAlignment="1">
      <alignment horizontal="left" vertical="center"/>
    </xf>
    <xf numFmtId="0" fontId="63" fillId="2" borderId="62" xfId="0" applyFont="1" applyFill="1" applyBorder="1" applyAlignment="1">
      <alignment horizontal="right" vertical="center"/>
    </xf>
    <xf numFmtId="0" fontId="73" fillId="2" borderId="33" xfId="0" applyFont="1" applyFill="1" applyBorder="1" applyAlignment="1">
      <alignment horizontal="center" vertical="center"/>
    </xf>
    <xf numFmtId="181" fontId="63" fillId="2" borderId="14" xfId="0" applyNumberFormat="1" applyFont="1" applyFill="1" applyBorder="1">
      <alignment vertical="center"/>
    </xf>
    <xf numFmtId="0" fontId="38" fillId="2" borderId="62" xfId="0" applyFont="1" applyFill="1" applyBorder="1">
      <alignment vertical="center"/>
    </xf>
    <xf numFmtId="0" fontId="38" fillId="0" borderId="14" xfId="0" applyFont="1" applyBorder="1" applyProtection="1">
      <alignment vertical="center"/>
      <protection locked="0"/>
    </xf>
    <xf numFmtId="0" fontId="63" fillId="2" borderId="108" xfId="0" applyFont="1" applyFill="1" applyBorder="1" applyAlignment="1">
      <alignment horizontal="left" vertical="center"/>
    </xf>
    <xf numFmtId="0" fontId="73" fillId="0" borderId="9" xfId="0" applyFont="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2" borderId="116" xfId="0" applyFont="1" applyFill="1" applyBorder="1">
      <alignment vertical="center"/>
    </xf>
    <xf numFmtId="0" fontId="63" fillId="2" borderId="0" xfId="0" applyFont="1" applyFill="1" applyAlignment="1" applyProtection="1">
      <alignment horizontal="left" vertical="center"/>
      <protection locked="0"/>
    </xf>
    <xf numFmtId="0" fontId="63" fillId="2" borderId="4" xfId="0" applyFont="1" applyFill="1" applyBorder="1" applyAlignment="1">
      <alignment horizontal="left" vertical="center"/>
    </xf>
    <xf numFmtId="0" fontId="73" fillId="0" borderId="11" xfId="0" applyFont="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lignment horizontal="left" vertical="center"/>
    </xf>
    <xf numFmtId="0" fontId="73" fillId="0" borderId="13" xfId="0" applyFont="1" applyBorder="1" applyAlignment="1" applyProtection="1">
      <alignment horizontal="center" vertical="center"/>
      <protection locked="0"/>
    </xf>
    <xf numFmtId="0" fontId="63" fillId="0" borderId="116" xfId="0" applyFont="1" applyBorder="1" applyProtection="1">
      <alignment vertical="center"/>
      <protection locked="0"/>
    </xf>
    <xf numFmtId="0" fontId="80" fillId="0" borderId="7" xfId="0" applyFont="1" applyBorder="1" applyAlignment="1" applyProtection="1">
      <alignment horizontal="center" vertical="center"/>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center" vertical="center"/>
      <protection locked="0"/>
    </xf>
    <xf numFmtId="0" fontId="38" fillId="2" borderId="30" xfId="0" applyFont="1" applyFill="1" applyBorder="1">
      <alignment vertical="center"/>
    </xf>
    <xf numFmtId="0" fontId="38" fillId="0" borderId="10" xfId="0" applyFont="1" applyBorder="1" applyProtection="1">
      <alignment vertical="center"/>
      <protection locked="0"/>
    </xf>
    <xf numFmtId="0" fontId="38" fillId="0" borderId="11" xfId="0" applyFont="1" applyBorder="1" applyAlignment="1" applyProtection="1">
      <alignment horizontal="center" vertical="center"/>
      <protection locked="0"/>
    </xf>
    <xf numFmtId="0" fontId="38" fillId="2" borderId="61" xfId="0" applyFont="1" applyFill="1" applyBorder="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0" fontId="96" fillId="2" borderId="0" xfId="0" applyFont="1" applyFill="1" applyAlignment="1">
      <alignment horizontal="left" vertical="center"/>
    </xf>
    <xf numFmtId="0" fontId="99" fillId="2" borderId="0" xfId="0" applyFont="1" applyFill="1" applyAlignment="1">
      <alignment horizontal="left" vertical="center"/>
    </xf>
    <xf numFmtId="0" fontId="100" fillId="2" borderId="0" xfId="0" applyFont="1" applyFill="1">
      <alignment vertical="center"/>
    </xf>
    <xf numFmtId="0" fontId="100" fillId="2" borderId="0" xfId="0" applyFont="1" applyFill="1" applyAlignment="1">
      <alignment horizontal="center" vertical="center"/>
    </xf>
    <xf numFmtId="0" fontId="38" fillId="2" borderId="95" xfId="0" applyFont="1" applyFill="1" applyBorder="1" applyAlignment="1">
      <alignment horizontal="right" vertical="center"/>
    </xf>
    <xf numFmtId="9" fontId="38" fillId="3" borderId="95"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40" fillId="2" borderId="30" xfId="0" applyFont="1" applyFill="1" applyBorder="1" applyAlignment="1">
      <alignment horizontal="left" vertical="center" wrapText="1"/>
    </xf>
    <xf numFmtId="0" fontId="40" fillId="2" borderId="96" xfId="0" applyFont="1" applyFill="1" applyBorder="1" applyAlignment="1">
      <alignment horizontal="left" vertical="center" wrapText="1"/>
    </xf>
    <xf numFmtId="0" fontId="40" fillId="2" borderId="112" xfId="0" applyFont="1" applyFill="1" applyBorder="1" applyAlignment="1">
      <alignment horizontal="left" vertical="center" wrapText="1"/>
    </xf>
    <xf numFmtId="0" fontId="40" fillId="2" borderId="1" xfId="0" applyFont="1" applyFill="1" applyBorder="1" applyAlignment="1">
      <alignment horizontal="left" vertical="center" wrapText="1"/>
    </xf>
    <xf numFmtId="9" fontId="38" fillId="2" borderId="11"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51"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9" fillId="0" borderId="11" xfId="0" applyFont="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2" borderId="48" xfId="0" applyFont="1" applyFill="1" applyBorder="1" applyAlignment="1">
      <alignment horizontal="left" vertical="center"/>
    </xf>
    <xf numFmtId="0" fontId="38" fillId="2" borderId="119" xfId="0" applyFont="1" applyFill="1" applyBorder="1" applyAlignment="1">
      <alignment horizontal="left" vertical="center"/>
    </xf>
    <xf numFmtId="0" fontId="92" fillId="13" borderId="0" xfId="0" applyFont="1" applyFill="1" applyAlignment="1">
      <alignment horizontal="left" vertical="center"/>
    </xf>
    <xf numFmtId="0" fontId="38" fillId="2" borderId="27" xfId="0" applyFont="1" applyFill="1" applyBorder="1" applyAlignment="1">
      <alignment horizontal="left" vertical="center" wrapText="1"/>
    </xf>
    <xf numFmtId="0" fontId="38" fillId="2" borderId="50" xfId="0" applyFont="1" applyFill="1" applyBorder="1" applyAlignment="1">
      <alignment horizontal="left" vertical="center"/>
    </xf>
    <xf numFmtId="0" fontId="38" fillId="13" borderId="0" xfId="0" applyFont="1" applyFill="1" applyAlignment="1">
      <alignment horizontal="left" vertical="center"/>
    </xf>
    <xf numFmtId="0" fontId="38" fillId="2" borderId="58"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8" fillId="2" borderId="1" xfId="0" applyNumberFormat="1" applyFont="1" applyFill="1" applyBorder="1" applyAlignment="1">
      <alignment horizontal="left" vertical="center"/>
    </xf>
    <xf numFmtId="0" fontId="38" fillId="2" borderId="11"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45" fillId="0" borderId="11" xfId="0" applyFont="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3" borderId="33" xfId="0" applyFont="1" applyFill="1" applyBorder="1" applyAlignment="1">
      <alignment horizontal="left" vertical="center"/>
    </xf>
    <xf numFmtId="0" fontId="38" fillId="13" borderId="13" xfId="0" applyFont="1" applyFill="1" applyBorder="1" applyAlignment="1">
      <alignment horizontal="left" vertical="center" wrapText="1"/>
    </xf>
    <xf numFmtId="10" fontId="38" fillId="13" borderId="13" xfId="0" applyNumberFormat="1" applyFont="1" applyFill="1" applyBorder="1" applyAlignment="1">
      <alignment horizontal="left" vertical="center"/>
    </xf>
    <xf numFmtId="0" fontId="45" fillId="0" borderId="14" xfId="0" applyFont="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9" xfId="0" applyFont="1" applyFill="1" applyBorder="1" applyAlignment="1">
      <alignment horizontal="left" vertical="center" wrapText="1"/>
    </xf>
    <xf numFmtId="49" fontId="40" fillId="2" borderId="10" xfId="0" applyNumberFormat="1" applyFont="1" applyFill="1" applyBorder="1" applyAlignment="1">
      <alignment horizontal="left" vertical="center" wrapText="1"/>
    </xf>
    <xf numFmtId="0" fontId="31" fillId="2" borderId="16" xfId="0" applyFont="1" applyFill="1" applyBorder="1" applyAlignment="1">
      <alignment horizontal="left" vertical="center" wrapText="1"/>
    </xf>
    <xf numFmtId="178" fontId="31" fillId="2" borderId="16" xfId="0" applyNumberFormat="1" applyFont="1" applyFill="1" applyBorder="1" applyAlignment="1">
      <alignment horizontal="left" vertical="center" wrapText="1"/>
    </xf>
    <xf numFmtId="0" fontId="38" fillId="2" borderId="28" xfId="0" applyFont="1" applyFill="1" applyBorder="1" applyAlignment="1">
      <alignment horizontal="left" vertical="center" wrapText="1"/>
    </xf>
    <xf numFmtId="49" fontId="38" fillId="2" borderId="10" xfId="0" applyNumberFormat="1" applyFont="1" applyFill="1" applyBorder="1" applyAlignment="1">
      <alignment horizontal="left" vertical="center" wrapText="1"/>
    </xf>
    <xf numFmtId="178" fontId="32" fillId="2" borderId="1" xfId="0" applyNumberFormat="1" applyFont="1" applyFill="1" applyBorder="1" applyAlignment="1">
      <alignment horizontal="left" vertical="center" wrapText="1"/>
    </xf>
    <xf numFmtId="0" fontId="38" fillId="2" borderId="11" xfId="0" applyFont="1" applyFill="1" applyBorder="1" applyAlignment="1">
      <alignment horizontal="left" vertical="center" wrapText="1"/>
    </xf>
    <xf numFmtId="0" fontId="78" fillId="3" borderId="15" xfId="0" applyFont="1" applyFill="1" applyBorder="1" applyAlignment="1" applyProtection="1">
      <alignment horizontal="center" vertical="center"/>
      <protection locked="0"/>
    </xf>
    <xf numFmtId="0" fontId="38" fillId="2" borderId="4" xfId="0" applyFont="1" applyFill="1" applyBorder="1" applyAlignment="1">
      <alignment horizontal="center" vertical="center" wrapText="1"/>
    </xf>
    <xf numFmtId="0" fontId="98" fillId="2" borderId="147" xfId="0" applyFont="1" applyFill="1" applyBorder="1" applyAlignment="1">
      <alignment horizontal="right"/>
    </xf>
    <xf numFmtId="0" fontId="98" fillId="16"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2" borderId="0" xfId="0" applyFont="1" applyFill="1">
      <alignment vertical="center"/>
    </xf>
    <xf numFmtId="0" fontId="43" fillId="2" borderId="0" xfId="0" applyFont="1" applyFill="1" applyAlignment="1">
      <alignment horizontal="left" vertical="center"/>
    </xf>
    <xf numFmtId="0" fontId="7" fillId="2" borderId="1" xfId="0" applyFont="1" applyFill="1" applyBorder="1" applyAlignment="1">
      <alignment horizontal="left" vertical="center" wrapText="1"/>
    </xf>
    <xf numFmtId="0" fontId="43" fillId="2" borderId="1" xfId="0" applyFont="1" applyFill="1" applyBorder="1" applyAlignment="1">
      <alignment horizontal="left" vertical="center" wrapText="1"/>
    </xf>
    <xf numFmtId="10" fontId="38" fillId="13"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02" fillId="2" borderId="1" xfId="0" applyFont="1" applyFill="1" applyBorder="1" applyAlignment="1">
      <alignment horizontal="left" vertical="center" wrapText="1"/>
    </xf>
    <xf numFmtId="10" fontId="102" fillId="2" borderId="1" xfId="0" applyNumberFormat="1" applyFont="1" applyFill="1" applyBorder="1" applyAlignment="1">
      <alignment horizontal="left" vertical="center"/>
    </xf>
    <xf numFmtId="9" fontId="102" fillId="2" borderId="1" xfId="0" applyNumberFormat="1" applyFont="1" applyFill="1" applyBorder="1" applyAlignment="1">
      <alignment horizontal="left" vertical="center"/>
    </xf>
    <xf numFmtId="10" fontId="38" fillId="2" borderId="2" xfId="0" applyNumberFormat="1" applyFont="1" applyFill="1" applyBorder="1" applyAlignment="1">
      <alignment horizontal="center" vertical="center"/>
    </xf>
    <xf numFmtId="0" fontId="102" fillId="2" borderId="15" xfId="0" applyFont="1" applyFill="1" applyBorder="1" applyAlignment="1">
      <alignment horizontal="left" vertical="center" wrapText="1"/>
    </xf>
    <xf numFmtId="9" fontId="102" fillId="2" borderId="15" xfId="0" applyNumberFormat="1" applyFont="1" applyFill="1" applyBorder="1" applyAlignment="1">
      <alignment horizontal="left" vertical="center"/>
    </xf>
    <xf numFmtId="0" fontId="7" fillId="2" borderId="2" xfId="0" applyFont="1" applyFill="1" applyBorder="1" applyAlignment="1">
      <alignment horizontal="left" vertical="center" wrapText="1"/>
    </xf>
    <xf numFmtId="0" fontId="102" fillId="2" borderId="48" xfId="0" applyFont="1" applyFill="1" applyBorder="1" applyAlignment="1">
      <alignment horizontal="left" vertical="center" wrapText="1"/>
    </xf>
    <xf numFmtId="0" fontId="102" fillId="2" borderId="95" xfId="0" applyFont="1" applyFill="1" applyBorder="1" applyAlignment="1">
      <alignment horizontal="left" vertical="center" wrapText="1"/>
    </xf>
    <xf numFmtId="0" fontId="102" fillId="2" borderId="114"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02" fillId="2" borderId="2" xfId="0" applyFont="1" applyFill="1" applyBorder="1" applyAlignment="1">
      <alignment horizontal="left" vertical="center" wrapText="1"/>
    </xf>
    <xf numFmtId="0" fontId="102" fillId="2" borderId="3" xfId="0" applyFont="1" applyFill="1" applyBorder="1" applyAlignment="1">
      <alignment horizontal="left" vertical="center"/>
    </xf>
    <xf numFmtId="0" fontId="102" fillId="2" borderId="4" xfId="0" applyFont="1" applyFill="1" applyBorder="1" applyAlignment="1">
      <alignment horizontal="left" vertical="center" wrapText="1"/>
    </xf>
    <xf numFmtId="0" fontId="92" fillId="13" borderId="0" xfId="0" applyFont="1" applyFill="1">
      <alignment vertical="center"/>
    </xf>
    <xf numFmtId="0" fontId="102" fillId="2" borderId="50" xfId="0" applyFont="1" applyFill="1" applyBorder="1" applyAlignment="1">
      <alignment horizontal="left" vertical="center" wrapText="1"/>
    </xf>
    <xf numFmtId="0" fontId="102" fillId="2" borderId="0" xfId="0" applyFont="1" applyFill="1" applyAlignment="1">
      <alignment horizontal="left" vertical="center" wrapText="1"/>
    </xf>
    <xf numFmtId="0" fontId="102" fillId="2" borderId="119" xfId="0" applyFont="1" applyFill="1" applyBorder="1" applyAlignment="1">
      <alignment horizontal="left" vertical="center" wrapText="1"/>
    </xf>
    <xf numFmtId="0" fontId="102" fillId="2" borderId="34" xfId="0" applyFont="1" applyFill="1" applyBorder="1" applyAlignment="1">
      <alignment horizontal="left" vertical="center" wrapText="1"/>
    </xf>
    <xf numFmtId="0" fontId="102" fillId="2" borderId="96" xfId="0" applyFont="1" applyFill="1" applyBorder="1" applyAlignment="1">
      <alignment horizontal="left" vertical="center" wrapText="1"/>
    </xf>
    <xf numFmtId="0" fontId="102" fillId="2" borderId="112"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xf numFmtId="178" fontId="32" fillId="0" borderId="1" xfId="0" applyNumberFormat="1" applyFont="1" applyBorder="1" applyAlignment="1" applyProtection="1">
      <alignment horizontal="left" vertical="center" wrapText="1"/>
      <protection locked="0"/>
    </xf>
    <xf numFmtId="0" fontId="31" fillId="2"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45" fillId="2" borderId="11" xfId="0" applyFont="1" applyFill="1" applyBorder="1" applyAlignment="1">
      <alignment horizontal="left" vertical="center"/>
    </xf>
    <xf numFmtId="178" fontId="31" fillId="2" borderId="1" xfId="0" applyNumberFormat="1" applyFont="1" applyFill="1" applyBorder="1" applyAlignment="1">
      <alignment horizontal="left" vertical="center" wrapText="1"/>
    </xf>
    <xf numFmtId="49" fontId="40" fillId="2" borderId="12"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178" fontId="31" fillId="2" borderId="13"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0" fontId="38" fillId="2" borderId="14" xfId="0" applyFont="1" applyFill="1" applyBorder="1" applyAlignment="1">
      <alignment horizontal="left" vertical="center"/>
    </xf>
    <xf numFmtId="49" fontId="40" fillId="2" borderId="3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78" fontId="31"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32" xfId="0" applyFont="1" applyFill="1" applyBorder="1" applyAlignment="1">
      <alignment horizontal="left" vertical="center" wrapText="1"/>
    </xf>
    <xf numFmtId="0" fontId="38" fillId="2" borderId="38" xfId="0" applyFont="1" applyFill="1" applyBorder="1" applyAlignment="1">
      <alignment horizontal="left" vertical="center" wrapText="1"/>
    </xf>
    <xf numFmtId="0" fontId="63" fillId="2" borderId="39" xfId="15" applyFont="1" applyFill="1" applyBorder="1" applyAlignment="1">
      <alignment horizontal="left" vertical="center" wrapText="1"/>
    </xf>
    <xf numFmtId="0" fontId="63" fillId="2" borderId="42" xfId="15" applyFont="1" applyFill="1" applyBorder="1" applyAlignment="1">
      <alignment horizontal="left" vertical="center" wrapText="1"/>
    </xf>
    <xf numFmtId="0" fontId="32" fillId="0" borderId="1" xfId="0" applyFont="1" applyBorder="1" applyAlignment="1" applyProtection="1">
      <alignment horizontal="left" vertical="center" wrapText="1"/>
      <protection locked="0"/>
    </xf>
    <xf numFmtId="0" fontId="63" fillId="2" borderId="1" xfId="15" applyFont="1" applyFill="1" applyBorder="1" applyAlignment="1">
      <alignment horizontal="left" vertical="center" wrapText="1"/>
    </xf>
    <xf numFmtId="0" fontId="63" fillId="7" borderId="1" xfId="15" applyFont="1" applyFill="1" applyBorder="1" applyAlignment="1" applyProtection="1">
      <alignment horizontal="left" vertical="center" wrapText="1"/>
      <protection locked="0"/>
    </xf>
    <xf numFmtId="178" fontId="32" fillId="0" borderId="11" xfId="0" applyNumberFormat="1" applyFont="1" applyBorder="1" applyAlignment="1" applyProtection="1">
      <alignment horizontal="left" vertical="center" wrapText="1"/>
      <protection locked="0"/>
    </xf>
    <xf numFmtId="0" fontId="32" fillId="2" borderId="16" xfId="0" applyFont="1" applyFill="1" applyBorder="1" applyAlignment="1">
      <alignment horizontal="left" vertical="center" wrapText="1"/>
    </xf>
    <xf numFmtId="9" fontId="63" fillId="2" borderId="0" xfId="0" applyNumberFormat="1" applyFont="1" applyFill="1" applyAlignment="1">
      <alignment horizontal="left" vertical="center"/>
    </xf>
    <xf numFmtId="0" fontId="38" fillId="2" borderId="42" xfId="0" applyFont="1" applyFill="1" applyBorder="1" applyAlignment="1">
      <alignment horizontal="left" vertical="center" wrapText="1"/>
    </xf>
    <xf numFmtId="10" fontId="32" fillId="2" borderId="1" xfId="0" applyNumberFormat="1" applyFont="1" applyFill="1" applyBorder="1" applyAlignment="1">
      <alignment horizontal="left" vertical="center" wrapText="1"/>
    </xf>
    <xf numFmtId="0" fontId="63" fillId="2" borderId="3" xfId="0" applyFont="1" applyFill="1" applyBorder="1" applyAlignment="1">
      <alignment horizontal="left" vertical="center"/>
    </xf>
    <xf numFmtId="0" fontId="38" fillId="7" borderId="3" xfId="0" applyFont="1" applyFill="1" applyBorder="1" applyAlignment="1" applyProtection="1">
      <alignment horizontal="left" vertical="center" wrapText="1"/>
      <protection locked="0"/>
    </xf>
    <xf numFmtId="195" fontId="32" fillId="2" borderId="1" xfId="0" applyNumberFormat="1" applyFont="1" applyFill="1" applyBorder="1" applyAlignment="1">
      <alignment horizontal="left" vertical="center" wrapText="1"/>
    </xf>
    <xf numFmtId="10" fontId="40" fillId="2" borderId="2" xfId="0" applyNumberFormat="1" applyFont="1" applyFill="1" applyBorder="1" applyAlignment="1">
      <alignment horizontal="left" vertical="center" wrapText="1"/>
    </xf>
    <xf numFmtId="10" fontId="38" fillId="2" borderId="2" xfId="0" applyNumberFormat="1" applyFont="1" applyFill="1" applyBorder="1" applyAlignment="1">
      <alignment horizontal="left" vertical="center" wrapText="1"/>
    </xf>
    <xf numFmtId="10" fontId="38" fillId="2" borderId="3" xfId="0" applyNumberFormat="1" applyFont="1" applyFill="1" applyBorder="1" applyAlignment="1">
      <alignment horizontal="left" vertical="center" wrapText="1"/>
    </xf>
    <xf numFmtId="10" fontId="38" fillId="2" borderId="42" xfId="0" applyNumberFormat="1" applyFont="1" applyFill="1" applyBorder="1" applyAlignment="1">
      <alignment horizontal="left" vertical="center" wrapText="1"/>
    </xf>
    <xf numFmtId="181" fontId="31" fillId="2" borderId="1" xfId="0" applyNumberFormat="1" applyFont="1" applyFill="1" applyBorder="1" applyAlignment="1">
      <alignment horizontal="left" vertical="center" wrapText="1"/>
    </xf>
    <xf numFmtId="0" fontId="40" fillId="2" borderId="13"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8" fillId="2" borderId="33" xfId="0" applyFont="1" applyFill="1" applyBorder="1" applyAlignment="1">
      <alignment horizontal="left" vertical="center"/>
    </xf>
    <xf numFmtId="0" fontId="38" fillId="2" borderId="45" xfId="0" applyFont="1" applyFill="1" applyBorder="1" applyAlignment="1">
      <alignment horizontal="left" vertical="center" wrapText="1"/>
    </xf>
    <xf numFmtId="0" fontId="63" fillId="2" borderId="46" xfId="15" applyFont="1" applyFill="1" applyBorder="1" applyAlignment="1">
      <alignment horizontal="left" vertical="center" wrapText="1"/>
    </xf>
    <xf numFmtId="0" fontId="49" fillId="2" borderId="0" xfId="0" applyFont="1" applyFill="1" applyAlignment="1">
      <alignment horizontal="left" vertical="center"/>
    </xf>
    <xf numFmtId="0" fontId="49" fillId="2" borderId="0" xfId="15" applyFont="1" applyFill="1" applyAlignment="1">
      <alignment horizontal="left"/>
    </xf>
    <xf numFmtId="0" fontId="38" fillId="2" borderId="39" xfId="15" applyFont="1" applyFill="1" applyBorder="1" applyAlignment="1">
      <alignment horizontal="left" vertical="center" wrapText="1"/>
    </xf>
    <xf numFmtId="0" fontId="38" fillId="2" borderId="42" xfId="15" applyFont="1" applyFill="1" applyBorder="1" applyAlignment="1">
      <alignment horizontal="left" vertical="center" wrapText="1"/>
    </xf>
    <xf numFmtId="0" fontId="32" fillId="2" borderId="2" xfId="0" applyFont="1" applyFill="1" applyBorder="1" applyAlignment="1">
      <alignment horizontal="left" vertical="center" wrapText="1"/>
    </xf>
    <xf numFmtId="195" fontId="32" fillId="0" borderId="1" xfId="0" applyNumberFormat="1" applyFont="1" applyBorder="1" applyAlignment="1" applyProtection="1">
      <alignment horizontal="left" vertical="center" wrapText="1"/>
      <protection locked="0"/>
    </xf>
    <xf numFmtId="10" fontId="38" fillId="2" borderId="2" xfId="0" applyNumberFormat="1" applyFont="1" applyFill="1" applyBorder="1" applyAlignment="1">
      <alignment horizontal="left" vertical="center"/>
    </xf>
    <xf numFmtId="0" fontId="103" fillId="2" borderId="0" xfId="0" applyFont="1" applyFill="1" applyAlignment="1">
      <alignment horizontal="left" vertical="center"/>
    </xf>
    <xf numFmtId="10" fontId="38" fillId="7"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2" borderId="46" xfId="15" applyFont="1" applyFill="1" applyBorder="1" applyAlignment="1">
      <alignment horizontal="left" vertical="center" wrapText="1"/>
    </xf>
    <xf numFmtId="0" fontId="73" fillId="2" borderId="39" xfId="0" applyFont="1" applyFill="1" applyBorder="1" applyAlignment="1">
      <alignment horizontal="center" vertical="center"/>
    </xf>
    <xf numFmtId="0" fontId="104" fillId="2" borderId="1" xfId="0" applyFont="1" applyFill="1" applyBorder="1" applyAlignment="1">
      <alignment horizontal="left" vertical="center" wrapText="1"/>
    </xf>
    <xf numFmtId="0" fontId="104" fillId="2" borderId="11" xfId="0" applyFont="1" applyFill="1" applyBorder="1" applyAlignment="1">
      <alignment horizontal="left" vertical="center" wrapText="1"/>
    </xf>
    <xf numFmtId="0" fontId="73" fillId="2" borderId="4" xfId="0" applyFont="1" applyFill="1" applyBorder="1" applyAlignment="1">
      <alignment horizontal="left" vertical="center"/>
    </xf>
    <xf numFmtId="0" fontId="105" fillId="2" borderId="1" xfId="0" applyFont="1" applyFill="1" applyBorder="1" applyAlignment="1">
      <alignment vertical="center" wrapText="1"/>
    </xf>
    <xf numFmtId="0" fontId="73" fillId="2" borderId="11" xfId="0" applyFont="1" applyFill="1" applyBorder="1" applyAlignment="1">
      <alignment horizontal="left" vertical="center"/>
    </xf>
    <xf numFmtId="0" fontId="105" fillId="2" borderId="1" xfId="0" applyFont="1" applyFill="1" applyBorder="1" applyAlignment="1">
      <alignment horizontal="left" vertical="center" wrapText="1"/>
    </xf>
    <xf numFmtId="0" fontId="104" fillId="2" borderId="15" xfId="0" applyFont="1" applyFill="1" applyBorder="1" applyAlignment="1">
      <alignment horizontal="left" vertical="center" wrapText="1"/>
    </xf>
    <xf numFmtId="0" fontId="104" fillId="2" borderId="40" xfId="0" applyFont="1" applyFill="1" applyBorder="1" applyAlignment="1">
      <alignment horizontal="left" vertical="center" wrapText="1"/>
    </xf>
    <xf numFmtId="0" fontId="104" fillId="2" borderId="1" xfId="0" applyFont="1" applyFill="1" applyBorder="1" applyAlignment="1">
      <alignment vertical="center" wrapText="1"/>
    </xf>
    <xf numFmtId="0" fontId="105" fillId="2" borderId="2" xfId="0" applyFont="1" applyFill="1" applyBorder="1" applyAlignment="1">
      <alignment horizontal="left" vertical="center" wrapText="1"/>
    </xf>
    <xf numFmtId="0" fontId="104" fillId="2" borderId="2" xfId="0" applyFont="1" applyFill="1" applyBorder="1" applyAlignment="1">
      <alignment horizontal="left" vertical="center" wrapText="1"/>
    </xf>
    <xf numFmtId="0" fontId="104" fillId="2" borderId="42" xfId="0" applyFont="1" applyFill="1" applyBorder="1" applyAlignment="1">
      <alignment horizontal="left" vertical="center" wrapText="1"/>
    </xf>
    <xf numFmtId="0" fontId="63" fillId="2" borderId="1" xfId="0" applyFont="1" applyFill="1" applyBorder="1" applyAlignment="1">
      <alignment horizontal="left" vertical="center"/>
    </xf>
    <xf numFmtId="0" fontId="63" fillId="13" borderId="11" xfId="0" applyFont="1" applyFill="1" applyBorder="1" applyAlignment="1">
      <alignment horizontal="left" vertical="center"/>
    </xf>
    <xf numFmtId="0" fontId="105" fillId="2" borderId="33" xfId="0" applyFont="1" applyFill="1" applyBorder="1" applyAlignment="1">
      <alignment horizontal="left" vertical="center" wrapText="1"/>
    </xf>
    <xf numFmtId="0" fontId="104" fillId="2" borderId="33" xfId="0" applyFont="1" applyFill="1" applyBorder="1" applyAlignment="1">
      <alignment horizontal="left" vertical="center" wrapText="1"/>
    </xf>
    <xf numFmtId="0" fontId="104" fillId="2" borderId="46" xfId="0" applyFont="1" applyFill="1" applyBorder="1" applyAlignment="1">
      <alignment horizontal="left" vertical="center" wrapText="1"/>
    </xf>
    <xf numFmtId="0" fontId="63" fillId="2" borderId="11" xfId="0" applyFont="1" applyFill="1" applyBorder="1" applyAlignment="1">
      <alignment horizontal="left" vertical="center"/>
    </xf>
    <xf numFmtId="0" fontId="63" fillId="2" borderId="10" xfId="0" applyFont="1" applyFill="1" applyBorder="1" applyAlignment="1">
      <alignment horizontal="left" vertical="center"/>
    </xf>
    <xf numFmtId="0" fontId="40" fillId="2" borderId="11" xfId="0" applyFont="1" applyFill="1" applyBorder="1" applyAlignment="1">
      <alignment horizontal="left" vertical="center"/>
    </xf>
    <xf numFmtId="0" fontId="105" fillId="2" borderId="13" xfId="0" applyFont="1" applyFill="1" applyBorder="1" applyAlignment="1">
      <alignment vertical="center" wrapText="1"/>
    </xf>
    <xf numFmtId="0" fontId="63" fillId="2" borderId="14" xfId="0" applyFont="1" applyFill="1" applyBorder="1" applyAlignment="1">
      <alignment horizontal="left" vertical="center"/>
    </xf>
    <xf numFmtId="0" fontId="63" fillId="2" borderId="1"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15" applyFont="1" applyFill="1" applyAlignment="1">
      <alignment horizontal="left" vertical="center" wrapText="1"/>
    </xf>
    <xf numFmtId="0" fontId="49" fillId="5" borderId="0" xfId="0" applyFont="1" applyFill="1" applyProtection="1">
      <alignment vertical="center"/>
      <protection locked="0"/>
    </xf>
    <xf numFmtId="0" fontId="49" fillId="2" borderId="0" xfId="15" applyFont="1" applyFill="1" applyAlignment="1" applyProtection="1">
      <alignment vertical="center" wrapText="1"/>
      <protection locked="0"/>
    </xf>
    <xf numFmtId="0" fontId="106" fillId="5" borderId="0" xfId="0" applyFont="1" applyFill="1" applyProtection="1">
      <alignment vertical="center"/>
      <protection locked="0"/>
    </xf>
    <xf numFmtId="0" fontId="49" fillId="2" borderId="0" xfId="15" applyFont="1" applyFill="1" applyProtection="1">
      <protection locked="0"/>
    </xf>
    <xf numFmtId="0" fontId="107" fillId="5" borderId="0" xfId="0" applyFont="1" applyFill="1">
      <alignment vertical="center"/>
    </xf>
    <xf numFmtId="0" fontId="49" fillId="0" borderId="10" xfId="0" applyFont="1" applyBorder="1" applyProtection="1">
      <alignment vertical="center"/>
      <protection locked="0"/>
    </xf>
    <xf numFmtId="0" fontId="80" fillId="5" borderId="0" xfId="0" applyFont="1" applyFill="1">
      <alignment vertical="center"/>
    </xf>
    <xf numFmtId="0" fontId="49" fillId="5" borderId="0" xfId="0" applyFont="1" applyFill="1">
      <alignment vertical="center"/>
    </xf>
    <xf numFmtId="0" fontId="94" fillId="0" borderId="48" xfId="0" applyFont="1" applyBorder="1" applyAlignment="1">
      <alignment horizontal="left" vertical="center"/>
    </xf>
    <xf numFmtId="0" fontId="38" fillId="0" borderId="95" xfId="0" applyFont="1" applyBorder="1" applyAlignment="1">
      <alignment horizontal="left" vertical="center" wrapText="1"/>
    </xf>
    <xf numFmtId="0" fontId="77" fillId="3" borderId="95" xfId="0" applyFont="1" applyFill="1" applyBorder="1" applyAlignment="1" applyProtection="1">
      <alignment horizontal="left" vertical="center" wrapText="1"/>
      <protection locked="0"/>
    </xf>
    <xf numFmtId="0" fontId="38" fillId="5" borderId="95" xfId="0" applyFont="1" applyFill="1" applyBorder="1" applyAlignment="1">
      <alignment horizontal="center" vertical="center" wrapText="1"/>
    </xf>
    <xf numFmtId="0" fontId="38" fillId="5" borderId="95" xfId="0" applyFont="1" applyFill="1" applyBorder="1" applyAlignment="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Alignment="1" applyProtection="1">
      <alignment horizontal="left" vertical="center" wrapText="1"/>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08" fillId="0" borderId="0" xfId="20" applyAlignment="1" applyProtection="1">
      <alignment horizontal="left"/>
      <protection locked="0"/>
    </xf>
    <xf numFmtId="0" fontId="109" fillId="2" borderId="1" xfId="20" applyFont="1" applyFill="1" applyBorder="1" applyAlignment="1">
      <alignment horizontal="left" vertical="center" wrapText="1"/>
    </xf>
    <xf numFmtId="0" fontId="109" fillId="11" borderId="0" xfId="20" applyFont="1" applyFill="1" applyAlignment="1" applyProtection="1">
      <alignment horizontal="left" vertical="center" wrapText="1"/>
      <protection locked="0"/>
    </xf>
    <xf numFmtId="0" fontId="108" fillId="11" borderId="0" xfId="20" applyFill="1" applyAlignment="1" applyProtection="1">
      <alignment horizontal="left"/>
      <protection locked="0"/>
    </xf>
    <xf numFmtId="14" fontId="109" fillId="2" borderId="1" xfId="20" applyNumberFormat="1" applyFont="1" applyFill="1" applyBorder="1" applyAlignment="1">
      <alignment horizontal="left" vertical="center" wrapText="1"/>
    </xf>
    <xf numFmtId="0" fontId="109" fillId="0" borderId="1" xfId="20" applyFont="1" applyBorder="1" applyAlignment="1" applyProtection="1">
      <alignment horizontal="left" vertical="center" wrapText="1"/>
      <protection locked="0"/>
    </xf>
    <xf numFmtId="0" fontId="108" fillId="2" borderId="1" xfId="20" applyFill="1" applyBorder="1" applyAlignment="1">
      <alignment horizontal="left" vertical="center"/>
    </xf>
    <xf numFmtId="0" fontId="109" fillId="2" borderId="15" xfId="20" applyFont="1" applyFill="1" applyBorder="1" applyAlignment="1">
      <alignment horizontal="left" vertical="center" wrapText="1"/>
    </xf>
    <xf numFmtId="0" fontId="9" fillId="0" borderId="1" xfId="20" applyFont="1" applyBorder="1" applyAlignment="1" applyProtection="1">
      <alignment horizontal="left"/>
      <protection locked="0"/>
    </xf>
    <xf numFmtId="0" fontId="109" fillId="0" borderId="15" xfId="20" applyFont="1" applyBorder="1" applyAlignment="1" applyProtection="1">
      <alignment horizontal="left" vertical="center" wrapText="1"/>
      <protection locked="0"/>
    </xf>
    <xf numFmtId="0" fontId="108" fillId="0" borderId="1" xfId="20" applyBorder="1" applyAlignment="1" applyProtection="1">
      <alignment horizontal="left"/>
      <protection locked="0"/>
    </xf>
    <xf numFmtId="0" fontId="100" fillId="0" borderId="0" xfId="0" applyFont="1" applyProtection="1">
      <alignment vertical="center"/>
      <protection locked="0"/>
    </xf>
    <xf numFmtId="0" fontId="63" fillId="0" borderId="0" xfId="0" applyFont="1" applyProtection="1">
      <alignment vertical="center"/>
      <protection locked="0"/>
    </xf>
    <xf numFmtId="0" fontId="63" fillId="5" borderId="0" xfId="0" applyFont="1" applyFill="1" applyAlignment="1" applyProtection="1">
      <alignment vertical="center" wrapText="1"/>
      <protection locked="0"/>
    </xf>
    <xf numFmtId="0" fontId="99" fillId="5" borderId="151" xfId="0" applyFont="1" applyFill="1" applyBorder="1" applyAlignment="1" applyProtection="1">
      <alignment vertical="center" wrapText="1"/>
      <protection locked="0"/>
    </xf>
    <xf numFmtId="0" fontId="40" fillId="2" borderId="118" xfId="0" applyFont="1" applyFill="1" applyBorder="1" applyAlignment="1">
      <alignment vertical="center" wrapText="1"/>
    </xf>
    <xf numFmtId="0" fontId="40" fillId="2" borderId="109" xfId="0" applyFont="1" applyFill="1" applyBorder="1" applyAlignment="1">
      <alignment vertical="center" wrapText="1"/>
    </xf>
    <xf numFmtId="0" fontId="40" fillId="2" borderId="116" xfId="0" applyFont="1" applyFill="1" applyBorder="1">
      <alignment vertical="center"/>
    </xf>
    <xf numFmtId="0" fontId="40" fillId="2" borderId="0" xfId="0" applyFont="1" applyFill="1" applyAlignment="1">
      <alignment vertical="center" wrapText="1"/>
    </xf>
    <xf numFmtId="0" fontId="38" fillId="2" borderId="25" xfId="0" applyFont="1" applyFill="1" applyBorder="1">
      <alignment vertical="center"/>
    </xf>
    <xf numFmtId="0" fontId="40" fillId="2" borderId="18" xfId="0" applyFont="1" applyFill="1" applyBorder="1" applyAlignment="1">
      <alignment vertical="center" wrapText="1"/>
    </xf>
    <xf numFmtId="0" fontId="38" fillId="2" borderId="8" xfId="0" applyFont="1" applyFill="1" applyBorder="1" applyAlignment="1">
      <alignment vertical="center" wrapText="1"/>
    </xf>
    <xf numFmtId="49" fontId="110" fillId="0" borderId="9"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0" fillId="2" borderId="27" xfId="0" applyFont="1" applyFill="1" applyBorder="1" applyAlignment="1">
      <alignment vertical="center" wrapText="1"/>
    </xf>
    <xf numFmtId="0" fontId="38" fillId="2" borderId="112" xfId="0" applyFont="1" applyFill="1" applyBorder="1" applyAlignment="1">
      <alignment vertical="center" wrapText="1"/>
    </xf>
    <xf numFmtId="0" fontId="41" fillId="0" borderId="28" xfId="0" applyFont="1" applyBorder="1" applyAlignment="1" applyProtection="1">
      <alignment vertical="center" wrapText="1"/>
      <protection locked="0"/>
    </xf>
    <xf numFmtId="49" fontId="110" fillId="0" borderId="11" xfId="0" applyNumberFormat="1" applyFont="1" applyBorder="1" applyAlignment="1" applyProtection="1">
      <alignment vertical="center" wrapText="1"/>
      <protection locked="0"/>
    </xf>
    <xf numFmtId="49" fontId="38" fillId="2" borderId="27" xfId="0" applyNumberFormat="1" applyFont="1" applyFill="1" applyBorder="1" applyAlignment="1">
      <alignment vertical="center" wrapText="1"/>
    </xf>
    <xf numFmtId="0" fontId="41" fillId="0" borderId="11" xfId="0" applyFont="1" applyBorder="1" applyAlignment="1" applyProtection="1">
      <alignment vertical="center" wrapText="1"/>
      <protection locked="0"/>
    </xf>
    <xf numFmtId="49" fontId="41" fillId="0" borderId="11" xfId="0" applyNumberFormat="1" applyFont="1" applyBorder="1" applyAlignment="1" applyProtection="1">
      <alignment vertical="center" wrapText="1"/>
      <protection locked="0"/>
    </xf>
    <xf numFmtId="0" fontId="110" fillId="0" borderId="11"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111" xfId="0" applyNumberFormat="1" applyFont="1" applyFill="1" applyBorder="1" applyAlignment="1">
      <alignment vertical="center" wrapText="1"/>
    </xf>
    <xf numFmtId="0" fontId="38" fillId="2" borderId="62" xfId="0" applyFont="1" applyFill="1" applyBorder="1" applyAlignment="1">
      <alignment vertical="center" wrapText="1"/>
    </xf>
    <xf numFmtId="0" fontId="41" fillId="0" borderId="14" xfId="0" applyFont="1" applyBorder="1" applyAlignment="1" applyProtection="1">
      <alignment vertical="center" wrapText="1"/>
      <protection locked="0"/>
    </xf>
    <xf numFmtId="0" fontId="40" fillId="2" borderId="111" xfId="0" applyFont="1" applyFill="1" applyBorder="1" applyAlignment="1">
      <alignment vertical="center" wrapText="1"/>
    </xf>
    <xf numFmtId="0" fontId="38" fillId="2" borderId="13" xfId="0" applyFont="1" applyFill="1" applyBorder="1" applyAlignment="1">
      <alignment vertical="center" wrapText="1"/>
    </xf>
    <xf numFmtId="0" fontId="110" fillId="0" borderId="14" xfId="0" applyFont="1" applyBorder="1" applyProtection="1">
      <alignment vertical="center"/>
      <protection locked="0"/>
    </xf>
    <xf numFmtId="0" fontId="40" fillId="2" borderId="0" xfId="0" applyFont="1" applyFill="1" applyAlignment="1" applyProtection="1">
      <alignment vertical="center" wrapText="1"/>
      <protection locked="0"/>
    </xf>
    <xf numFmtId="0" fontId="37" fillId="2" borderId="0" xfId="0" applyFont="1" applyFill="1">
      <alignment vertical="center"/>
    </xf>
    <xf numFmtId="0" fontId="99" fillId="5" borderId="0" xfId="0" applyFont="1" applyFill="1" applyAlignment="1" applyProtection="1">
      <alignment vertical="center" wrapText="1"/>
      <protection locked="0"/>
    </xf>
    <xf numFmtId="0" fontId="75" fillId="2" borderId="152" xfId="0" applyFont="1" applyFill="1" applyBorder="1">
      <alignment vertical="center"/>
    </xf>
    <xf numFmtId="0" fontId="40" fillId="2" borderId="49" xfId="0" applyFont="1" applyFill="1" applyBorder="1" applyAlignment="1">
      <alignment vertical="center" wrapText="1"/>
    </xf>
    <xf numFmtId="0" fontId="40" fillId="2" borderId="29" xfId="0" applyFont="1" applyFill="1" applyBorder="1" applyAlignment="1">
      <alignment vertical="center" wrapText="1"/>
    </xf>
    <xf numFmtId="0" fontId="40" fillId="2" borderId="140" xfId="0" applyFont="1" applyFill="1" applyBorder="1" applyAlignment="1">
      <alignment vertical="center" wrapText="1"/>
    </xf>
    <xf numFmtId="0" fontId="40" fillId="2" borderId="129" xfId="0" applyFont="1" applyFill="1" applyBorder="1" applyAlignment="1">
      <alignment vertical="center" wrapText="1"/>
    </xf>
    <xf numFmtId="0" fontId="38" fillId="2" borderId="7" xfId="0" applyFont="1" applyFill="1" applyBorder="1" applyAlignment="1">
      <alignment vertical="center" wrapText="1"/>
    </xf>
    <xf numFmtId="49" fontId="38" fillId="2" borderId="36" xfId="0" applyNumberFormat="1" applyFont="1" applyFill="1" applyBorder="1" applyAlignment="1">
      <alignment vertical="center" wrapText="1"/>
    </xf>
    <xf numFmtId="49" fontId="40" fillId="2" borderId="129" xfId="0" applyNumberFormat="1" applyFont="1" applyFill="1" applyBorder="1" applyAlignment="1">
      <alignment vertical="center" wrapText="1"/>
    </xf>
    <xf numFmtId="0" fontId="38" fillId="2" borderId="9" xfId="0" applyFont="1" applyFill="1" applyBorder="1" applyAlignment="1">
      <alignment vertical="center" wrapText="1"/>
    </xf>
    <xf numFmtId="0" fontId="40" fillId="2" borderId="130" xfId="0" applyFont="1" applyFill="1" applyBorder="1" applyAlignment="1">
      <alignment vertical="center" wrapText="1"/>
    </xf>
    <xf numFmtId="0" fontId="38" fillId="2" borderId="58" xfId="0" applyFont="1" applyFill="1" applyBorder="1" applyAlignment="1">
      <alignment vertical="center" wrapText="1"/>
    </xf>
    <xf numFmtId="49" fontId="38" fillId="2" borderId="11" xfId="0" applyNumberFormat="1" applyFont="1" applyFill="1" applyBorder="1" applyAlignment="1">
      <alignment vertical="center" wrapText="1"/>
    </xf>
    <xf numFmtId="49" fontId="40" fillId="2" borderId="130" xfId="0" applyNumberFormat="1" applyFont="1" applyFill="1" applyBorder="1" applyAlignment="1">
      <alignment vertical="center" wrapText="1"/>
    </xf>
    <xf numFmtId="0" fontId="38" fillId="2" borderId="10" xfId="0" applyFont="1" applyFill="1" applyBorder="1" applyAlignment="1">
      <alignment vertical="center" wrapText="1"/>
    </xf>
    <xf numFmtId="0" fontId="38" fillId="2" borderId="11" xfId="0" applyFont="1" applyFill="1" applyBorder="1" applyAlignment="1">
      <alignment vertical="center" wrapText="1"/>
    </xf>
    <xf numFmtId="0" fontId="38" fillId="0" borderId="11" xfId="0" applyFont="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49" fontId="40" fillId="2" borderId="131" xfId="0" applyNumberFormat="1" applyFont="1" applyFill="1" applyBorder="1" applyAlignment="1">
      <alignment vertical="center" wrapText="1"/>
    </xf>
    <xf numFmtId="0" fontId="38" fillId="2" borderId="12" xfId="0" applyFont="1" applyFill="1" applyBorder="1" applyAlignment="1">
      <alignment vertical="center" wrapText="1"/>
    </xf>
    <xf numFmtId="0" fontId="38" fillId="0" borderId="14" xfId="0" applyFont="1" applyBorder="1" applyAlignment="1" applyProtection="1">
      <alignment vertical="center" wrapText="1"/>
      <protection locked="0"/>
    </xf>
    <xf numFmtId="0" fontId="40" fillId="2" borderId="131" xfId="0" applyFont="1" applyFill="1" applyBorder="1" applyAlignment="1">
      <alignment vertical="center" wrapText="1"/>
    </xf>
    <xf numFmtId="0" fontId="38" fillId="2" borderId="14" xfId="0" applyFont="1" applyFill="1" applyBorder="1" applyAlignment="1">
      <alignment vertical="center" wrapText="1"/>
    </xf>
    <xf numFmtId="49" fontId="63" fillId="5" borderId="0" xfId="0" applyNumberFormat="1" applyFont="1" applyFill="1" applyAlignment="1" applyProtection="1">
      <alignment vertical="center" wrapText="1"/>
      <protection locked="0"/>
    </xf>
    <xf numFmtId="0" fontId="99" fillId="5" borderId="119" xfId="0"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99" fillId="5" borderId="153" xfId="0" applyFont="1" applyFill="1" applyBorder="1" applyAlignment="1" applyProtection="1">
      <alignment vertical="center" wrapText="1"/>
      <protection locked="0"/>
    </xf>
    <xf numFmtId="0" fontId="100" fillId="5" borderId="0" xfId="0" applyFont="1" applyFill="1" applyProtection="1">
      <alignment vertical="center"/>
      <protection locked="0"/>
    </xf>
    <xf numFmtId="0" fontId="63" fillId="0" borderId="0" xfId="0" applyFont="1">
      <alignment vertical="center"/>
    </xf>
    <xf numFmtId="0" fontId="63"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96" fillId="2" borderId="0" xfId="0" applyFont="1" applyFill="1" applyAlignment="1">
      <alignment vertical="center" wrapText="1"/>
    </xf>
    <xf numFmtId="179" fontId="38" fillId="2" borderId="0" xfId="0" applyNumberFormat="1" applyFont="1" applyFill="1" applyProtection="1">
      <alignment vertical="center"/>
      <protection locked="0"/>
    </xf>
    <xf numFmtId="0" fontId="73" fillId="2" borderId="19" xfId="0" applyFont="1" applyFill="1" applyBorder="1" applyAlignment="1">
      <alignment vertical="center" wrapText="1"/>
    </xf>
    <xf numFmtId="14" fontId="63" fillId="2" borderId="26" xfId="0" applyNumberFormat="1" applyFont="1" applyFill="1" applyBorder="1" applyAlignment="1">
      <alignment horizontal="center" vertical="center"/>
    </xf>
    <xf numFmtId="179" fontId="63" fillId="2" borderId="0" xfId="0" applyNumberFormat="1" applyFont="1" applyFill="1" applyProtection="1">
      <alignment vertical="center"/>
      <protection locked="0"/>
    </xf>
    <xf numFmtId="0" fontId="63" fillId="2" borderId="0" xfId="0" applyFont="1" applyFill="1" applyAlignment="1">
      <alignment vertical="center" wrapText="1"/>
    </xf>
    <xf numFmtId="0" fontId="63" fillId="2" borderId="25" xfId="0" applyFont="1" applyFill="1" applyBorder="1">
      <alignment vertical="center"/>
    </xf>
    <xf numFmtId="179" fontId="63" fillId="2" borderId="25" xfId="0" applyNumberFormat="1" applyFont="1" applyFill="1" applyBorder="1">
      <alignment vertical="center"/>
    </xf>
    <xf numFmtId="0" fontId="63" fillId="2" borderId="7" xfId="14" applyFont="1" applyFill="1" applyBorder="1" applyAlignment="1">
      <alignment vertical="center" wrapText="1"/>
    </xf>
    <xf numFmtId="0" fontId="63" fillId="2" borderId="8" xfId="14" applyFont="1" applyFill="1" applyBorder="1" applyAlignment="1">
      <alignment vertical="center" wrapText="1"/>
    </xf>
    <xf numFmtId="0" fontId="63" fillId="2" borderId="32" xfId="14" applyFont="1" applyFill="1" applyBorder="1" applyAlignment="1">
      <alignment vertical="center" wrapText="1"/>
    </xf>
    <xf numFmtId="185" fontId="57" fillId="2" borderId="7" xfId="14" applyNumberFormat="1" applyFont="1" applyFill="1" applyBorder="1" applyAlignment="1">
      <alignment horizontal="center" vertical="center" wrapText="1"/>
    </xf>
    <xf numFmtId="179" fontId="63" fillId="2" borderId="8" xfId="0" applyNumberFormat="1" applyFont="1" applyFill="1" applyBorder="1" applyAlignment="1">
      <alignment horizontal="center" vertical="center" wrapText="1"/>
    </xf>
    <xf numFmtId="178" fontId="38" fillId="2" borderId="10" xfId="14" applyNumberFormat="1" applyFont="1" applyFill="1" applyBorder="1" applyAlignment="1">
      <alignment horizontal="left" vertical="center"/>
    </xf>
    <xf numFmtId="178" fontId="63" fillId="2" borderId="1" xfId="14" applyNumberFormat="1" applyFont="1" applyFill="1" applyBorder="1">
      <alignment vertical="center"/>
    </xf>
    <xf numFmtId="178" fontId="63" fillId="7" borderId="2" xfId="14" applyNumberFormat="1" applyFont="1" applyFill="1" applyBorder="1" applyProtection="1">
      <alignment vertical="center"/>
      <protection locked="0"/>
    </xf>
    <xf numFmtId="178" fontId="38" fillId="2" borderId="10" xfId="14" applyNumberFormat="1" applyFont="1" applyFill="1" applyBorder="1" applyAlignment="1">
      <alignment horizontal="center" vertical="center"/>
    </xf>
    <xf numFmtId="190" fontId="38" fillId="2" borderId="1" xfId="0" applyNumberFormat="1" applyFont="1" applyFill="1" applyBorder="1" applyAlignment="1">
      <alignment horizontal="center" vertical="center"/>
    </xf>
    <xf numFmtId="179" fontId="57" fillId="2" borderId="1" xfId="14" applyNumberFormat="1" applyFont="1" applyFill="1" applyBorder="1" applyAlignment="1">
      <alignment horizontal="center" vertical="center"/>
    </xf>
    <xf numFmtId="185" fontId="57" fillId="2" borderId="1" xfId="14" applyNumberFormat="1" applyFont="1" applyFill="1" applyBorder="1" applyAlignment="1">
      <alignment horizontal="center" vertical="center"/>
    </xf>
    <xf numFmtId="10" fontId="7" fillId="0" borderId="1" xfId="1" applyNumberFormat="1" applyFont="1" applyBorder="1" applyAlignment="1" applyProtection="1">
      <alignment horizontal="center" vertical="center"/>
      <protection locked="0"/>
    </xf>
    <xf numFmtId="181" fontId="63" fillId="0" borderId="1" xfId="0" applyNumberFormat="1" applyFont="1" applyBorder="1" applyAlignment="1" applyProtection="1">
      <alignment horizontal="center" vertical="center"/>
      <protection locked="0"/>
    </xf>
    <xf numFmtId="178" fontId="63" fillId="2" borderId="10" xfId="14" applyNumberFormat="1" applyFont="1" applyFill="1" applyBorder="1" applyAlignment="1" applyProtection="1">
      <alignment horizontal="left" vertical="center" wrapText="1"/>
      <protection locked="0"/>
    </xf>
    <xf numFmtId="178" fontId="63" fillId="2" borderId="2" xfId="14" applyNumberFormat="1" applyFont="1" applyFill="1" applyBorder="1">
      <alignment vertical="center"/>
    </xf>
    <xf numFmtId="181" fontId="67" fillId="2" borderId="1" xfId="0" applyNumberFormat="1" applyFont="1" applyFill="1" applyBorder="1" applyAlignment="1" applyProtection="1">
      <alignment horizontal="center" vertical="center"/>
      <protection locked="0"/>
    </xf>
    <xf numFmtId="0" fontId="73" fillId="2" borderId="12" xfId="14" applyFont="1" applyFill="1" applyBorder="1" applyAlignment="1">
      <alignment vertical="center" wrapText="1"/>
    </xf>
    <xf numFmtId="0" fontId="73" fillId="2" borderId="13" xfId="14" applyFont="1" applyFill="1" applyBorder="1">
      <alignment vertical="center"/>
    </xf>
    <xf numFmtId="0" fontId="73" fillId="2" borderId="12" xfId="14" applyFont="1" applyFill="1" applyBorder="1">
      <alignment vertical="center"/>
    </xf>
    <xf numFmtId="0" fontId="73" fillId="2" borderId="13" xfId="14" applyFont="1" applyFill="1" applyBorder="1" applyAlignment="1">
      <alignment horizontal="center" vertical="center"/>
    </xf>
    <xf numFmtId="181" fontId="73" fillId="2" borderId="13" xfId="14" applyNumberFormat="1" applyFont="1" applyFill="1" applyBorder="1">
      <alignment vertical="center"/>
    </xf>
    <xf numFmtId="0" fontId="38" fillId="11" borderId="0" xfId="0" applyFont="1" applyFill="1">
      <alignment vertical="center"/>
    </xf>
    <xf numFmtId="179" fontId="38" fillId="11" borderId="0" xfId="0" applyNumberFormat="1" applyFont="1" applyFill="1" applyProtection="1">
      <alignment vertical="center"/>
      <protection locked="0"/>
    </xf>
    <xf numFmtId="0" fontId="63" fillId="11" borderId="0" xfId="0" applyFont="1" applyFill="1">
      <alignment vertical="center"/>
    </xf>
    <xf numFmtId="0" fontId="63" fillId="11" borderId="0" xfId="0" applyFont="1" applyFill="1" applyProtection="1">
      <alignment vertical="center"/>
      <protection locked="0"/>
    </xf>
    <xf numFmtId="179" fontId="63" fillId="11" borderId="0" xfId="0" applyNumberFormat="1" applyFont="1" applyFill="1" applyProtection="1">
      <alignment vertical="center"/>
      <protection locked="0"/>
    </xf>
    <xf numFmtId="187" fontId="57" fillId="2" borderId="7" xfId="14" applyNumberFormat="1" applyFont="1" applyFill="1" applyBorder="1" applyAlignment="1">
      <alignment vertical="center" wrapText="1"/>
    </xf>
    <xf numFmtId="0" fontId="57" fillId="0" borderId="9" xfId="14" applyFont="1" applyBorder="1" applyAlignment="1" applyProtection="1">
      <alignment horizontal="center" vertical="center"/>
      <protection locked="0"/>
    </xf>
    <xf numFmtId="0" fontId="107" fillId="11" borderId="0" xfId="0" applyFont="1" applyFill="1">
      <alignment vertical="center"/>
    </xf>
    <xf numFmtId="187" fontId="57" fillId="2" borderId="10" xfId="14" applyNumberFormat="1" applyFont="1" applyFill="1" applyBorder="1" applyAlignment="1">
      <alignment vertical="center" wrapText="1"/>
    </xf>
    <xf numFmtId="0" fontId="63" fillId="0" borderId="11" xfId="14" applyFont="1" applyBorder="1" applyAlignment="1" applyProtection="1">
      <alignment horizontal="center" vertical="center"/>
      <protection locked="0"/>
    </xf>
    <xf numFmtId="0" fontId="80" fillId="11" borderId="0" xfId="0" applyFont="1" applyFill="1">
      <alignment vertical="center"/>
    </xf>
    <xf numFmtId="187" fontId="63" fillId="2" borderId="10" xfId="14" applyNumberFormat="1" applyFont="1" applyFill="1" applyBorder="1" applyAlignment="1">
      <alignment vertical="center" wrapText="1"/>
    </xf>
    <xf numFmtId="0" fontId="80" fillId="3" borderId="11" xfId="14" applyFont="1" applyFill="1" applyBorder="1" applyAlignment="1" applyProtection="1">
      <alignment horizontal="center" vertical="center"/>
      <protection locked="0"/>
    </xf>
    <xf numFmtId="187" fontId="57" fillId="2" borderId="11" xfId="14" applyNumberFormat="1" applyFont="1" applyFill="1" applyBorder="1" applyAlignment="1">
      <alignment horizontal="center" vertical="center"/>
    </xf>
    <xf numFmtId="187" fontId="57" fillId="2" borderId="12" xfId="14" applyNumberFormat="1" applyFont="1" applyFill="1" applyBorder="1" applyAlignment="1">
      <alignment vertical="center" wrapText="1"/>
    </xf>
    <xf numFmtId="187" fontId="57" fillId="2" borderId="14" xfId="14" applyNumberFormat="1" applyFont="1" applyFill="1" applyBorder="1" applyAlignment="1">
      <alignment horizontal="center" vertical="center"/>
    </xf>
    <xf numFmtId="0" fontId="63" fillId="2" borderId="109" xfId="0" applyFont="1" applyFill="1" applyBorder="1" applyAlignment="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lignment vertical="center" wrapText="1"/>
    </xf>
    <xf numFmtId="0" fontId="32" fillId="0" borderId="9" xfId="14" applyFont="1" applyBorder="1" applyAlignment="1" applyProtection="1">
      <alignment horizontal="center" vertical="center"/>
      <protection locked="0"/>
    </xf>
    <xf numFmtId="0" fontId="111" fillId="11" borderId="0" xfId="0" applyFont="1" applyFill="1" applyAlignment="1">
      <alignment horizontal="left" vertical="center"/>
    </xf>
    <xf numFmtId="179" fontId="63" fillId="11" borderId="0" xfId="0" applyNumberFormat="1" applyFont="1" applyFill="1" applyAlignment="1" applyProtection="1">
      <alignment horizontal="center" vertical="center"/>
      <protection locked="0"/>
    </xf>
    <xf numFmtId="0" fontId="63" fillId="2" borderId="10" xfId="0" applyFont="1" applyFill="1" applyBorder="1" applyAlignment="1">
      <alignment vertical="center" wrapText="1"/>
    </xf>
    <xf numFmtId="0" fontId="32" fillId="0" borderId="11" xfId="14" applyFont="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lignment vertical="center" wrapText="1"/>
    </xf>
    <xf numFmtId="0" fontId="32" fillId="0" borderId="14" xfId="14" applyFont="1" applyBorder="1" applyAlignment="1" applyProtection="1">
      <alignment horizontal="center" vertical="center"/>
      <protection locked="0"/>
    </xf>
    <xf numFmtId="0" fontId="80" fillId="11" borderId="0" xfId="0" applyFont="1" applyFill="1" applyAlignment="1">
      <alignment horizontal="left" vertical="center"/>
    </xf>
    <xf numFmtId="0" fontId="63" fillId="2" borderId="58" xfId="0" applyFont="1" applyFill="1" applyBorder="1" applyAlignment="1">
      <alignment vertical="center" wrapText="1"/>
    </xf>
    <xf numFmtId="0" fontId="32" fillId="0" borderId="28" xfId="14" applyFont="1" applyBorder="1" applyAlignment="1" applyProtection="1">
      <alignment horizontal="center" vertical="center"/>
      <protection locked="0"/>
    </xf>
    <xf numFmtId="0" fontId="57" fillId="2" borderId="11" xfId="14" applyFont="1" applyFill="1" applyBorder="1" applyAlignment="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lignment vertical="center" wrapText="1"/>
    </xf>
    <xf numFmtId="0" fontId="32" fillId="0" borderId="40" xfId="14" applyFont="1" applyBorder="1" applyAlignment="1" applyProtection="1">
      <alignment horizontal="center" vertical="center"/>
      <protection locked="0"/>
    </xf>
    <xf numFmtId="0" fontId="45" fillId="11" borderId="0" xfId="0" applyFont="1" applyFill="1">
      <alignment vertical="center"/>
    </xf>
    <xf numFmtId="179" fontId="80" fillId="11" borderId="0" xfId="0" applyNumberFormat="1" applyFont="1" applyFill="1" applyProtection="1">
      <alignment vertical="center"/>
      <protection locked="0"/>
    </xf>
    <xf numFmtId="181" fontId="38" fillId="0" borderId="14" xfId="1" applyNumberFormat="1" applyFont="1" applyFill="1" applyBorder="1" applyAlignment="1" applyProtection="1">
      <alignment horizontal="center" vertical="center"/>
      <protection locked="0"/>
    </xf>
    <xf numFmtId="181" fontId="38" fillId="0" borderId="28" xfId="1" applyNumberFormat="1" applyFont="1" applyFill="1" applyBorder="1" applyAlignment="1" applyProtection="1">
      <alignment horizontal="center" vertical="center"/>
      <protection locked="0"/>
    </xf>
    <xf numFmtId="181" fontId="38" fillId="0" borderId="11" xfId="1" applyNumberFormat="1" applyFont="1" applyFill="1" applyBorder="1" applyAlignment="1" applyProtection="1">
      <alignment horizontal="center" vertical="center"/>
      <protection locked="0"/>
    </xf>
    <xf numFmtId="181" fontId="38" fillId="2" borderId="40" xfId="0" applyNumberFormat="1" applyFont="1" applyFill="1" applyBorder="1" applyAlignment="1">
      <alignment horizontal="center" vertical="center"/>
    </xf>
    <xf numFmtId="0" fontId="45" fillId="11" borderId="0" xfId="0" applyFont="1" applyFill="1" applyProtection="1">
      <alignment vertical="center"/>
      <protection locked="0"/>
    </xf>
    <xf numFmtId="0" fontId="63" fillId="3" borderId="51" xfId="0" applyFont="1" applyFill="1" applyBorder="1" applyAlignment="1" applyProtection="1">
      <alignment vertical="center" wrapText="1"/>
      <protection locked="0"/>
    </xf>
    <xf numFmtId="10" fontId="45" fillId="0" borderId="10" xfId="0" applyNumberFormat="1" applyFont="1" applyBorder="1" applyProtection="1">
      <alignment vertical="center"/>
      <protection locked="0"/>
    </xf>
    <xf numFmtId="10" fontId="63" fillId="2" borderId="9" xfId="0" applyNumberFormat="1" applyFont="1" applyFill="1" applyBorder="1" applyAlignment="1">
      <alignment horizontal="center" vertical="center"/>
    </xf>
    <xf numFmtId="0" fontId="63" fillId="2" borderId="51" xfId="0" applyFont="1" applyFill="1" applyBorder="1" applyAlignment="1">
      <alignment horizontal="left" vertical="center" wrapText="1"/>
    </xf>
    <xf numFmtId="9" fontId="63" fillId="0" borderId="40" xfId="1" applyFont="1" applyFill="1" applyBorder="1" applyAlignment="1" applyProtection="1">
      <alignment horizontal="center" vertical="center"/>
      <protection locked="0"/>
    </xf>
    <xf numFmtId="181" fontId="49" fillId="11" borderId="0" xfId="0" applyNumberFormat="1" applyFont="1" applyFill="1" applyAlignment="1">
      <alignment horizontal="center" vertical="center"/>
    </xf>
    <xf numFmtId="194" fontId="63" fillId="2" borderId="40" xfId="0" applyNumberFormat="1" applyFont="1" applyFill="1" applyBorder="1" applyAlignment="1">
      <alignment horizontal="center" vertical="center"/>
    </xf>
    <xf numFmtId="0" fontId="63" fillId="2" borderId="51" xfId="0" applyFont="1" applyFill="1" applyBorder="1" applyAlignment="1">
      <alignment horizontal="right" vertical="center" wrapText="1"/>
    </xf>
    <xf numFmtId="10" fontId="63" fillId="7" borderId="40" xfId="0" applyNumberFormat="1" applyFont="1" applyFill="1" applyBorder="1" applyAlignment="1" applyProtection="1">
      <alignment horizontal="center" vertical="center"/>
      <protection locked="0"/>
    </xf>
    <xf numFmtId="181" fontId="63" fillId="0" borderId="40" xfId="1" applyNumberFormat="1" applyFont="1" applyFill="1" applyBorder="1" applyAlignment="1" applyProtection="1">
      <alignment horizontal="center" vertical="center"/>
      <protection locked="0"/>
    </xf>
    <xf numFmtId="0" fontId="63" fillId="2" borderId="12" xfId="0" applyFont="1" applyFill="1" applyBorder="1" applyAlignment="1">
      <alignment horizontal="right" vertical="center" wrapText="1"/>
    </xf>
    <xf numFmtId="181" fontId="63" fillId="0" borderId="14" xfId="1" applyNumberFormat="1" applyFont="1" applyBorder="1" applyAlignment="1" applyProtection="1">
      <alignment horizontal="center" vertical="center"/>
      <protection locked="0"/>
    </xf>
    <xf numFmtId="0" fontId="107" fillId="11" borderId="0" xfId="0" applyFont="1" applyFill="1" applyAlignment="1">
      <alignment horizontal="left" vertical="center"/>
    </xf>
    <xf numFmtId="0" fontId="63" fillId="2" borderId="27" xfId="0" applyFont="1" applyFill="1" applyBorder="1" applyAlignment="1">
      <alignment vertical="center" wrapText="1"/>
    </xf>
    <xf numFmtId="181" fontId="63" fillId="0" borderId="43" xfId="1" applyNumberFormat="1" applyFont="1" applyBorder="1" applyAlignment="1" applyProtection="1">
      <alignment horizontal="center" vertical="center"/>
      <protection locked="0"/>
    </xf>
    <xf numFmtId="181" fontId="63" fillId="0" borderId="40" xfId="1" applyNumberFormat="1" applyFont="1" applyBorder="1" applyAlignment="1" applyProtection="1">
      <alignment horizontal="center" vertical="center"/>
      <protection locked="0"/>
    </xf>
    <xf numFmtId="0" fontId="63" fillId="2" borderId="18" xfId="0" applyFont="1" applyFill="1" applyBorder="1" applyAlignment="1">
      <alignment vertical="center" wrapText="1"/>
    </xf>
    <xf numFmtId="10" fontId="63" fillId="2" borderId="36" xfId="0" applyNumberFormat="1" applyFont="1" applyFill="1" applyBorder="1" applyAlignment="1">
      <alignment horizontal="center" vertical="center"/>
    </xf>
    <xf numFmtId="10" fontId="63" fillId="2" borderId="14" xfId="0" applyNumberFormat="1" applyFont="1" applyFill="1" applyBorder="1" applyAlignment="1">
      <alignment horizontal="center" vertical="center"/>
    </xf>
    <xf numFmtId="180" fontId="63" fillId="2" borderId="36" xfId="0" applyNumberFormat="1" applyFont="1" applyFill="1" applyBorder="1" applyAlignment="1">
      <alignment horizontal="center" vertical="center"/>
    </xf>
    <xf numFmtId="0" fontId="63" fillId="7" borderId="11" xfId="0" applyFont="1" applyFill="1" applyBorder="1" applyAlignment="1" applyProtection="1">
      <alignment horizontal="center" vertical="center"/>
      <protection locked="0"/>
    </xf>
    <xf numFmtId="0" fontId="112" fillId="11" borderId="0" xfId="0" applyFont="1" applyFill="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Protection="1">
      <alignment vertical="center"/>
      <protection locked="0"/>
    </xf>
    <xf numFmtId="0" fontId="38" fillId="11" borderId="0" xfId="0" applyFont="1" applyFill="1" applyAlignment="1" applyProtection="1">
      <alignment vertical="center" wrapText="1"/>
      <protection locked="0"/>
    </xf>
    <xf numFmtId="0" fontId="63" fillId="2" borderId="118" xfId="0" applyFont="1" applyFill="1" applyBorder="1" applyAlignment="1">
      <alignment horizontal="center" vertical="center"/>
    </xf>
    <xf numFmtId="0" fontId="63" fillId="2" borderId="25" xfId="0" applyFont="1" applyFill="1" applyBorder="1" applyAlignment="1">
      <alignment horizontal="center" vertical="center"/>
    </xf>
    <xf numFmtId="178" fontId="63" fillId="2" borderId="7" xfId="14" applyNumberFormat="1" applyFont="1" applyFill="1" applyBorder="1" applyAlignment="1">
      <alignment horizontal="center" vertical="center" wrapText="1"/>
    </xf>
    <xf numFmtId="0" fontId="63" fillId="2" borderId="8" xfId="14" applyFont="1" applyFill="1" applyBorder="1" applyAlignment="1">
      <alignment horizontal="center" vertical="center" wrapText="1"/>
    </xf>
    <xf numFmtId="179" fontId="63" fillId="2" borderId="8" xfId="14" applyNumberFormat="1" applyFont="1" applyFill="1" applyBorder="1" applyAlignment="1">
      <alignment horizontal="center" vertical="center" wrapText="1"/>
    </xf>
    <xf numFmtId="0" fontId="63" fillId="3" borderId="8" xfId="14" applyFont="1" applyFill="1" applyBorder="1" applyAlignment="1" applyProtection="1">
      <alignment horizontal="center" vertical="center" wrapText="1"/>
      <protection locked="0"/>
    </xf>
    <xf numFmtId="0" fontId="63" fillId="2" borderId="32" xfId="14" applyFont="1" applyFill="1" applyBorder="1" applyAlignment="1">
      <alignment horizontal="center" vertical="center" wrapText="1"/>
    </xf>
    <xf numFmtId="10" fontId="63" fillId="0" borderId="1" xfId="1" applyNumberFormat="1" applyFont="1" applyBorder="1" applyAlignment="1" applyProtection="1">
      <alignment horizontal="center" vertical="center"/>
      <protection locked="0"/>
    </xf>
    <xf numFmtId="179" fontId="38" fillId="2" borderId="10" xfId="14" applyNumberFormat="1" applyFont="1" applyFill="1" applyBorder="1" applyAlignment="1">
      <alignment horizontal="center" vertical="center"/>
    </xf>
    <xf numFmtId="0" fontId="38" fillId="0" borderId="1" xfId="14" applyFont="1" applyBorder="1" applyAlignment="1" applyProtection="1">
      <alignment horizontal="center" vertical="center"/>
      <protection locked="0"/>
    </xf>
    <xf numFmtId="0" fontId="63" fillId="2" borderId="1" xfId="14" applyFont="1" applyFill="1" applyBorder="1" applyAlignment="1">
      <alignment horizontal="center" vertical="center"/>
    </xf>
    <xf numFmtId="10" fontId="45" fillId="3" borderId="1" xfId="14" applyNumberFormat="1" applyFont="1" applyFill="1" applyBorder="1" applyAlignment="1" applyProtection="1">
      <alignment horizontal="center" vertical="center"/>
      <protection locked="0"/>
    </xf>
    <xf numFmtId="178" fontId="38" fillId="0" borderId="1" xfId="14" applyNumberFormat="1" applyFont="1" applyBorder="1" applyAlignment="1" applyProtection="1">
      <alignment horizontal="center" vertical="center"/>
      <protection locked="0"/>
    </xf>
    <xf numFmtId="10" fontId="38" fillId="0" borderId="1" xfId="14" applyNumberFormat="1" applyFont="1" applyBorder="1" applyAlignment="1" applyProtection="1">
      <alignment horizontal="center" vertical="center"/>
      <protection locked="0"/>
    </xf>
    <xf numFmtId="178" fontId="63" fillId="0" borderId="1" xfId="14" applyNumberFormat="1" applyFont="1" applyBorder="1" applyAlignment="1" applyProtection="1">
      <alignment horizontal="center" vertical="center"/>
      <protection locked="0"/>
    </xf>
    <xf numFmtId="10" fontId="63" fillId="0" borderId="1" xfId="14" applyNumberFormat="1" applyFont="1" applyBorder="1" applyAlignment="1" applyProtection="1">
      <alignment horizontal="center" vertical="center"/>
      <protection locked="0"/>
    </xf>
    <xf numFmtId="178" fontId="63" fillId="2" borderId="1" xfId="14" applyNumberFormat="1" applyFont="1" applyFill="1" applyBorder="1" applyAlignment="1">
      <alignment horizontal="center" vertical="center"/>
    </xf>
    <xf numFmtId="10" fontId="63" fillId="2" borderId="1" xfId="14" applyNumberFormat="1" applyFont="1" applyFill="1" applyBorder="1" applyAlignment="1">
      <alignment horizontal="center" vertical="center"/>
    </xf>
    <xf numFmtId="0" fontId="73" fillId="2" borderId="14" xfId="14" applyFont="1" applyFill="1" applyBorder="1">
      <alignment vertical="center"/>
    </xf>
    <xf numFmtId="187" fontId="63" fillId="2" borderId="12" xfId="0" applyNumberFormat="1" applyFont="1" applyFill="1" applyBorder="1" applyAlignment="1">
      <alignment horizontal="center" vertical="center"/>
    </xf>
    <xf numFmtId="0" fontId="63" fillId="2" borderId="13" xfId="14" applyFont="1" applyFill="1" applyBorder="1" applyAlignment="1">
      <alignment horizontal="center" vertical="center"/>
    </xf>
    <xf numFmtId="10" fontId="63" fillId="2" borderId="13" xfId="14" applyNumberFormat="1" applyFont="1" applyFill="1" applyBorder="1" applyAlignment="1">
      <alignment horizontal="center" vertical="center"/>
    </xf>
    <xf numFmtId="0" fontId="38" fillId="11" borderId="0" xfId="0" applyFont="1" applyFill="1" applyAlignment="1" applyProtection="1">
      <alignment horizontal="center" vertical="center"/>
      <protection locked="0"/>
    </xf>
    <xf numFmtId="0" fontId="38" fillId="2" borderId="140" xfId="0" applyFont="1" applyFill="1" applyBorder="1" applyAlignment="1">
      <alignment horizontal="center" vertical="center"/>
    </xf>
    <xf numFmtId="0" fontId="63" fillId="2" borderId="7" xfId="14" applyFont="1" applyFill="1" applyBorder="1" applyAlignment="1">
      <alignment horizontal="center" vertical="center" wrapText="1"/>
    </xf>
    <xf numFmtId="0" fontId="63" fillId="2" borderId="31" xfId="14" applyFont="1" applyFill="1" applyBorder="1" applyAlignment="1">
      <alignment horizontal="center" vertical="center" wrapText="1"/>
    </xf>
    <xf numFmtId="0" fontId="63" fillId="2" borderId="36" xfId="14" applyFont="1" applyFill="1" applyBorder="1" applyAlignment="1">
      <alignment horizontal="center" vertical="center" wrapText="1"/>
    </xf>
    <xf numFmtId="0" fontId="63" fillId="2" borderId="7" xfId="0" applyFont="1" applyFill="1" applyBorder="1" applyAlignment="1">
      <alignment horizontal="center" vertical="center" wrapText="1"/>
    </xf>
    <xf numFmtId="9" fontId="38" fillId="0" borderId="2" xfId="1" applyFont="1" applyFill="1" applyBorder="1" applyAlignment="1" applyProtection="1">
      <alignment horizontal="center" vertical="center"/>
      <protection locked="0"/>
    </xf>
    <xf numFmtId="179" fontId="63" fillId="2" borderId="10" xfId="14" applyNumberFormat="1" applyFont="1" applyFill="1" applyBorder="1" applyAlignment="1">
      <alignment horizontal="center" vertical="center"/>
    </xf>
    <xf numFmtId="179" fontId="63" fillId="2" borderId="1" xfId="0" applyNumberFormat="1" applyFont="1" applyFill="1" applyBorder="1" applyAlignment="1">
      <alignment horizontal="center" vertical="center"/>
    </xf>
    <xf numFmtId="0" fontId="63" fillId="2" borderId="11" xfId="14" applyFont="1" applyFill="1" applyBorder="1" applyAlignment="1">
      <alignment horizontal="center" vertical="center"/>
    </xf>
    <xf numFmtId="0" fontId="63" fillId="0" borderId="10" xfId="0" applyFont="1" applyBorder="1" applyProtection="1">
      <alignment vertical="center"/>
      <protection locked="0"/>
    </xf>
    <xf numFmtId="181" fontId="63" fillId="0" borderId="1" xfId="0" applyNumberFormat="1" applyFont="1" applyBorder="1" applyProtection="1">
      <alignment vertical="center"/>
      <protection locked="0"/>
    </xf>
    <xf numFmtId="181" fontId="63" fillId="2" borderId="2" xfId="0" applyNumberFormat="1" applyFont="1" applyFill="1" applyBorder="1" applyAlignment="1">
      <alignment horizontal="center" vertical="center"/>
    </xf>
    <xf numFmtId="181" fontId="38" fillId="0" borderId="1" xfId="0" applyNumberFormat="1" applyFont="1" applyBorder="1" applyProtection="1">
      <alignment vertical="center"/>
      <protection locked="0"/>
    </xf>
    <xf numFmtId="9" fontId="63" fillId="0" borderId="2" xfId="0" applyNumberFormat="1" applyFont="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lignment horizontal="center" vertical="center"/>
    </xf>
    <xf numFmtId="0" fontId="63" fillId="2" borderId="10" xfId="0" applyFont="1" applyFill="1" applyBorder="1">
      <alignment vertical="center"/>
    </xf>
    <xf numFmtId="181" fontId="63" fillId="2" borderId="1" xfId="0" applyNumberFormat="1" applyFont="1" applyFill="1" applyBorder="1">
      <alignment vertical="center"/>
    </xf>
    <xf numFmtId="181" fontId="63" fillId="2" borderId="2" xfId="0" applyNumberFormat="1" applyFont="1" applyFill="1" applyBorder="1">
      <alignment vertical="center"/>
    </xf>
    <xf numFmtId="9" fontId="63" fillId="2" borderId="33" xfId="0" applyNumberFormat="1" applyFont="1" applyFill="1" applyBorder="1" applyAlignment="1">
      <alignment horizontal="center" vertical="center"/>
    </xf>
    <xf numFmtId="179" fontId="63" fillId="2" borderId="12" xfId="14" applyNumberFormat="1" applyFont="1" applyFill="1" applyBorder="1" applyAlignment="1">
      <alignment horizontal="center" vertical="center"/>
    </xf>
    <xf numFmtId="179" fontId="63" fillId="2" borderId="62" xfId="14" applyNumberFormat="1" applyFont="1" applyFill="1" applyBorder="1" applyAlignment="1">
      <alignment horizontal="center" vertical="center"/>
    </xf>
    <xf numFmtId="0" fontId="63" fillId="2" borderId="46" xfId="14" applyFont="1" applyFill="1" applyBorder="1" applyAlignment="1">
      <alignment horizontal="center" vertical="center"/>
    </xf>
    <xf numFmtId="0" fontId="63" fillId="2" borderId="12" xfId="0" applyFont="1" applyFill="1" applyBorder="1">
      <alignment vertical="center"/>
    </xf>
    <xf numFmtId="0" fontId="63" fillId="2" borderId="33" xfId="0" applyFont="1" applyFill="1" applyBorder="1">
      <alignment vertical="center"/>
    </xf>
    <xf numFmtId="0" fontId="63" fillId="2" borderId="49" xfId="0" applyFont="1" applyFill="1" applyBorder="1">
      <alignment vertical="center"/>
    </xf>
    <xf numFmtId="181" fontId="63" fillId="0" borderId="11" xfId="0" applyNumberFormat="1" applyFont="1" applyBorder="1" applyProtection="1">
      <alignment vertical="center"/>
      <protection locked="0"/>
    </xf>
    <xf numFmtId="0" fontId="63" fillId="0" borderId="4" xfId="0" applyFont="1" applyBorder="1" applyProtection="1">
      <alignment vertical="center"/>
      <protection locked="0"/>
    </xf>
    <xf numFmtId="181" fontId="63" fillId="0" borderId="2" xfId="0" applyNumberFormat="1" applyFont="1" applyBorder="1" applyProtection="1">
      <alignment vertical="center"/>
      <protection locked="0"/>
    </xf>
    <xf numFmtId="0" fontId="63" fillId="2" borderId="10" xfId="0" applyFont="1" applyFill="1" applyBorder="1" applyAlignment="1">
      <alignment horizontal="center" vertical="center"/>
    </xf>
    <xf numFmtId="181" fontId="38" fillId="0" borderId="11" xfId="0" applyNumberFormat="1" applyFont="1" applyBorder="1" applyProtection="1">
      <alignment vertical="center"/>
      <protection locked="0"/>
    </xf>
    <xf numFmtId="0" fontId="63" fillId="0" borderId="4" xfId="0" applyFont="1" applyBorder="1" applyAlignment="1" applyProtection="1">
      <alignment horizontal="center" vertical="center"/>
      <protection locked="0"/>
    </xf>
    <xf numFmtId="181" fontId="63" fillId="2" borderId="11" xfId="0" applyNumberFormat="1" applyFont="1" applyFill="1" applyBorder="1">
      <alignment vertical="center"/>
    </xf>
    <xf numFmtId="181" fontId="63" fillId="2" borderId="1" xfId="0" applyNumberFormat="1" applyFont="1" applyFill="1" applyBorder="1" applyAlignment="1">
      <alignment horizontal="center" vertical="center"/>
    </xf>
    <xf numFmtId="0" fontId="63" fillId="2" borderId="14" xfId="0" applyFont="1" applyFill="1" applyBorder="1">
      <alignment vertical="center"/>
    </xf>
    <xf numFmtId="0" fontId="63" fillId="2" borderId="62" xfId="0" applyFont="1" applyFill="1" applyBorder="1">
      <alignment vertical="center"/>
    </xf>
    <xf numFmtId="0" fontId="63" fillId="2" borderId="29" xfId="0" applyFont="1" applyFill="1" applyBorder="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81"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63" fillId="2" borderId="1" xfId="0" applyNumberFormat="1" applyFont="1" applyFill="1" applyBorder="1" applyAlignment="1">
      <alignment horizontal="center" vertical="center"/>
    </xf>
    <xf numFmtId="194" fontId="63" fillId="2" borderId="1" xfId="0" applyNumberFormat="1" applyFont="1" applyFill="1" applyBorder="1" applyAlignment="1">
      <alignment horizontal="center" vertical="center"/>
    </xf>
    <xf numFmtId="181" fontId="63" fillId="2" borderId="11" xfId="0" applyNumberFormat="1" applyFont="1" applyFill="1" applyBorder="1" applyAlignment="1">
      <alignment horizontal="center" vertical="center"/>
    </xf>
    <xf numFmtId="0" fontId="63" fillId="2" borderId="1" xfId="0" applyFont="1" applyFill="1" applyBorder="1" applyAlignment="1">
      <alignment vertical="center" wrapText="1"/>
    </xf>
    <xf numFmtId="0" fontId="63" fillId="2" borderId="1" xfId="0" applyFont="1" applyFill="1" applyBorder="1" applyAlignment="1">
      <alignment horizontal="right" vertical="center" wrapText="1"/>
    </xf>
    <xf numFmtId="0" fontId="63" fillId="2" borderId="1" xfId="14" applyFont="1" applyFill="1" applyBorder="1" applyAlignment="1">
      <alignment horizontal="center" vertical="center" wrapText="1"/>
    </xf>
    <xf numFmtId="0" fontId="63" fillId="2" borderId="1" xfId="0" applyFont="1" applyFill="1" applyBorder="1" applyAlignment="1">
      <alignment horizontal="right" vertical="center"/>
    </xf>
    <xf numFmtId="179" fontId="38" fillId="5"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7" fontId="58" fillId="2" borderId="1" xfId="14" applyNumberFormat="1" applyFont="1" applyFill="1" applyBorder="1" applyAlignment="1">
      <alignment horizontal="center" vertical="center"/>
    </xf>
    <xf numFmtId="0" fontId="63" fillId="2" borderId="37" xfId="0" applyFont="1" applyFill="1" applyBorder="1">
      <alignment vertical="center"/>
    </xf>
    <xf numFmtId="0" fontId="63" fillId="2" borderId="38" xfId="0" applyFont="1" applyFill="1" applyBorder="1">
      <alignment vertical="center"/>
    </xf>
    <xf numFmtId="0" fontId="73" fillId="2" borderId="15" xfId="0" applyFont="1" applyFill="1" applyBorder="1">
      <alignment vertical="center"/>
    </xf>
    <xf numFmtId="0" fontId="63" fillId="2" borderId="51" xfId="0" applyFont="1" applyFill="1" applyBorder="1">
      <alignment vertical="center"/>
    </xf>
    <xf numFmtId="0" fontId="73" fillId="2" borderId="8" xfId="0" applyFont="1" applyFill="1" applyBorder="1" applyAlignment="1">
      <alignment horizontal="center" vertical="center"/>
    </xf>
    <xf numFmtId="187" fontId="58" fillId="2" borderId="9" xfId="14" applyNumberFormat="1" applyFont="1" applyFill="1" applyBorder="1" applyAlignment="1">
      <alignment horizontal="center" vertical="center"/>
    </xf>
    <xf numFmtId="0" fontId="63" fillId="2" borderId="58" xfId="0" applyFont="1" applyFill="1" applyBorder="1">
      <alignment vertical="center"/>
    </xf>
    <xf numFmtId="187" fontId="63" fillId="2" borderId="11" xfId="0" applyNumberFormat="1" applyFont="1" applyFill="1" applyBorder="1">
      <alignment vertical="center"/>
    </xf>
    <xf numFmtId="0" fontId="63" fillId="2" borderId="111" xfId="0" applyFont="1" applyFill="1" applyBorder="1">
      <alignment vertical="center"/>
    </xf>
    <xf numFmtId="0" fontId="63" fillId="2" borderId="27" xfId="0" applyFont="1" applyFill="1" applyBorder="1">
      <alignment vertical="center"/>
    </xf>
    <xf numFmtId="0" fontId="63" fillId="2" borderId="15" xfId="0" applyFont="1" applyFill="1" applyBorder="1">
      <alignment vertical="center"/>
    </xf>
    <xf numFmtId="187" fontId="73" fillId="2" borderId="9" xfId="14" applyNumberFormat="1" applyFont="1" applyFill="1" applyBorder="1" applyAlignment="1">
      <alignment horizontal="center" vertical="center"/>
    </xf>
    <xf numFmtId="0" fontId="63" fillId="2" borderId="44" xfId="0" applyFont="1" applyFill="1" applyBorder="1">
      <alignment vertical="center"/>
    </xf>
    <xf numFmtId="0" fontId="63" fillId="2" borderId="11" xfId="0" applyFont="1" applyFill="1" applyBorder="1">
      <alignment vertical="center"/>
    </xf>
    <xf numFmtId="0" fontId="63" fillId="2" borderId="64" xfId="0" applyFont="1" applyFill="1" applyBorder="1">
      <alignment vertical="center"/>
    </xf>
    <xf numFmtId="0" fontId="63" fillId="0" borderId="11" xfId="0" applyFont="1" applyBorder="1" applyProtection="1">
      <alignment vertical="center"/>
      <protection locked="0"/>
    </xf>
    <xf numFmtId="0" fontId="63" fillId="2" borderId="40" xfId="0" applyFont="1" applyFill="1" applyBorder="1">
      <alignment vertical="center"/>
    </xf>
    <xf numFmtId="0" fontId="73" fillId="2" borderId="37" xfId="0" applyFont="1" applyFill="1" applyBorder="1">
      <alignment vertical="center"/>
    </xf>
    <xf numFmtId="0" fontId="63" fillId="2" borderId="35" xfId="0" applyFont="1" applyFill="1" applyBorder="1">
      <alignment vertical="center"/>
    </xf>
    <xf numFmtId="0" fontId="73" fillId="2" borderId="35" xfId="0" applyFont="1" applyFill="1" applyBorder="1" applyAlignment="1">
      <alignment horizontal="center" vertical="center"/>
    </xf>
    <xf numFmtId="187" fontId="58" fillId="2" borderId="17" xfId="14" applyNumberFormat="1" applyFont="1" applyFill="1" applyBorder="1" applyAlignment="1">
      <alignment horizontal="center" vertical="center"/>
    </xf>
    <xf numFmtId="187" fontId="58" fillId="2" borderId="38" xfId="14" applyNumberFormat="1" applyFont="1" applyFill="1" applyBorder="1" applyAlignment="1">
      <alignment horizontal="center" vertical="center"/>
    </xf>
    <xf numFmtId="187" fontId="58" fillId="2" borderId="39" xfId="14" applyNumberFormat="1" applyFont="1" applyFill="1" applyBorder="1" applyAlignment="1">
      <alignment horizontal="center" vertical="center"/>
    </xf>
    <xf numFmtId="0" fontId="73" fillId="2" borderId="128" xfId="0" applyFont="1" applyFill="1" applyBorder="1" applyAlignment="1">
      <alignment horizontal="right" vertical="center"/>
    </xf>
    <xf numFmtId="0" fontId="63" fillId="2" borderId="16" xfId="0" applyFont="1" applyFill="1" applyBorder="1">
      <alignment vertical="center"/>
    </xf>
    <xf numFmtId="0" fontId="73" fillId="2" borderId="16" xfId="0" applyFont="1" applyFill="1" applyBorder="1" applyAlignment="1">
      <alignment horizontal="center" vertical="center"/>
    </xf>
    <xf numFmtId="187" fontId="57" fillId="2" borderId="16" xfId="14" applyNumberFormat="1"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8" xfId="0" applyFont="1" applyFill="1" applyBorder="1" applyAlignment="1">
      <alignment horizontal="center" vertical="center"/>
    </xf>
    <xf numFmtId="0" fontId="63" fillId="2" borderId="30" xfId="0" applyFont="1" applyFill="1" applyBorder="1">
      <alignment vertical="center"/>
    </xf>
    <xf numFmtId="178" fontId="92" fillId="0" borderId="1" xfId="14" applyNumberFormat="1" applyFont="1" applyBorder="1" applyProtection="1">
      <alignment vertical="center"/>
      <protection locked="0" hidden="1"/>
    </xf>
    <xf numFmtId="187" fontId="63" fillId="2" borderId="1" xfId="0" applyNumberFormat="1" applyFont="1" applyFill="1" applyBorder="1">
      <alignment vertical="center"/>
    </xf>
    <xf numFmtId="0" fontId="38" fillId="0" borderId="4" xfId="0" applyFont="1" applyBorder="1" applyProtection="1">
      <alignment vertical="center"/>
      <protection locked="0"/>
    </xf>
    <xf numFmtId="178" fontId="83" fillId="0" borderId="1" xfId="14" applyNumberFormat="1" applyFont="1" applyBorder="1" applyProtection="1">
      <alignment vertical="center"/>
      <protection locked="0"/>
    </xf>
    <xf numFmtId="0" fontId="63" fillId="0" borderId="114" xfId="0" applyFont="1" applyBorder="1" applyProtection="1">
      <alignment vertical="center"/>
      <protection locked="0"/>
    </xf>
    <xf numFmtId="0" fontId="63" fillId="0" borderId="40" xfId="0" applyFont="1" applyBorder="1" applyProtection="1">
      <alignment vertical="center"/>
      <protection locked="0"/>
    </xf>
    <xf numFmtId="178" fontId="63" fillId="0" borderId="1" xfId="14" applyNumberFormat="1" applyFont="1" applyBorder="1" applyProtection="1">
      <alignment vertical="center"/>
      <protection locked="0"/>
    </xf>
    <xf numFmtId="178" fontId="63" fillId="0" borderId="4" xfId="14" applyNumberFormat="1" applyFont="1" applyBorder="1" applyProtection="1">
      <alignment vertical="center"/>
      <protection locked="0"/>
    </xf>
    <xf numFmtId="187" fontId="73" fillId="2" borderId="1" xfId="0" applyNumberFormat="1" applyFont="1" applyFill="1" applyBorder="1">
      <alignment vertical="center"/>
    </xf>
    <xf numFmtId="187" fontId="73" fillId="2" borderId="1" xfId="0" applyNumberFormat="1" applyFont="1" applyFill="1" applyBorder="1" applyAlignment="1">
      <alignment horizontal="center" vertical="center"/>
    </xf>
    <xf numFmtId="187" fontId="73" fillId="2" borderId="11" xfId="0" applyNumberFormat="1" applyFont="1" applyFill="1" applyBorder="1">
      <alignment vertical="center"/>
    </xf>
    <xf numFmtId="187" fontId="73" fillId="2" borderId="12" xfId="0" applyNumberFormat="1" applyFont="1" applyFill="1" applyBorder="1">
      <alignment vertical="center"/>
    </xf>
    <xf numFmtId="0" fontId="63" fillId="2" borderId="114" xfId="0" applyFont="1" applyFill="1" applyBorder="1">
      <alignment vertical="center"/>
    </xf>
    <xf numFmtId="0" fontId="73" fillId="2" borderId="114" xfId="0" applyFont="1" applyFill="1" applyBorder="1" applyAlignment="1">
      <alignment horizontal="left" vertical="center"/>
    </xf>
    <xf numFmtId="0" fontId="63" fillId="2" borderId="61" xfId="0" applyFont="1" applyFill="1" applyBorder="1">
      <alignment vertical="center"/>
    </xf>
    <xf numFmtId="179" fontId="73" fillId="2" borderId="62" xfId="0" applyNumberFormat="1" applyFont="1" applyFill="1" applyBorder="1">
      <alignment vertical="center"/>
    </xf>
    <xf numFmtId="179" fontId="73" fillId="2" borderId="13" xfId="0" applyNumberFormat="1" applyFont="1" applyFill="1" applyBorder="1">
      <alignment vertical="center"/>
    </xf>
    <xf numFmtId="179" fontId="73" fillId="2" borderId="14" xfId="0" applyNumberFormat="1" applyFont="1" applyFill="1" applyBorder="1">
      <alignment vertical="center"/>
    </xf>
    <xf numFmtId="179" fontId="63" fillId="2" borderId="16" xfId="0" applyNumberFormat="1" applyFont="1" applyFill="1" applyBorder="1">
      <alignment vertical="center"/>
    </xf>
    <xf numFmtId="187" fontId="63" fillId="0" borderId="0" xfId="0" applyNumberFormat="1" applyFont="1" applyProtection="1">
      <alignment vertical="center"/>
      <protection locked="0"/>
    </xf>
    <xf numFmtId="0" fontId="63" fillId="2" borderId="40" xfId="0" applyFont="1" applyFill="1" applyBorder="1" applyAlignment="1">
      <alignment horizontal="center" vertical="center"/>
    </xf>
    <xf numFmtId="0" fontId="63" fillId="0" borderId="14" xfId="0" applyFont="1" applyBorder="1" applyAlignment="1" applyProtection="1">
      <alignment horizontal="center" vertical="center"/>
      <protection locked="0"/>
    </xf>
    <xf numFmtId="0" fontId="63" fillId="2" borderId="39" xfId="0" applyFont="1" applyFill="1" applyBorder="1">
      <alignment vertical="center"/>
    </xf>
    <xf numFmtId="179" fontId="73" fillId="7" borderId="11" xfId="0" applyNumberFormat="1" applyFont="1" applyFill="1" applyBorder="1" applyAlignment="1" applyProtection="1">
      <alignment horizontal="center" vertical="center"/>
      <protection locked="0"/>
    </xf>
    <xf numFmtId="179" fontId="63" fillId="2" borderId="11" xfId="0" applyNumberFormat="1" applyFont="1" applyFill="1" applyBorder="1" applyAlignment="1">
      <alignment horizontal="center" vertical="center"/>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7" fontId="73" fillId="2" borderId="115" xfId="0" applyNumberFormat="1" applyFont="1" applyFill="1" applyBorder="1">
      <alignment vertical="center"/>
    </xf>
    <xf numFmtId="0" fontId="73" fillId="2" borderId="12" xfId="0" applyFont="1" applyFill="1" applyBorder="1">
      <alignment vertical="center"/>
    </xf>
    <xf numFmtId="0" fontId="73" fillId="2" borderId="14" xfId="0" applyFont="1" applyFill="1" applyBorder="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8" fillId="0" borderId="0" xfId="0" applyFont="1" applyAlignment="1">
      <alignment horizontal="center" vertical="center" wrapText="1"/>
    </xf>
    <xf numFmtId="187" fontId="38" fillId="0" borderId="0" xfId="0" applyNumberFormat="1" applyFont="1" applyAlignment="1">
      <alignment horizontal="center" vertical="center" wrapText="1"/>
    </xf>
    <xf numFmtId="0" fontId="67" fillId="0" borderId="0" xfId="0" applyFont="1" applyAlignment="1">
      <alignment horizontal="center" vertical="center" wrapText="1"/>
    </xf>
    <xf numFmtId="0" fontId="63" fillId="0" borderId="0" xfId="0" applyFont="1" applyAlignment="1">
      <alignment horizontal="center" vertical="center" wrapText="1"/>
    </xf>
    <xf numFmtId="0" fontId="63" fillId="2" borderId="0" xfId="0" applyFont="1" applyFill="1" applyAlignment="1">
      <alignment horizontal="center" vertical="center" wrapText="1"/>
    </xf>
    <xf numFmtId="179" fontId="38" fillId="0" borderId="1" xfId="0" applyNumberFormat="1" applyFont="1" applyBorder="1" applyAlignment="1" applyProtection="1">
      <alignment horizontal="center" vertical="center" wrapText="1"/>
      <protection locked="0"/>
    </xf>
    <xf numFmtId="179" fontId="7" fillId="2" borderId="1" xfId="0" applyNumberFormat="1" applyFont="1" applyFill="1" applyBorder="1" applyAlignment="1">
      <alignment horizontal="center" vertical="center" wrapText="1"/>
    </xf>
    <xf numFmtId="0" fontId="38" fillId="7" borderId="1" xfId="0" applyFont="1" applyFill="1" applyBorder="1" applyAlignment="1" applyProtection="1">
      <alignment horizontal="center" vertical="center" wrapText="1"/>
      <protection locked="0"/>
    </xf>
    <xf numFmtId="0" fontId="39" fillId="2" borderId="34" xfId="0" applyFont="1" applyFill="1" applyBorder="1" applyAlignment="1">
      <alignment horizontal="left" vertical="center"/>
    </xf>
    <xf numFmtId="179" fontId="38"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7" fontId="38" fillId="2" borderId="1" xfId="0" applyNumberFormat="1" applyFont="1" applyFill="1" applyBorder="1" applyAlignment="1">
      <alignment horizontal="center" vertical="center" wrapText="1"/>
    </xf>
    <xf numFmtId="187" fontId="38" fillId="2" borderId="3" xfId="0" applyNumberFormat="1" applyFont="1" applyFill="1" applyBorder="1" applyAlignment="1">
      <alignment horizontal="center" vertical="center" wrapText="1"/>
    </xf>
    <xf numFmtId="187" fontId="38" fillId="2" borderId="4" xfId="0" applyNumberFormat="1" applyFont="1" applyFill="1" applyBorder="1" applyAlignment="1">
      <alignment horizontal="center" vertical="center" wrapText="1"/>
    </xf>
    <xf numFmtId="187" fontId="38" fillId="2" borderId="15" xfId="0" applyNumberFormat="1"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50" xfId="0" applyFont="1" applyFill="1" applyBorder="1" applyAlignment="1">
      <alignment horizontal="center" vertical="center"/>
    </xf>
    <xf numFmtId="0" fontId="38" fillId="2" borderId="48" xfId="0" applyFont="1" applyFill="1" applyBorder="1" applyAlignment="1">
      <alignment horizontal="center" vertical="center"/>
    </xf>
    <xf numFmtId="179" fontId="38" fillId="2" borderId="2"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119" xfId="0" applyFont="1" applyFill="1" applyBorder="1" applyAlignment="1">
      <alignment horizontal="center" vertical="center"/>
    </xf>
    <xf numFmtId="179" fontId="38" fillId="2" borderId="119" xfId="0" applyNumberFormat="1" applyFont="1" applyFill="1" applyBorder="1" applyAlignment="1">
      <alignment horizontal="center" vertical="center"/>
    </xf>
    <xf numFmtId="0" fontId="38" fillId="2" borderId="34" xfId="0" applyFont="1" applyFill="1" applyBorder="1" applyAlignment="1">
      <alignment horizontal="center" vertical="center" wrapText="1"/>
    </xf>
    <xf numFmtId="179" fontId="38" fillId="2" borderId="112" xfId="0" applyNumberFormat="1" applyFont="1" applyFill="1" applyBorder="1" applyAlignment="1">
      <alignment horizontal="center" vertical="center" wrapText="1"/>
    </xf>
    <xf numFmtId="0" fontId="38" fillId="0" borderId="1" xfId="0" applyFont="1" applyBorder="1" applyAlignment="1" applyProtection="1">
      <alignment horizontal="left" vertical="center" wrapText="1"/>
      <protection locked="0"/>
    </xf>
    <xf numFmtId="0" fontId="38" fillId="7" borderId="16" xfId="0" applyFont="1" applyFill="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187" fontId="38" fillId="2" borderId="16" xfId="0" applyNumberFormat="1" applyFont="1" applyFill="1" applyBorder="1" applyAlignment="1">
      <alignment horizontal="center" vertical="center" wrapText="1"/>
    </xf>
    <xf numFmtId="0" fontId="115" fillId="0" borderId="0" xfId="0" applyFont="1">
      <alignment vertical="center"/>
    </xf>
    <xf numFmtId="0" fontId="38" fillId="0" borderId="1" xfId="0" applyFont="1" applyBorder="1" applyAlignment="1" applyProtection="1">
      <alignment vertical="center" wrapText="1"/>
      <protection locked="0"/>
    </xf>
    <xf numFmtId="0" fontId="63" fillId="3" borderId="16" xfId="0" applyFont="1" applyFill="1" applyBorder="1" applyAlignment="1" applyProtection="1">
      <alignment horizontal="center" vertical="center" wrapText="1"/>
      <protection locked="0"/>
    </xf>
    <xf numFmtId="187" fontId="63" fillId="2" borderId="1" xfId="0" applyNumberFormat="1" applyFont="1" applyFill="1" applyBorder="1" applyAlignment="1">
      <alignment horizontal="center" vertical="center" wrapText="1"/>
    </xf>
    <xf numFmtId="187" fontId="63" fillId="0" borderId="16" xfId="0" applyNumberFormat="1" applyFont="1" applyBorder="1" applyAlignment="1" applyProtection="1">
      <alignment horizontal="center" vertical="center" wrapText="1"/>
      <protection locked="0"/>
    </xf>
    <xf numFmtId="187" fontId="63" fillId="2" borderId="16" xfId="0" applyNumberFormat="1" applyFont="1" applyFill="1" applyBorder="1" applyAlignment="1">
      <alignment horizontal="center" vertical="center" wrapText="1"/>
    </xf>
    <xf numFmtId="187" fontId="63" fillId="2" borderId="15" xfId="0" applyNumberFormat="1" applyFont="1" applyFill="1" applyBorder="1" applyAlignment="1">
      <alignment horizontal="center" vertical="center" wrapText="1"/>
    </xf>
    <xf numFmtId="0" fontId="39" fillId="2" borderId="3" xfId="0" applyFont="1" applyFill="1" applyBorder="1" applyAlignment="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2" borderId="4" xfId="0" applyFont="1" applyFill="1" applyBorder="1" applyAlignment="1">
      <alignment horizontal="left" vertical="center"/>
    </xf>
    <xf numFmtId="187" fontId="38" fillId="0" borderId="1" xfId="0" applyNumberFormat="1" applyFont="1" applyBorder="1" applyAlignment="1" applyProtection="1">
      <alignment vertical="center" wrapText="1"/>
      <protection locked="0"/>
    </xf>
    <xf numFmtId="187" fontId="63" fillId="0" borderId="1" xfId="0" applyNumberFormat="1" applyFont="1" applyBorder="1" applyAlignment="1" applyProtection="1">
      <alignment vertical="center" wrapText="1"/>
      <protection locked="0"/>
    </xf>
    <xf numFmtId="179" fontId="38" fillId="2" borderId="3" xfId="0" applyNumberFormat="1" applyFont="1" applyFill="1" applyBorder="1" applyAlignment="1">
      <alignment horizontal="center" vertical="center"/>
    </xf>
    <xf numFmtId="0" fontId="39" fillId="2" borderId="3" xfId="0" applyFont="1" applyFill="1" applyBorder="1" applyAlignment="1">
      <alignment horizontal="left" vertical="center"/>
    </xf>
    <xf numFmtId="179" fontId="38" fillId="2" borderId="4" xfId="0" applyNumberFormat="1" applyFont="1" applyFill="1" applyBorder="1" applyAlignment="1">
      <alignment horizontal="center" vertical="center"/>
    </xf>
    <xf numFmtId="0" fontId="39" fillId="2" borderId="95"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right" vertical="center"/>
    </xf>
    <xf numFmtId="0" fontId="45" fillId="2" borderId="2"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7" fontId="38" fillId="0" borderId="1" xfId="0" applyNumberFormat="1" applyFont="1" applyBorder="1" applyAlignment="1" applyProtection="1">
      <alignment horizontal="center" vertical="center" wrapText="1"/>
      <protection locked="0"/>
    </xf>
    <xf numFmtId="187" fontId="63" fillId="0" borderId="1" xfId="0" applyNumberFormat="1" applyFont="1" applyBorder="1" applyAlignment="1" applyProtection="1">
      <alignment horizontal="center" vertical="center" wrapText="1"/>
      <protection locked="0"/>
    </xf>
    <xf numFmtId="0" fontId="116" fillId="2" borderId="4" xfId="0" applyFont="1" applyFill="1" applyBorder="1" applyAlignment="1">
      <alignment horizontal="right" vertical="center"/>
    </xf>
    <xf numFmtId="0" fontId="33" fillId="2" borderId="0" xfId="0" applyFont="1" applyFill="1" applyAlignment="1">
      <alignment horizontal="left" vertical="center"/>
    </xf>
    <xf numFmtId="187" fontId="38" fillId="2" borderId="2" xfId="0" applyNumberFormat="1"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12" xfId="0" applyFont="1" applyFill="1" applyBorder="1" applyAlignment="1">
      <alignment horizontal="left" vertical="center"/>
    </xf>
    <xf numFmtId="179" fontId="38" fillId="2" borderId="34" xfId="0" applyNumberFormat="1" applyFont="1" applyFill="1" applyBorder="1" applyAlignment="1">
      <alignment horizontal="center" vertical="center" wrapText="1"/>
    </xf>
    <xf numFmtId="0" fontId="38" fillId="2" borderId="64" xfId="0" applyFont="1" applyFill="1" applyBorder="1" applyAlignment="1">
      <alignment horizontal="center" vertical="center" wrapText="1"/>
    </xf>
    <xf numFmtId="0" fontId="38" fillId="0" borderId="3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2" borderId="48" xfId="0" applyFont="1" applyFill="1" applyBorder="1" applyAlignment="1">
      <alignment horizontal="center" vertical="center" wrapText="1"/>
    </xf>
    <xf numFmtId="0" fontId="7" fillId="2"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7" fontId="38" fillId="2" borderId="0" xfId="0" applyNumberFormat="1" applyFont="1" applyFill="1" applyAlignment="1">
      <alignment horizontal="center" vertical="center" wrapText="1"/>
    </xf>
    <xf numFmtId="187" fontId="38" fillId="2" borderId="8" xfId="0" applyNumberFormat="1" applyFont="1" applyFill="1" applyBorder="1" applyAlignment="1">
      <alignment horizontal="center" vertical="center" wrapText="1"/>
    </xf>
    <xf numFmtId="187" fontId="38" fillId="2" borderId="10" xfId="0" applyNumberFormat="1" applyFont="1" applyFill="1" applyBorder="1" applyAlignment="1">
      <alignment horizontal="center" vertical="center" wrapText="1"/>
    </xf>
    <xf numFmtId="179" fontId="38" fillId="2" borderId="34" xfId="0" applyNumberFormat="1" applyFont="1" applyFill="1" applyBorder="1" applyAlignment="1">
      <alignment horizontal="center" vertical="center"/>
    </xf>
    <xf numFmtId="0" fontId="39" fillId="2" borderId="96" xfId="0" applyFont="1" applyFill="1" applyBorder="1" applyAlignment="1">
      <alignment horizontal="center" vertical="center"/>
    </xf>
    <xf numFmtId="0" fontId="38" fillId="2" borderId="112" xfId="0" applyFont="1" applyFill="1" applyBorder="1" applyAlignment="1">
      <alignment horizontal="center" vertical="center"/>
    </xf>
    <xf numFmtId="0" fontId="38" fillId="2" borderId="119" xfId="0" applyFont="1" applyFill="1" applyBorder="1" applyAlignment="1">
      <alignment horizontal="center" vertical="center" wrapText="1"/>
    </xf>
    <xf numFmtId="179" fontId="38" fillId="2" borderId="1" xfId="0" applyNumberFormat="1" applyFont="1" applyFill="1" applyBorder="1" applyAlignment="1">
      <alignment horizontal="center" vertical="center"/>
    </xf>
    <xf numFmtId="179" fontId="38" fillId="2" borderId="112" xfId="0" applyNumberFormat="1" applyFont="1" applyFill="1" applyBorder="1" applyAlignment="1">
      <alignment horizontal="center" vertical="center"/>
    </xf>
    <xf numFmtId="187" fontId="38" fillId="2" borderId="9" xfId="0" applyNumberFormat="1" applyFont="1" applyFill="1" applyBorder="1" applyAlignment="1">
      <alignment horizontal="center" vertical="center" wrapText="1"/>
    </xf>
    <xf numFmtId="187" fontId="38" fillId="2" borderId="11" xfId="0" applyNumberFormat="1" applyFont="1" applyFill="1" applyBorder="1" applyAlignment="1">
      <alignment horizontal="center" vertical="center" wrapText="1"/>
    </xf>
    <xf numFmtId="0" fontId="38" fillId="2" borderId="69" xfId="0" applyFont="1" applyFill="1" applyBorder="1" applyAlignment="1">
      <alignment horizontal="center" vertical="center" wrapText="1"/>
    </xf>
    <xf numFmtId="0" fontId="38" fillId="2" borderId="28" xfId="0" applyFont="1" applyFill="1" applyBorder="1" applyAlignment="1">
      <alignment horizontal="center" vertical="center"/>
    </xf>
    <xf numFmtId="0" fontId="38" fillId="2" borderId="40" xfId="0" applyFont="1" applyFill="1" applyBorder="1" applyAlignment="1">
      <alignment horizontal="center" vertical="center"/>
    </xf>
    <xf numFmtId="187" fontId="63" fillId="2" borderId="11" xfId="0" applyNumberFormat="1" applyFont="1" applyFill="1" applyBorder="1" applyAlignment="1">
      <alignment horizontal="center" vertical="center" wrapText="1"/>
    </xf>
    <xf numFmtId="0" fontId="63" fillId="0" borderId="1" xfId="0" applyFont="1" applyBorder="1" applyAlignment="1" applyProtection="1">
      <alignment vertical="center" wrapText="1"/>
      <protection locked="0"/>
    </xf>
    <xf numFmtId="187" fontId="63" fillId="0" borderId="0" xfId="0" applyNumberFormat="1" applyFont="1" applyAlignment="1">
      <alignment horizontal="center" vertical="center" wrapText="1"/>
    </xf>
    <xf numFmtId="0" fontId="67" fillId="0" borderId="0" xfId="0" applyFont="1" applyAlignment="1">
      <alignment horizontal="center" vertical="center"/>
    </xf>
    <xf numFmtId="0" fontId="40" fillId="0" borderId="154" xfId="0" applyFont="1" applyBorder="1" applyAlignment="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9" xfId="0" applyFont="1" applyFill="1" applyBorder="1" applyAlignment="1">
      <alignment vertical="center" wrapText="1"/>
    </xf>
    <xf numFmtId="0" fontId="38" fillId="2" borderId="0" xfId="0" applyFont="1" applyFill="1" applyAlignment="1">
      <alignment vertical="center" wrapText="1"/>
    </xf>
    <xf numFmtId="0" fontId="38" fillId="11" borderId="0" xfId="0" applyFont="1" applyFill="1" applyAlignment="1">
      <alignment vertical="center" wrapText="1"/>
    </xf>
    <xf numFmtId="0" fontId="38" fillId="11" borderId="0" xfId="0" applyFont="1" applyFill="1" applyAlignment="1" applyProtection="1">
      <alignment horizontal="center" vertical="center" wrapText="1"/>
      <protection locked="0"/>
    </xf>
    <xf numFmtId="14" fontId="38" fillId="0" borderId="15" xfId="0" applyNumberFormat="1" applyFont="1" applyBorder="1" applyAlignment="1" applyProtection="1">
      <alignment horizontal="left" vertical="center"/>
      <protection locked="0"/>
    </xf>
    <xf numFmtId="0" fontId="38" fillId="15" borderId="1" xfId="0" applyFont="1" applyFill="1" applyBorder="1" applyAlignment="1">
      <alignment vertical="center" wrapText="1"/>
    </xf>
    <xf numFmtId="14" fontId="38" fillId="3" borderId="6" xfId="0" applyNumberFormat="1" applyFont="1" applyFill="1" applyBorder="1" applyAlignment="1" applyProtection="1">
      <alignment horizontal="center" vertical="center"/>
      <protection locked="0"/>
    </xf>
    <xf numFmtId="0" fontId="38" fillId="2" borderId="6" xfId="0" applyFont="1" applyFill="1" applyBorder="1" applyAlignment="1">
      <alignment horizontal="right" vertical="center" shrinkToFit="1"/>
    </xf>
    <xf numFmtId="0" fontId="38" fillId="2" borderId="34" xfId="0" applyFont="1" applyFill="1" applyBorder="1" applyAlignment="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lignment vertical="center" wrapText="1"/>
    </xf>
    <xf numFmtId="0" fontId="38" fillId="5" borderId="112" xfId="0" applyFont="1" applyFill="1" applyBorder="1" applyAlignment="1">
      <alignment vertical="center" wrapText="1"/>
    </xf>
    <xf numFmtId="0" fontId="38" fillId="2" borderId="48" xfId="0" applyFont="1" applyFill="1" applyBorder="1" applyAlignment="1">
      <alignment vertical="center" wrapText="1"/>
    </xf>
    <xf numFmtId="0" fontId="38" fillId="5" borderId="2" xfId="0" applyFont="1" applyFill="1" applyBorder="1" applyProtection="1">
      <alignment vertical="center"/>
      <protection locked="0"/>
    </xf>
    <xf numFmtId="0" fontId="38" fillId="5" borderId="3" xfId="0" applyFont="1" applyFill="1" applyBorder="1" applyAlignment="1">
      <alignment vertical="center" wrapText="1"/>
    </xf>
    <xf numFmtId="0" fontId="38" fillId="5" borderId="114"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15" borderId="48" xfId="0" applyFont="1" applyFill="1" applyBorder="1" applyAlignment="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lignment vertical="center" wrapText="1"/>
    </xf>
    <xf numFmtId="0" fontId="38" fillId="3" borderId="15" xfId="0" applyFont="1" applyFill="1" applyBorder="1" applyAlignment="1" applyProtection="1">
      <alignment horizontal="left" vertical="center"/>
      <protection locked="0"/>
    </xf>
    <xf numFmtId="0" fontId="38" fillId="3" borderId="114" xfId="0" applyFont="1" applyFill="1" applyBorder="1" applyAlignment="1">
      <alignment vertical="center" wrapText="1"/>
    </xf>
    <xf numFmtId="0" fontId="38" fillId="15" borderId="126" xfId="0" applyFont="1" applyFill="1" applyBorder="1" applyAlignment="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lignment vertical="center" wrapText="1"/>
    </xf>
    <xf numFmtId="0" fontId="38" fillId="3" borderId="134" xfId="0" applyFont="1" applyFill="1" applyBorder="1" applyAlignment="1">
      <alignment vertical="center" wrapText="1"/>
    </xf>
    <xf numFmtId="0" fontId="38" fillId="11" borderId="5" xfId="0" applyFont="1" applyFill="1" applyBorder="1" applyAlignment="1" applyProtection="1">
      <alignment vertical="center" wrapText="1"/>
      <protection locked="0"/>
    </xf>
    <xf numFmtId="0" fontId="38" fillId="15" borderId="16" xfId="0" applyFont="1" applyFill="1" applyBorder="1" applyAlignment="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lignment vertical="center" wrapText="1"/>
    </xf>
    <xf numFmtId="0" fontId="38" fillId="11" borderId="96" xfId="0" applyFont="1" applyFill="1" applyBorder="1" applyAlignment="1">
      <alignment horizontal="center" vertical="center" wrapText="1"/>
    </xf>
    <xf numFmtId="0" fontId="38" fillId="15" borderId="48" xfId="0" applyFont="1" applyFill="1" applyBorder="1" applyAlignment="1">
      <alignment horizontal="left" vertical="center"/>
    </xf>
    <xf numFmtId="0" fontId="38" fillId="3"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lignment vertical="center" wrapText="1"/>
    </xf>
    <xf numFmtId="49" fontId="38" fillId="15" borderId="15" xfId="0" applyNumberFormat="1" applyFont="1" applyFill="1" applyBorder="1" applyAlignment="1">
      <alignment horizontal="left" vertical="center" wrapText="1"/>
    </xf>
    <xf numFmtId="49" fontId="38" fillId="2" borderId="1" xfId="0" applyNumberFormat="1" applyFont="1" applyFill="1" applyBorder="1" applyAlignment="1">
      <alignment horizontal="center" vertical="center" wrapText="1"/>
    </xf>
    <xf numFmtId="0" fontId="38" fillId="7" borderId="64" xfId="0" applyFont="1" applyFill="1" applyBorder="1" applyAlignment="1">
      <alignment horizontal="left" vertical="center" wrapText="1"/>
    </xf>
    <xf numFmtId="0" fontId="38" fillId="15" borderId="96" xfId="0" applyFont="1" applyFill="1" applyBorder="1" applyAlignment="1">
      <alignment vertical="center" wrapText="1"/>
    </xf>
    <xf numFmtId="190" fontId="117" fillId="0" borderId="1" xfId="0" applyNumberFormat="1" applyFont="1" applyBorder="1" applyAlignment="1" applyProtection="1">
      <alignment horizontal="center" vertical="center" shrinkToFit="1"/>
      <protection locked="0"/>
    </xf>
    <xf numFmtId="178" fontId="38" fillId="3" borderId="1" xfId="14" applyNumberFormat="1" applyFont="1" applyFill="1" applyBorder="1" applyAlignment="1" applyProtection="1">
      <alignment horizontal="center" vertical="center"/>
      <protection locked="0"/>
    </xf>
    <xf numFmtId="0" fontId="38" fillId="7" borderId="16" xfId="0" applyFont="1" applyFill="1" applyBorder="1" applyAlignment="1">
      <alignment horizontal="left" vertical="center" wrapText="1"/>
    </xf>
    <xf numFmtId="0" fontId="38" fillId="2" borderId="96" xfId="0" applyFont="1" applyFill="1" applyBorder="1" applyAlignment="1">
      <alignment vertical="center" wrapText="1"/>
    </xf>
    <xf numFmtId="179" fontId="38" fillId="2" borderId="1" xfId="0" applyNumberFormat="1" applyFont="1" applyFill="1" applyBorder="1" applyAlignment="1">
      <alignment horizontal="center" vertical="center" wrapText="1"/>
    </xf>
    <xf numFmtId="49" fontId="38" fillId="2" borderId="64" xfId="0" applyNumberFormat="1" applyFont="1" applyFill="1" applyBorder="1" applyAlignment="1">
      <alignment horizontal="left" vertical="center" wrapText="1"/>
    </xf>
    <xf numFmtId="0" fontId="38" fillId="3" borderId="121" xfId="0" applyFont="1" applyFill="1" applyBorder="1" applyAlignment="1" applyProtection="1">
      <alignment horizontal="left" vertical="center" wrapText="1"/>
      <protection locked="0"/>
    </xf>
    <xf numFmtId="0" fontId="38" fillId="2" borderId="6" xfId="0" applyFont="1" applyFill="1" applyBorder="1" applyAlignment="1">
      <alignment horizontal="center" vertical="center" wrapText="1"/>
    </xf>
    <xf numFmtId="0" fontId="38" fillId="3" borderId="64" xfId="0" applyFont="1" applyFill="1" applyBorder="1" applyAlignment="1" applyProtection="1">
      <alignment horizontal="center" vertical="center" wrapText="1"/>
      <protection locked="0"/>
    </xf>
    <xf numFmtId="0" fontId="38" fillId="2" borderId="20" xfId="0" applyFont="1" applyFill="1" applyBorder="1" applyAlignment="1">
      <alignment horizontal="center" vertical="center" wrapText="1"/>
    </xf>
    <xf numFmtId="0" fontId="38" fillId="3" borderId="20" xfId="0" applyFont="1" applyFill="1" applyBorder="1" applyAlignment="1" applyProtection="1">
      <alignment horizontal="center" vertical="center" wrapText="1"/>
      <protection locked="0"/>
    </xf>
    <xf numFmtId="0" fontId="45" fillId="2" borderId="20" xfId="0" applyFont="1" applyFill="1" applyBorder="1" applyAlignment="1">
      <alignment vertical="center" wrapText="1"/>
    </xf>
    <xf numFmtId="0" fontId="38" fillId="3" borderId="115" xfId="0" applyFont="1" applyFill="1" applyBorder="1" applyAlignment="1" applyProtection="1">
      <alignment horizontal="center" vertical="center" wrapText="1"/>
      <protection locked="0"/>
    </xf>
    <xf numFmtId="0" fontId="38" fillId="2" borderId="2" xfId="0" applyFont="1" applyFill="1" applyBorder="1" applyAlignment="1">
      <alignment vertical="center" wrapText="1"/>
    </xf>
    <xf numFmtId="0" fontId="38" fillId="2" borderId="129" xfId="0" applyFont="1" applyFill="1" applyBorder="1" applyAlignment="1">
      <alignment horizontal="left" vertical="center"/>
    </xf>
    <xf numFmtId="0" fontId="38" fillId="3" borderId="10"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2" borderId="30" xfId="0" applyFont="1" applyFill="1" applyBorder="1" applyAlignment="1">
      <alignment vertical="center" wrapText="1"/>
    </xf>
    <xf numFmtId="190" fontId="41" fillId="0" borderId="11" xfId="0" applyNumberFormat="1" applyFont="1" applyBorder="1" applyAlignment="1" applyProtection="1">
      <alignment vertical="center" shrinkToFit="1"/>
      <protection locked="0"/>
    </xf>
    <xf numFmtId="0" fontId="38" fillId="2" borderId="49" xfId="0" applyFont="1" applyFill="1" applyBorder="1" applyAlignment="1">
      <alignment vertical="center" wrapText="1"/>
    </xf>
    <xf numFmtId="190" fontId="41" fillId="0" borderId="39" xfId="0" applyNumberFormat="1" applyFont="1" applyBorder="1" applyAlignment="1" applyProtection="1">
      <alignment vertical="center" shrinkToFit="1"/>
      <protection locked="0"/>
    </xf>
    <xf numFmtId="0" fontId="41" fillId="0" borderId="42" xfId="0" applyFont="1" applyBorder="1" applyAlignment="1" applyProtection="1">
      <alignment vertical="center" wrapText="1"/>
      <protection locked="0"/>
    </xf>
    <xf numFmtId="0" fontId="38" fillId="2" borderId="135" xfId="0" applyFont="1" applyFill="1" applyBorder="1" applyAlignment="1">
      <alignment vertical="center" wrapText="1"/>
    </xf>
    <xf numFmtId="0" fontId="38" fillId="2" borderId="138" xfId="0" applyFont="1" applyFill="1" applyBorder="1" applyAlignment="1">
      <alignment vertical="center" wrapText="1"/>
    </xf>
    <xf numFmtId="0" fontId="41" fillId="0" borderId="124" xfId="0" applyFont="1" applyBorder="1" applyAlignment="1" applyProtection="1">
      <alignment vertical="center" wrapText="1"/>
      <protection locked="0"/>
    </xf>
    <xf numFmtId="0" fontId="41" fillId="0" borderId="139" xfId="0" applyFont="1" applyBorder="1" applyAlignment="1" applyProtection="1">
      <alignment vertical="center" wrapText="1"/>
      <protection locked="0"/>
    </xf>
    <xf numFmtId="0" fontId="38" fillId="7" borderId="34" xfId="0" applyFont="1" applyFill="1" applyBorder="1" applyProtection="1">
      <alignment vertical="center"/>
      <protection locked="0"/>
    </xf>
    <xf numFmtId="0" fontId="38" fillId="7" borderId="112" xfId="0" applyFont="1" applyFill="1" applyBorder="1" applyAlignment="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Protection="1">
      <alignment vertical="center"/>
      <protection locked="0"/>
    </xf>
    <xf numFmtId="0" fontId="38" fillId="7" borderId="4" xfId="0" applyFont="1" applyFill="1" applyBorder="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2" borderId="15" xfId="0" applyFont="1" applyFill="1" applyBorder="1" applyAlignment="1">
      <alignment vertical="center" wrapText="1"/>
    </xf>
    <xf numFmtId="0" fontId="38" fillId="2" borderId="50" xfId="0" applyFont="1" applyFill="1" applyBorder="1" applyAlignment="1">
      <alignment vertical="center" wrapText="1"/>
    </xf>
    <xf numFmtId="0" fontId="38" fillId="11" borderId="1" xfId="0" applyFont="1" applyFill="1" applyBorder="1" applyAlignment="1" applyProtection="1">
      <alignment horizontal="center" vertical="center" wrapText="1"/>
      <protection locked="0"/>
    </xf>
    <xf numFmtId="0" fontId="38" fillId="15" borderId="64" xfId="0" applyFont="1" applyFill="1" applyBorder="1" applyAlignment="1">
      <alignment vertical="center" wrapText="1"/>
    </xf>
    <xf numFmtId="0" fontId="38" fillId="3" borderId="1" xfId="0" applyFont="1" applyFill="1" applyBorder="1" applyAlignment="1" applyProtection="1">
      <alignment horizontal="center" vertical="center" wrapText="1"/>
      <protection locked="0"/>
    </xf>
    <xf numFmtId="0" fontId="38" fillId="15" borderId="6" xfId="0" applyFont="1" applyFill="1" applyBorder="1" applyAlignment="1">
      <alignment vertical="center" wrapText="1"/>
    </xf>
    <xf numFmtId="0" fontId="38" fillId="3" borderId="6" xfId="0" applyFont="1" applyFill="1" applyBorder="1" applyAlignment="1" applyProtection="1">
      <alignment horizontal="center" vertical="center" wrapText="1"/>
      <protection locked="0"/>
    </xf>
    <xf numFmtId="0" fontId="38" fillId="11" borderId="6" xfId="0" applyFont="1" applyFill="1" applyBorder="1" applyAlignment="1" applyProtection="1">
      <alignment horizontal="center" vertical="center" wrapText="1"/>
      <protection locked="0"/>
    </xf>
    <xf numFmtId="0" fontId="60" fillId="2" borderId="154" xfId="0" applyFont="1" applyFill="1" applyBorder="1">
      <alignment vertical="center"/>
    </xf>
    <xf numFmtId="0" fontId="40" fillId="2" borderId="154" xfId="0" applyFont="1" applyFill="1" applyBorder="1" applyAlignment="1">
      <alignment vertical="center" wrapText="1"/>
    </xf>
    <xf numFmtId="0" fontId="40" fillId="2" borderId="2" xfId="0" applyFont="1" applyFill="1" applyBorder="1">
      <alignment vertical="center"/>
    </xf>
    <xf numFmtId="49" fontId="38" fillId="2" borderId="0" xfId="0" applyNumberFormat="1" applyFont="1" applyFill="1" applyAlignment="1">
      <alignment horizontal="center" vertical="center" wrapText="1"/>
    </xf>
    <xf numFmtId="0" fontId="38" fillId="2" borderId="50"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50"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left" vertical="center"/>
      <protection locked="0"/>
    </xf>
    <xf numFmtId="0" fontId="38" fillId="11" borderId="112" xfId="0" applyFont="1" applyFill="1" applyBorder="1" applyAlignment="1">
      <alignment vertical="center" wrapText="1"/>
    </xf>
    <xf numFmtId="190" fontId="38" fillId="0" borderId="1" xfId="0" applyNumberFormat="1" applyFont="1" applyBorder="1" applyAlignment="1" applyProtection="1">
      <alignment horizontal="center" vertical="center" shrinkToFit="1"/>
      <protection locked="0"/>
    </xf>
    <xf numFmtId="178" fontId="38" fillId="2" borderId="50" xfId="0" applyNumberFormat="1" applyFont="1" applyFill="1" applyBorder="1" applyAlignment="1" applyProtection="1">
      <alignment horizontal="center" vertical="center" wrapText="1"/>
      <protection locked="0"/>
    </xf>
    <xf numFmtId="179" fontId="38" fillId="2" borderId="50" xfId="0" applyNumberFormat="1" applyFont="1" applyFill="1" applyBorder="1" applyAlignment="1" applyProtection="1">
      <alignment horizontal="center" vertical="center" wrapText="1"/>
      <protection locked="0"/>
    </xf>
    <xf numFmtId="179" fontId="38" fillId="2" borderId="50" xfId="0" applyNumberFormat="1" applyFont="1" applyFill="1" applyBorder="1" applyAlignment="1" applyProtection="1">
      <alignment horizontal="left" vertical="center"/>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8" fillId="2" borderId="2" xfId="0" applyNumberFormat="1" applyFont="1" applyFill="1" applyBorder="1" applyAlignment="1" applyProtection="1">
      <alignment horizontal="center" vertical="center" wrapText="1"/>
      <protection locked="0"/>
    </xf>
    <xf numFmtId="49" fontId="38" fillId="2" borderId="1"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2" borderId="1" xfId="0" applyNumberFormat="1" applyFont="1" applyFill="1" applyBorder="1" applyAlignment="1">
      <alignment vertical="center" wrapText="1"/>
    </xf>
    <xf numFmtId="0" fontId="40" fillId="0" borderId="154" xfId="0" applyFont="1" applyBorder="1" applyAlignment="1" applyProtection="1">
      <alignment vertical="center" wrapText="1"/>
      <protection locked="0"/>
    </xf>
    <xf numFmtId="0" fontId="38" fillId="2" borderId="1" xfId="0" applyFont="1" applyFill="1" applyBorder="1" applyAlignment="1" applyProtection="1">
      <alignment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lignment vertical="center"/>
    </xf>
    <xf numFmtId="0" fontId="9" fillId="2" borderId="0" xfId="0" applyFont="1" applyFill="1">
      <alignment vertical="center"/>
    </xf>
    <xf numFmtId="0" fontId="9" fillId="2" borderId="0" xfId="0" applyFont="1" applyFill="1" applyAlignment="1">
      <alignment horizontal="center" vertical="center"/>
    </xf>
    <xf numFmtId="0" fontId="118" fillId="2" borderId="119" xfId="0" applyFont="1" applyFill="1" applyBorder="1" applyAlignment="1">
      <alignment horizontal="center" vertical="center" wrapText="1"/>
    </xf>
    <xf numFmtId="0" fontId="9" fillId="2" borderId="64" xfId="0" applyFont="1" applyFill="1" applyBorder="1" applyAlignment="1">
      <alignment horizontal="center" vertical="center" wrapText="1"/>
    </xf>
    <xf numFmtId="0" fontId="9" fillId="2" borderId="0" xfId="0" applyFont="1" applyFill="1" applyAlignment="1">
      <alignment horizontal="center" vertical="center" wrapText="1"/>
    </xf>
    <xf numFmtId="0" fontId="9" fillId="0" borderId="1" xfId="0" applyFont="1" applyBorder="1" applyAlignment="1" applyProtection="1">
      <alignment horizontal="left" vertical="center"/>
      <protection locked="0"/>
    </xf>
    <xf numFmtId="0" fontId="9" fillId="2" borderId="0" xfId="0" applyFont="1" applyFill="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9" fillId="2" borderId="0" xfId="0" applyFont="1" applyFill="1" applyAlignment="1">
      <alignment horizontal="left" vertical="center"/>
    </xf>
    <xf numFmtId="0" fontId="118" fillId="2" borderId="0" xfId="0" applyFont="1" applyFill="1" applyAlignment="1">
      <alignment horizontal="center" vertical="center" wrapText="1"/>
    </xf>
    <xf numFmtId="0" fontId="119" fillId="0" borderId="0" xfId="17" applyFont="1" applyAlignment="1">
      <alignment horizontal="left" vertical="center"/>
    </xf>
    <xf numFmtId="0" fontId="120" fillId="0" borderId="0" xfId="17" applyFont="1" applyAlignment="1">
      <alignment horizontal="left" vertical="center"/>
    </xf>
    <xf numFmtId="0" fontId="121" fillId="0" borderId="0" xfId="17" applyFont="1" applyAlignment="1">
      <alignment horizontal="left" vertical="center"/>
    </xf>
    <xf numFmtId="0" fontId="122" fillId="0" borderId="0" xfId="17" applyFont="1" applyAlignment="1">
      <alignment horizontal="left" vertical="center"/>
    </xf>
    <xf numFmtId="14" fontId="122" fillId="0" borderId="0" xfId="17" applyNumberFormat="1" applyFont="1" applyAlignment="1">
      <alignment horizontal="left" vertical="center"/>
    </xf>
    <xf numFmtId="0" fontId="123" fillId="0" borderId="0" xfId="17" applyFont="1" applyAlignment="1">
      <alignment horizontal="left" vertical="center"/>
    </xf>
    <xf numFmtId="0" fontId="124" fillId="3" borderId="15" xfId="17" applyFont="1" applyFill="1" applyBorder="1" applyAlignment="1">
      <alignment horizontal="left" vertical="center"/>
    </xf>
    <xf numFmtId="0" fontId="125" fillId="0" borderId="1" xfId="17" applyFont="1" applyBorder="1" applyAlignment="1">
      <alignment horizontal="left" vertical="center"/>
    </xf>
    <xf numFmtId="0" fontId="125" fillId="0" borderId="2" xfId="17" applyFont="1" applyBorder="1" applyAlignment="1">
      <alignment horizontal="left" vertical="center"/>
    </xf>
    <xf numFmtId="0" fontId="124" fillId="3" borderId="157" xfId="17" applyFont="1" applyFill="1" applyBorder="1" applyAlignment="1">
      <alignment horizontal="left" vertical="center"/>
    </xf>
    <xf numFmtId="183" fontId="125" fillId="0" borderId="1" xfId="17" applyNumberFormat="1" applyFont="1" applyBorder="1" applyAlignment="1">
      <alignment horizontal="left" vertical="center"/>
    </xf>
    <xf numFmtId="183" fontId="126" fillId="0" borderId="2" xfId="17" applyNumberFormat="1" applyFont="1" applyBorder="1" applyAlignment="1">
      <alignment horizontal="left" vertical="center"/>
    </xf>
    <xf numFmtId="0" fontId="125" fillId="0" borderId="158" xfId="17" applyFont="1" applyBorder="1" applyAlignment="1">
      <alignment horizontal="left" vertical="center"/>
    </xf>
    <xf numFmtId="190" fontId="125" fillId="0" borderId="1" xfId="17" applyNumberFormat="1" applyFont="1" applyBorder="1" applyAlignment="1">
      <alignment horizontal="left" vertical="center"/>
    </xf>
    <xf numFmtId="0" fontId="126" fillId="0" borderId="1" xfId="17" applyFont="1" applyBorder="1" applyAlignment="1">
      <alignment horizontal="left" vertical="center"/>
    </xf>
    <xf numFmtId="183" fontId="125" fillId="0" borderId="2" xfId="17" applyNumberFormat="1" applyFont="1" applyBorder="1" applyAlignment="1">
      <alignment horizontal="left" vertical="center"/>
    </xf>
    <xf numFmtId="0" fontId="126" fillId="0" borderId="0" xfId="17" applyFont="1" applyAlignment="1">
      <alignment horizontal="left" vertical="center"/>
    </xf>
    <xf numFmtId="0" fontId="124" fillId="0" borderId="1" xfId="17" applyFont="1" applyBorder="1" applyAlignment="1">
      <alignment horizontal="left" vertical="center"/>
    </xf>
    <xf numFmtId="0" fontId="122" fillId="0" borderId="1" xfId="17" applyFont="1" applyBorder="1" applyAlignment="1">
      <alignment horizontal="left" vertical="center"/>
    </xf>
    <xf numFmtId="190" fontId="125" fillId="0" borderId="2" xfId="17" applyNumberFormat="1" applyFont="1" applyBorder="1" applyAlignment="1">
      <alignment horizontal="left" vertical="center"/>
    </xf>
    <xf numFmtId="0" fontId="122" fillId="0" borderId="158" xfId="17" applyFont="1" applyBorder="1" applyAlignment="1">
      <alignment horizontal="left" vertical="center"/>
    </xf>
    <xf numFmtId="0" fontId="127" fillId="0" borderId="1" xfId="17" applyFont="1" applyBorder="1" applyAlignment="1">
      <alignment horizontal="left" vertical="center"/>
    </xf>
    <xf numFmtId="190" fontId="127" fillId="0" borderId="1" xfId="0" applyNumberFormat="1" applyFont="1" applyBorder="1" applyAlignment="1">
      <alignment horizontal="left" vertical="center"/>
    </xf>
    <xf numFmtId="14" fontId="122" fillId="0" borderId="1" xfId="17" applyNumberFormat="1" applyFont="1" applyBorder="1" applyAlignment="1">
      <alignment horizontal="left" vertical="center"/>
    </xf>
    <xf numFmtId="14" fontId="122" fillId="0" borderId="2" xfId="17" applyNumberFormat="1" applyFont="1" applyBorder="1" applyAlignment="1">
      <alignment horizontal="left" vertical="center"/>
    </xf>
    <xf numFmtId="14" fontId="120" fillId="0" borderId="0" xfId="17" applyNumberFormat="1" applyFont="1" applyAlignment="1">
      <alignment horizontal="left" vertical="center"/>
    </xf>
    <xf numFmtId="14" fontId="120" fillId="0" borderId="159" xfId="17" applyNumberFormat="1" applyFont="1" applyBorder="1" applyAlignment="1">
      <alignment horizontal="left" vertical="center"/>
    </xf>
    <xf numFmtId="0" fontId="128" fillId="0" borderId="0" xfId="17"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1" xfId="0" applyFont="1" applyBorder="1" applyAlignment="1">
      <alignment horizontal="center" vertical="center" wrapText="1"/>
    </xf>
    <xf numFmtId="0" fontId="9" fillId="0" borderId="0" xfId="0" applyFont="1" applyAlignment="1">
      <alignment horizontal="left" vertical="center"/>
    </xf>
    <xf numFmtId="0" fontId="130" fillId="7" borderId="1" xfId="0" applyFont="1" applyFill="1" applyBorder="1" applyAlignment="1">
      <alignment horizontal="center" vertical="center" wrapText="1"/>
    </xf>
    <xf numFmtId="0" fontId="130" fillId="2" borderId="1" xfId="0" applyFont="1" applyFill="1" applyBorder="1" applyAlignment="1">
      <alignment horizontal="center" vertical="center" wrapText="1"/>
    </xf>
    <xf numFmtId="0" fontId="131" fillId="17" borderId="1" xfId="0" applyFont="1" applyFill="1" applyBorder="1" applyAlignment="1">
      <alignment horizontal="center" vertical="center"/>
    </xf>
    <xf numFmtId="0" fontId="132" fillId="0" borderId="1" xfId="0" applyFont="1" applyBorder="1" applyAlignment="1">
      <alignment horizontal="center" vertical="center"/>
    </xf>
    <xf numFmtId="0" fontId="118" fillId="0" borderId="0" xfId="0" applyFont="1">
      <alignment vertical="center"/>
    </xf>
    <xf numFmtId="0" fontId="119" fillId="0" borderId="1" xfId="0" applyFont="1" applyBorder="1" applyAlignment="1">
      <alignment horizontal="center" vertical="center"/>
    </xf>
    <xf numFmtId="0" fontId="9" fillId="0" borderId="1" xfId="0" applyFont="1" applyBorder="1" applyAlignment="1">
      <alignment horizontal="left" vertical="center"/>
    </xf>
    <xf numFmtId="0" fontId="9" fillId="18" borderId="2" xfId="0" applyFont="1" applyFill="1" applyBorder="1">
      <alignment vertical="center"/>
    </xf>
    <xf numFmtId="0" fontId="9" fillId="5" borderId="3" xfId="0" applyFont="1" applyFill="1" applyBorder="1">
      <alignment vertical="center"/>
    </xf>
    <xf numFmtId="0" fontId="9" fillId="5" borderId="4" xfId="0" applyFont="1" applyFill="1" applyBorder="1">
      <alignment vertical="center"/>
    </xf>
    <xf numFmtId="0" fontId="133" fillId="0" borderId="0" xfId="0" applyFont="1">
      <alignment vertical="center"/>
    </xf>
    <xf numFmtId="0" fontId="118" fillId="0" borderId="0" xfId="0" applyFont="1" applyAlignment="1">
      <alignment horizontal="left" vertical="center"/>
    </xf>
    <xf numFmtId="187" fontId="118" fillId="0" borderId="0" xfId="0" applyNumberFormat="1" applyFont="1" applyAlignment="1">
      <alignment horizontal="left" vertical="center"/>
    </xf>
    <xf numFmtId="0" fontId="9" fillId="0" borderId="0" xfId="0" applyFont="1" applyProtection="1">
      <alignment vertical="center"/>
      <protection locked="0"/>
    </xf>
    <xf numFmtId="0" fontId="134" fillId="0" borderId="0" xfId="0" applyFont="1" applyAlignment="1">
      <alignment horizontal="left" vertical="center"/>
    </xf>
    <xf numFmtId="0" fontId="129"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96" xfId="0" applyFont="1" applyBorder="1" applyAlignment="1">
      <alignment horizontal="justify" vertical="center" wrapText="1"/>
    </xf>
    <xf numFmtId="0" fontId="136" fillId="0" borderId="0" xfId="0" applyFont="1" applyAlignment="1">
      <alignment horizontal="right" vertical="center" wrapText="1"/>
    </xf>
    <xf numFmtId="0" fontId="136" fillId="0" borderId="3"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4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78" fillId="0" borderId="1" xfId="0" applyFont="1" applyBorder="1" applyAlignment="1">
      <alignment horizontal="center" vertical="center" wrapText="1"/>
    </xf>
    <xf numFmtId="0" fontId="78" fillId="0" borderId="1" xfId="0" applyFont="1" applyBorder="1" applyAlignment="1">
      <alignment horizontal="left" vertical="center" wrapText="1"/>
    </xf>
    <xf numFmtId="0" fontId="137" fillId="0" borderId="0" xfId="0" applyFont="1" applyProtection="1">
      <alignment vertical="center"/>
      <protection locked="0"/>
    </xf>
    <xf numFmtId="0" fontId="49" fillId="0" borderId="0" xfId="18" applyFont="1">
      <alignment vertical="center"/>
    </xf>
    <xf numFmtId="0" fontId="135" fillId="0" borderId="0" xfId="18" applyFont="1">
      <alignment vertical="center"/>
    </xf>
    <xf numFmtId="0" fontId="135" fillId="0" borderId="0" xfId="18" applyFont="1" applyAlignment="1">
      <alignment horizontal="center" vertical="center"/>
    </xf>
    <xf numFmtId="0" fontId="51" fillId="0" borderId="16" xfId="18" applyFont="1" applyBorder="1" applyAlignment="1">
      <alignment horizontal="left" vertical="center" wrapText="1"/>
    </xf>
    <xf numFmtId="0" fontId="42" fillId="0" borderId="16" xfId="18" applyFont="1" applyBorder="1" applyAlignment="1">
      <alignment horizontal="center" vertical="center" wrapText="1"/>
    </xf>
    <xf numFmtId="0" fontId="105" fillId="0" borderId="1" xfId="18" applyFont="1" applyBorder="1" applyAlignment="1">
      <alignment horizontal="left" vertical="center" wrapText="1"/>
    </xf>
    <xf numFmtId="0" fontId="42" fillId="0" borderId="1" xfId="18" applyFont="1" applyBorder="1" applyAlignment="1">
      <alignment horizontal="center" vertical="center" wrapText="1"/>
    </xf>
    <xf numFmtId="0" fontId="141" fillId="0" borderId="1" xfId="18" applyFont="1" applyBorder="1" applyAlignment="1">
      <alignment horizontal="left" vertical="center" wrapText="1"/>
    </xf>
    <xf numFmtId="0" fontId="78" fillId="0" borderId="2" xfId="18" applyFont="1" applyBorder="1" applyAlignment="1">
      <alignment vertical="center" wrapText="1"/>
    </xf>
    <xf numFmtId="0" fontId="104" fillId="0" borderId="1" xfId="18" applyFont="1" applyBorder="1" applyAlignment="1">
      <alignment horizontal="left" vertical="center" wrapText="1"/>
    </xf>
    <xf numFmtId="0" fontId="78" fillId="0" borderId="1" xfId="18" applyFont="1" applyBorder="1" applyAlignment="1">
      <alignment horizontal="center" vertical="center" wrapText="1"/>
    </xf>
    <xf numFmtId="0" fontId="51" fillId="0" borderId="1" xfId="18" applyFont="1" applyBorder="1" applyAlignment="1">
      <alignment horizontal="left" vertical="center" wrapText="1"/>
    </xf>
    <xf numFmtId="0" fontId="42" fillId="0" borderId="4" xfId="18" applyFont="1" applyBorder="1" applyAlignment="1">
      <alignment horizontal="center" vertical="center" wrapText="1"/>
    </xf>
    <xf numFmtId="0" fontId="78" fillId="0" borderId="4" xfId="18" applyFont="1" applyBorder="1" applyAlignment="1">
      <alignment horizontal="center" vertical="center" wrapText="1"/>
    </xf>
    <xf numFmtId="0" fontId="62" fillId="0" borderId="1" xfId="18" applyFont="1" applyBorder="1" applyAlignment="1">
      <alignment horizontal="center" vertical="center"/>
    </xf>
    <xf numFmtId="0" fontId="105" fillId="0" borderId="6" xfId="18" applyFont="1" applyBorder="1" applyAlignment="1">
      <alignment horizontal="left" vertical="center" wrapText="1"/>
    </xf>
    <xf numFmtId="0" fontId="78" fillId="0" borderId="6" xfId="18" applyFont="1" applyBorder="1" applyAlignment="1">
      <alignment horizontal="center" vertical="center" wrapText="1"/>
    </xf>
    <xf numFmtId="0" fontId="7" fillId="0" borderId="0" xfId="18" applyFont="1">
      <alignment vertical="center"/>
    </xf>
    <xf numFmtId="0" fontId="49" fillId="0" borderId="0" xfId="18" applyFont="1" applyProtection="1">
      <alignment vertical="center"/>
      <protection locked="0"/>
    </xf>
    <xf numFmtId="0" fontId="137" fillId="0" borderId="0" xfId="18"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7" applyFont="1">
      <alignment vertical="center"/>
    </xf>
    <xf numFmtId="0" fontId="9" fillId="0" borderId="0" xfId="17">
      <alignment vertical="center"/>
    </xf>
    <xf numFmtId="0" fontId="146" fillId="0" borderId="0" xfId="17" applyFont="1" applyAlignment="1">
      <alignment vertical="top" wrapText="1"/>
    </xf>
    <xf numFmtId="0" fontId="147" fillId="0" borderId="0" xfId="17" applyFont="1">
      <alignment vertical="center"/>
    </xf>
    <xf numFmtId="0" fontId="120" fillId="0" borderId="5" xfId="0" applyFont="1" applyBorder="1">
      <alignment vertical="center"/>
    </xf>
    <xf numFmtId="0" fontId="120" fillId="0" borderId="133" xfId="0" applyFont="1" applyBorder="1">
      <alignment vertical="center"/>
    </xf>
    <xf numFmtId="0" fontId="120" fillId="0" borderId="0" xfId="19"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6" xfId="19" applyFont="1" applyBorder="1" applyAlignment="1">
      <alignment horizontal="left" vertical="center" wrapText="1"/>
    </xf>
    <xf numFmtId="0" fontId="51" fillId="0" borderId="6" xfId="0" applyFont="1" applyBorder="1" applyAlignment="1">
      <alignment horizontal="left" vertical="center"/>
    </xf>
    <xf numFmtId="0" fontId="120" fillId="0" borderId="123" xfId="19" applyFont="1" applyBorder="1" applyAlignment="1">
      <alignment vertical="center" wrapText="1"/>
    </xf>
    <xf numFmtId="0" fontId="120" fillId="0" borderId="123" xfId="0" applyFont="1" applyBorder="1" applyAlignment="1">
      <alignment horizontal="left" vertical="center"/>
    </xf>
    <xf numFmtId="0" fontId="120" fillId="0" borderId="1" xfId="19" applyFont="1" applyBorder="1" applyAlignment="1">
      <alignment vertical="center" wrapText="1"/>
    </xf>
    <xf numFmtId="0" fontId="120" fillId="0" borderId="1" xfId="0" applyFont="1" applyBorder="1" applyAlignment="1">
      <alignment horizontal="left" vertical="center"/>
    </xf>
    <xf numFmtId="0" fontId="120" fillId="0" borderId="6" xfId="19" applyFont="1" applyBorder="1" applyAlignment="1">
      <alignment vertical="center" wrapText="1"/>
    </xf>
    <xf numFmtId="0" fontId="120" fillId="0" borderId="6" xfId="0" applyFont="1" applyBorder="1" applyAlignment="1">
      <alignment horizontal="left" vertical="center"/>
    </xf>
    <xf numFmtId="176" fontId="120" fillId="0" borderId="6" xfId="0" applyNumberFormat="1" applyFont="1" applyBorder="1" applyAlignment="1">
      <alignment horizontal="left" vertical="center"/>
    </xf>
    <xf numFmtId="0" fontId="120" fillId="0" borderId="16" xfId="19" applyFont="1" applyBorder="1" applyAlignment="1">
      <alignment vertical="center" wrapText="1"/>
    </xf>
    <xf numFmtId="14" fontId="120" fillId="0" borderId="16" xfId="0" applyNumberFormat="1" applyFont="1" applyBorder="1" applyAlignment="1">
      <alignment horizontal="left" vertical="center"/>
    </xf>
    <xf numFmtId="14" fontId="120" fillId="0" borderId="1" xfId="0" applyNumberFormat="1" applyFont="1" applyBorder="1" applyAlignment="1">
      <alignment horizontal="left" vertical="center"/>
    </xf>
    <xf numFmtId="43" fontId="0" fillId="0" borderId="0" xfId="21" applyFont="1">
      <alignment vertical="center"/>
    </xf>
    <xf numFmtId="43" fontId="217" fillId="0" borderId="140" xfId="21" applyFont="1" applyBorder="1" applyAlignment="1">
      <alignment horizontal="center" vertical="center" wrapText="1"/>
    </xf>
    <xf numFmtId="0" fontId="38" fillId="2" borderId="64"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119" xfId="0" applyFont="1" applyFill="1" applyBorder="1" applyAlignment="1">
      <alignment horizontal="left" vertical="center"/>
    </xf>
    <xf numFmtId="0" fontId="38" fillId="2" borderId="96" xfId="0" applyFont="1" applyFill="1" applyBorder="1" applyAlignment="1">
      <alignment horizontal="center" vertical="center"/>
    </xf>
    <xf numFmtId="0" fontId="43" fillId="2" borderId="1" xfId="0" applyFont="1" applyFill="1" applyBorder="1" applyAlignment="1">
      <alignment horizontal="left" vertical="center" wrapText="1"/>
    </xf>
    <xf numFmtId="0" fontId="38" fillId="2" borderId="51"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2" xfId="0" applyFont="1" applyFill="1" applyBorder="1" applyAlignment="1">
      <alignment horizontal="left" vertical="center"/>
    </xf>
    <xf numFmtId="0" fontId="38" fillId="2" borderId="4" xfId="0" applyFont="1" applyFill="1" applyBorder="1" applyAlignment="1">
      <alignment horizontal="left" vertical="center"/>
    </xf>
    <xf numFmtId="0" fontId="31" fillId="2" borderId="8"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38" fillId="2" borderId="42" xfId="0" applyFont="1" applyFill="1" applyBorder="1" applyAlignment="1">
      <alignment horizontal="left" vertical="center" wrapText="1"/>
    </xf>
    <xf numFmtId="10" fontId="38" fillId="2" borderId="2" xfId="0" applyNumberFormat="1" applyFont="1" applyFill="1" applyBorder="1" applyAlignment="1">
      <alignment horizontal="left" vertical="center" wrapText="1"/>
    </xf>
    <xf numFmtId="10" fontId="38" fillId="2" borderId="3" xfId="0" applyNumberFormat="1" applyFont="1" applyFill="1" applyBorder="1" applyAlignment="1">
      <alignment horizontal="left" vertical="center" wrapText="1"/>
    </xf>
    <xf numFmtId="10" fontId="38" fillId="2" borderId="42" xfId="0" applyNumberFormat="1" applyFont="1" applyFill="1" applyBorder="1" applyAlignment="1">
      <alignment horizontal="left" vertical="center" wrapText="1"/>
    </xf>
    <xf numFmtId="0" fontId="38" fillId="2" borderId="95" xfId="0" applyFont="1" applyFill="1" applyBorder="1" applyAlignment="1">
      <alignment horizontal="left"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43" fontId="63" fillId="0" borderId="10" xfId="0" applyNumberFormat="1" applyFont="1" applyBorder="1" applyAlignment="1" applyProtection="1">
      <alignment horizontal="center" vertical="center"/>
      <protection locked="0"/>
    </xf>
    <xf numFmtId="0" fontId="9" fillId="11" borderId="0" xfId="20" applyFont="1" applyFill="1" applyAlignment="1" applyProtection="1">
      <alignment horizontal="left"/>
      <protection locked="0"/>
    </xf>
    <xf numFmtId="0" fontId="9" fillId="0" borderId="0" xfId="20" applyFont="1" applyAlignment="1" applyProtection="1">
      <alignment horizontal="left"/>
      <protection locked="0"/>
    </xf>
    <xf numFmtId="0" fontId="9" fillId="0" borderId="0" xfId="12" applyNumberFormat="1" applyFill="1" applyAlignment="1"/>
    <xf numFmtId="14" fontId="9" fillId="0" borderId="0" xfId="12" applyNumberFormat="1" applyFill="1" applyAlignment="1"/>
    <xf numFmtId="0" fontId="83" fillId="0" borderId="58"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41" xfId="0" applyFont="1" applyBorder="1" applyAlignment="1" applyProtection="1">
      <alignment horizontal="center" vertical="center" wrapText="1"/>
      <protection locked="0"/>
    </xf>
    <xf numFmtId="181" fontId="7" fillId="0" borderId="9" xfId="1" applyNumberFormat="1" applyFont="1" applyFill="1" applyBorder="1" applyAlignment="1" applyProtection="1">
      <alignment horizontal="center" vertical="center"/>
      <protection locked="0"/>
    </xf>
    <xf numFmtId="181" fontId="7" fillId="0" borderId="11" xfId="1" applyNumberFormat="1" applyFont="1" applyFill="1" applyBorder="1" applyAlignment="1" applyProtection="1">
      <alignment horizontal="center" vertical="center"/>
      <protection locked="0"/>
    </xf>
    <xf numFmtId="0" fontId="7" fillId="0" borderId="11" xfId="14" applyFont="1" applyBorder="1" applyAlignment="1" applyProtection="1">
      <alignment horizontal="center" vertical="center"/>
      <protection locked="0"/>
    </xf>
    <xf numFmtId="10" fontId="38" fillId="3" borderId="40" xfId="0" applyNumberFormat="1" applyFont="1" applyFill="1" applyBorder="1" applyAlignment="1">
      <alignment horizontal="center" vertical="center"/>
    </xf>
    <xf numFmtId="0" fontId="217" fillId="0" borderId="140" xfId="21" applyNumberFormat="1" applyFont="1" applyBorder="1" applyAlignment="1">
      <alignment horizontal="center" vertical="center" wrapText="1"/>
    </xf>
    <xf numFmtId="43" fontId="49" fillId="5" borderId="0" xfId="0" applyNumberFormat="1" applyFont="1" applyFill="1" applyProtection="1">
      <alignment vertical="center"/>
      <protection locked="0"/>
    </xf>
    <xf numFmtId="43" fontId="49"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0" fontId="38" fillId="2" borderId="1" xfId="0" applyFont="1" applyFill="1" applyBorder="1" applyAlignment="1" applyProtection="1">
      <alignment horizontal="center" vertical="center"/>
      <protection locked="0"/>
    </xf>
    <xf numFmtId="0" fontId="219" fillId="0" borderId="160" xfId="0" applyFont="1" applyBorder="1" applyAlignment="1">
      <alignment horizontal="center" vertical="center" wrapText="1"/>
    </xf>
    <xf numFmtId="0" fontId="219" fillId="0" borderId="162" xfId="0" applyFont="1" applyBorder="1" applyAlignment="1">
      <alignment horizontal="center" vertical="center" wrapText="1"/>
    </xf>
    <xf numFmtId="0" fontId="219" fillId="0" borderId="163" xfId="0" applyFont="1" applyBorder="1" applyAlignment="1">
      <alignment horizontal="center" vertical="center" wrapText="1"/>
    </xf>
    <xf numFmtId="0" fontId="219" fillId="0" borderId="0" xfId="0" applyFont="1" applyBorder="1" applyAlignment="1">
      <alignment horizontal="center" vertical="center" wrapText="1"/>
    </xf>
    <xf numFmtId="0" fontId="217" fillId="15" borderId="164" xfId="0" applyFont="1" applyFill="1" applyBorder="1" applyAlignment="1">
      <alignment horizontal="center" vertical="center" wrapText="1"/>
    </xf>
    <xf numFmtId="0" fontId="217" fillId="15" borderId="165" xfId="0" applyFont="1" applyFill="1" applyBorder="1" applyAlignment="1">
      <alignment horizontal="center" vertical="center" wrapText="1"/>
    </xf>
    <xf numFmtId="0" fontId="220" fillId="15" borderId="166" xfId="0" applyFont="1" applyFill="1" applyBorder="1" applyAlignment="1">
      <alignment horizontal="center" vertical="center" wrapText="1"/>
    </xf>
    <xf numFmtId="0" fontId="220" fillId="15" borderId="0" xfId="0" applyFont="1" applyFill="1" applyBorder="1" applyAlignment="1">
      <alignment horizontal="center" vertical="center" wrapText="1"/>
    </xf>
    <xf numFmtId="0" fontId="0" fillId="15" borderId="0" xfId="0" applyFill="1">
      <alignment vertical="center"/>
    </xf>
    <xf numFmtId="0" fontId="217" fillId="0" borderId="164" xfId="0" applyFont="1" applyBorder="1" applyAlignment="1">
      <alignment horizontal="center" vertical="center" wrapText="1"/>
    </xf>
    <xf numFmtId="0" fontId="217" fillId="0" borderId="165" xfId="0" applyFont="1" applyBorder="1" applyAlignment="1">
      <alignment horizontal="center" vertical="center" wrapText="1"/>
    </xf>
    <xf numFmtId="0" fontId="220" fillId="0" borderId="166" xfId="0" applyFont="1" applyBorder="1" applyAlignment="1">
      <alignment horizontal="center" vertical="center" wrapText="1"/>
    </xf>
    <xf numFmtId="0" fontId="220" fillId="0" borderId="0" xfId="0" applyFont="1" applyBorder="1" applyAlignment="1">
      <alignment horizontal="center" vertical="center" wrapText="1"/>
    </xf>
    <xf numFmtId="0" fontId="217" fillId="0" borderId="164" xfId="0" applyFont="1" applyFill="1" applyBorder="1" applyAlignment="1">
      <alignment horizontal="center" vertical="center" wrapText="1"/>
    </xf>
    <xf numFmtId="0" fontId="217" fillId="0" borderId="165" xfId="0" applyFont="1" applyFill="1" applyBorder="1" applyAlignment="1">
      <alignment horizontal="center" vertical="center" wrapText="1"/>
    </xf>
    <xf numFmtId="0" fontId="220" fillId="0" borderId="166" xfId="0" applyFont="1" applyFill="1" applyBorder="1" applyAlignment="1">
      <alignment horizontal="center" vertical="center" wrapText="1"/>
    </xf>
    <xf numFmtId="0" fontId="220" fillId="0" borderId="0" xfId="0" applyFont="1" applyFill="1" applyBorder="1" applyAlignment="1">
      <alignment horizontal="center" vertical="center" wrapText="1"/>
    </xf>
    <xf numFmtId="0" fontId="0" fillId="0" borderId="0" xfId="0" applyFill="1">
      <alignment vertical="center"/>
    </xf>
    <xf numFmtId="2" fontId="217" fillId="0" borderId="140" xfId="21" applyNumberFormat="1" applyFont="1" applyBorder="1" applyAlignment="1">
      <alignment horizontal="center" vertical="center" wrapText="1"/>
    </xf>
    <xf numFmtId="43" fontId="217" fillId="0" borderId="140" xfId="21" applyNumberFormat="1" applyFont="1" applyBorder="1" applyAlignment="1">
      <alignment horizontal="center" vertical="center" wrapText="1"/>
    </xf>
    <xf numFmtId="1" fontId="217" fillId="0" borderId="140" xfId="21" applyNumberFormat="1" applyFont="1" applyBorder="1" applyAlignment="1">
      <alignment horizontal="center" vertical="center" wrapText="1"/>
    </xf>
    <xf numFmtId="0" fontId="7" fillId="15" borderId="1" xfId="0" applyFont="1" applyFill="1" applyBorder="1" applyAlignment="1" applyProtection="1">
      <alignment horizontal="center" vertical="center"/>
      <protection locked="0"/>
    </xf>
    <xf numFmtId="0" fontId="147" fillId="0" borderId="0" xfId="17" applyFont="1" applyAlignment="1">
      <alignment horizontal="left" vertical="top" wrapText="1"/>
    </xf>
    <xf numFmtId="0" fontId="42" fillId="0" borderId="15" xfId="18" applyFont="1" applyBorder="1" applyAlignment="1">
      <alignment horizontal="left" vertical="center" wrapText="1"/>
    </xf>
    <xf numFmtId="0" fontId="42" fillId="0" borderId="64" xfId="18" applyFont="1" applyBorder="1" applyAlignment="1">
      <alignment horizontal="left" vertical="center" wrapText="1"/>
    </xf>
    <xf numFmtId="0" fontId="42" fillId="0" borderId="16" xfId="18" applyFont="1" applyBorder="1" applyAlignment="1">
      <alignment horizontal="left" vertical="center" wrapText="1"/>
    </xf>
    <xf numFmtId="0" fontId="42" fillId="0" borderId="15" xfId="18" applyFont="1" applyBorder="1" applyAlignment="1">
      <alignment vertical="center" wrapText="1"/>
    </xf>
    <xf numFmtId="0" fontId="42" fillId="0" borderId="64" xfId="18" applyFont="1" applyBorder="1" applyAlignment="1">
      <alignment vertical="center" wrapText="1"/>
    </xf>
    <xf numFmtId="0" fontId="42" fillId="0" borderId="16" xfId="18" applyFont="1" applyBorder="1" applyAlignment="1">
      <alignment vertical="center" wrapText="1"/>
    </xf>
    <xf numFmtId="0" fontId="42" fillId="0" borderId="121" xfId="18" applyFont="1" applyBorder="1" applyAlignment="1">
      <alignment horizontal="left" vertical="center" wrapText="1"/>
    </xf>
    <xf numFmtId="0" fontId="137" fillId="0" borderId="0" xfId="18" applyFont="1" applyAlignment="1">
      <alignment horizontal="left" vertical="center" wrapText="1"/>
    </xf>
    <xf numFmtId="0" fontId="135" fillId="0" borderId="0" xfId="18" applyFont="1" applyAlignment="1">
      <alignment horizontal="center" vertical="center"/>
    </xf>
    <xf numFmtId="0" fontId="135" fillId="0" borderId="5" xfId="18" applyFont="1" applyBorder="1" applyAlignment="1">
      <alignment horizontal="center" vertical="center"/>
    </xf>
    <xf numFmtId="0" fontId="99" fillId="0" borderId="0" xfId="0" applyFont="1" applyAlignment="1">
      <alignment horizontal="center" vertical="center"/>
    </xf>
    <xf numFmtId="0" fontId="78" fillId="0" borderId="123" xfId="0" applyFont="1" applyBorder="1" applyAlignment="1">
      <alignment horizontal="center" vertical="center" wrapText="1"/>
    </xf>
    <xf numFmtId="0" fontId="78" fillId="0" borderId="1" xfId="0" applyFont="1" applyBorder="1" applyAlignment="1">
      <alignment horizontal="center" vertical="center" wrapText="1"/>
    </xf>
    <xf numFmtId="189" fontId="78"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189" fontId="78" fillId="0" borderId="2" xfId="0" applyNumberFormat="1" applyFont="1" applyBorder="1" applyAlignment="1">
      <alignment horizontal="center" vertical="center" wrapText="1"/>
    </xf>
    <xf numFmtId="189" fontId="78" fillId="0" borderId="3" xfId="0" applyNumberFormat="1" applyFont="1" applyBorder="1" applyAlignment="1">
      <alignment horizontal="center" vertical="center" wrapText="1"/>
    </xf>
    <xf numFmtId="189" fontId="78" fillId="0" borderId="4" xfId="0" applyNumberFormat="1" applyFont="1" applyBorder="1" applyAlignment="1">
      <alignment horizontal="center" vertical="center" wrapText="1"/>
    </xf>
    <xf numFmtId="0" fontId="78" fillId="0" borderId="6" xfId="0" applyFont="1" applyBorder="1" applyAlignment="1">
      <alignment horizontal="center" vertical="center" wrapText="1"/>
    </xf>
    <xf numFmtId="189" fontId="78" fillId="0" borderId="6" xfId="0" applyNumberFormat="1" applyFont="1" applyBorder="1" applyAlignment="1">
      <alignment horizontal="center" vertical="center" wrapText="1"/>
    </xf>
    <xf numFmtId="0" fontId="38"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78" fillId="0" borderId="0" xfId="0" applyFont="1" applyAlignment="1">
      <alignment horizontal="left" vertical="center" wrapText="1"/>
    </xf>
    <xf numFmtId="0" fontId="105" fillId="0" borderId="0" xfId="0" applyFont="1" applyAlignment="1">
      <alignment horizontal="left" vertical="center" wrapText="1"/>
    </xf>
    <xf numFmtId="0" fontId="51"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49" fillId="0" borderId="0" xfId="0" applyFont="1" applyAlignment="1">
      <alignment vertical="center" wrapText="1"/>
    </xf>
    <xf numFmtId="0" fontId="72" fillId="0" borderId="0" xfId="0" applyFont="1" applyAlignment="1" applyProtection="1">
      <alignment vertical="center" wrapText="1"/>
      <protection locked="0"/>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3" borderId="15" xfId="0" applyFont="1" applyFill="1" applyBorder="1" applyAlignment="1">
      <alignment horizontal="left" vertical="center"/>
    </xf>
    <xf numFmtId="0" fontId="9" fillId="3" borderId="64" xfId="0" applyFont="1" applyFill="1" applyBorder="1" applyAlignment="1">
      <alignment horizontal="left" vertical="center"/>
    </xf>
    <xf numFmtId="0" fontId="9" fillId="3" borderId="16" xfId="0" applyFont="1" applyFill="1" applyBorder="1" applyAlignment="1">
      <alignment horizontal="left" vertical="center"/>
    </xf>
    <xf numFmtId="0" fontId="9" fillId="19" borderId="1" xfId="0" applyFont="1" applyFill="1" applyBorder="1" applyAlignment="1">
      <alignment horizontal="left" vertical="center"/>
    </xf>
    <xf numFmtId="0" fontId="9" fillId="0" borderId="1" xfId="0" applyFont="1" applyBorder="1" applyAlignment="1">
      <alignment horizontal="left" vertical="center"/>
    </xf>
    <xf numFmtId="0" fontId="118" fillId="0" borderId="2" xfId="0" applyFont="1" applyBorder="1" applyAlignment="1">
      <alignment horizontal="left" vertical="center"/>
    </xf>
    <xf numFmtId="0" fontId="124" fillId="3" borderId="1" xfId="17" applyFont="1" applyFill="1" applyBorder="1" applyAlignment="1">
      <alignment horizontal="left" vertical="center"/>
    </xf>
    <xf numFmtId="0" fontId="125" fillId="0" borderId="1" xfId="17" applyFont="1" applyBorder="1" applyAlignment="1">
      <alignment horizontal="left" vertical="center"/>
    </xf>
    <xf numFmtId="0" fontId="125" fillId="0" borderId="158" xfId="17" applyFont="1" applyBorder="1" applyAlignment="1">
      <alignment horizontal="left" vertical="center"/>
    </xf>
    <xf numFmtId="0" fontId="9" fillId="2" borderId="0" xfId="0" applyFont="1" applyFill="1" applyAlignment="1">
      <alignment horizontal="center" vertical="center" wrapText="1"/>
    </xf>
    <xf numFmtId="0" fontId="38" fillId="2" borderId="64"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114" xfId="0" applyFont="1" applyFill="1" applyBorder="1" applyAlignment="1">
      <alignment horizontal="left" vertical="center"/>
    </xf>
    <xf numFmtId="0" fontId="38" fillId="2" borderId="119" xfId="0" applyFont="1" applyFill="1" applyBorder="1" applyAlignment="1">
      <alignment horizontal="left" vertical="center"/>
    </xf>
    <xf numFmtId="0" fontId="38" fillId="2" borderId="109" xfId="0" applyFont="1" applyFill="1" applyBorder="1" applyAlignment="1">
      <alignment horizontal="left" vertical="center" wrapText="1"/>
    </xf>
    <xf numFmtId="0" fontId="38" fillId="2" borderId="25" xfId="0" applyFont="1" applyFill="1" applyBorder="1" applyAlignment="1">
      <alignment horizontal="left" vertical="center" wrapText="1"/>
    </xf>
    <xf numFmtId="0" fontId="38" fillId="2" borderId="116" xfId="0" applyFont="1" applyFill="1" applyBorder="1" applyAlignment="1">
      <alignment horizontal="left" vertical="center" wrapText="1"/>
    </xf>
    <xf numFmtId="49" fontId="41" fillId="0" borderId="34" xfId="0" applyNumberFormat="1" applyFont="1" applyBorder="1" applyAlignment="1" applyProtection="1">
      <alignment horizontal="left" vertical="center"/>
      <protection locked="0"/>
    </xf>
    <xf numFmtId="49" fontId="41" fillId="0" borderId="3" xfId="0" applyNumberFormat="1" applyFont="1" applyBorder="1" applyAlignment="1" applyProtection="1">
      <alignment horizontal="left" vertical="center"/>
      <protection locked="0"/>
    </xf>
    <xf numFmtId="49" fontId="41" fillId="0" borderId="4" xfId="0" applyNumberFormat="1" applyFont="1" applyBorder="1" applyAlignment="1" applyProtection="1">
      <alignment horizontal="left" vertical="center"/>
      <protection locked="0"/>
    </xf>
    <xf numFmtId="0" fontId="41" fillId="0" borderId="2" xfId="0" applyFont="1" applyBorder="1" applyAlignment="1" applyProtection="1">
      <alignment horizontal="left" vertical="center"/>
      <protection locked="0"/>
    </xf>
    <xf numFmtId="0" fontId="41" fillId="0" borderId="3" xfId="0" applyFont="1" applyBorder="1" applyAlignment="1" applyProtection="1">
      <alignment horizontal="left" vertical="center"/>
      <protection locked="0"/>
    </xf>
    <xf numFmtId="0" fontId="41" fillId="0" borderId="4" xfId="0"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8" fillId="15" borderId="15" xfId="0" applyFont="1" applyFill="1" applyBorder="1" applyAlignment="1">
      <alignment horizontal="center" vertical="center" wrapText="1"/>
    </xf>
    <xf numFmtId="0" fontId="38" fillId="15" borderId="132"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2" borderId="7" xfId="0" applyFont="1" applyFill="1" applyBorder="1">
      <alignment vertical="center"/>
    </xf>
    <xf numFmtId="0" fontId="38" fillId="2" borderId="9" xfId="0" applyFont="1" applyFill="1" applyBorder="1">
      <alignment vertical="center"/>
    </xf>
    <xf numFmtId="0" fontId="38" fillId="2" borderId="37" xfId="0" applyFont="1" applyFill="1" applyBorder="1">
      <alignment vertical="center"/>
    </xf>
    <xf numFmtId="0" fontId="38" fillId="2" borderId="38" xfId="0" applyFont="1" applyFill="1" applyBorder="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114" fillId="0" borderId="1" xfId="0" applyFont="1" applyBorder="1" applyAlignment="1">
      <alignment horizontal="center" vertical="center" wrapText="1"/>
    </xf>
    <xf numFmtId="0" fontId="113" fillId="0" borderId="1" xfId="0" applyFont="1" applyBorder="1" applyAlignment="1">
      <alignment horizontal="center" vertical="center" wrapText="1"/>
    </xf>
    <xf numFmtId="0" fontId="63" fillId="2" borderId="37" xfId="0" applyFont="1" applyFill="1" applyBorder="1" applyAlignment="1">
      <alignment horizontal="center" vertical="center"/>
    </xf>
    <xf numFmtId="0" fontId="63" fillId="2" borderId="38" xfId="0" applyFont="1" applyFill="1" applyBorder="1" applyAlignment="1">
      <alignment horizontal="center" vertical="center"/>
    </xf>
    <xf numFmtId="0" fontId="63" fillId="2" borderId="108"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35" xfId="0" applyFont="1" applyFill="1" applyBorder="1" applyAlignment="1">
      <alignment horizontal="center" vertical="center"/>
    </xf>
    <xf numFmtId="0" fontId="73" fillId="2" borderId="3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9" xfId="0" applyFont="1" applyFill="1" applyBorder="1" applyAlignment="1">
      <alignment horizontal="center" vertical="center"/>
    </xf>
    <xf numFmtId="0" fontId="73" fillId="2" borderId="1"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37" xfId="0" applyFont="1" applyFill="1" applyBorder="1" applyAlignment="1">
      <alignment horizontal="center" vertical="center"/>
    </xf>
    <xf numFmtId="0" fontId="73" fillId="2" borderId="38" xfId="0" applyFont="1" applyFill="1" applyBorder="1" applyAlignment="1">
      <alignment horizontal="center" vertical="center"/>
    </xf>
    <xf numFmtId="0" fontId="73" fillId="2" borderId="108" xfId="0" applyFont="1" applyFill="1" applyBorder="1" applyAlignment="1">
      <alignment horizontal="center" vertical="center"/>
    </xf>
    <xf numFmtId="0" fontId="63" fillId="2" borderId="1" xfId="0" applyFont="1" applyFill="1" applyBorder="1" applyAlignment="1">
      <alignment horizontal="center" vertical="center"/>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7" fillId="15" borderId="161" xfId="0" applyFont="1" applyFill="1" applyBorder="1" applyAlignment="1">
      <alignment horizontal="center" vertical="center" wrapText="1"/>
    </xf>
    <xf numFmtId="0" fontId="217" fillId="15" borderId="162" xfId="0" applyFont="1" applyFill="1" applyBorder="1" applyAlignment="1">
      <alignment horizontal="center" vertical="center" wrapText="1"/>
    </xf>
    <xf numFmtId="0" fontId="219" fillId="0" borderId="161" xfId="0" applyFont="1" applyBorder="1" applyAlignment="1">
      <alignment horizontal="center" vertical="center" wrapText="1"/>
    </xf>
    <xf numFmtId="0" fontId="219" fillId="0" borderId="162" xfId="0" applyFont="1" applyBorder="1" applyAlignment="1">
      <alignment horizontal="center" vertical="center" wrapText="1"/>
    </xf>
    <xf numFmtId="0" fontId="217" fillId="0" borderId="161" xfId="0" applyFont="1" applyFill="1" applyBorder="1" applyAlignment="1">
      <alignment horizontal="center" vertical="center" wrapText="1"/>
    </xf>
    <xf numFmtId="0" fontId="217" fillId="0" borderId="162" xfId="0" applyFont="1" applyFill="1" applyBorder="1" applyAlignment="1">
      <alignment horizontal="center" vertical="center" wrapText="1"/>
    </xf>
    <xf numFmtId="0" fontId="75" fillId="2" borderId="150" xfId="0" applyFont="1" applyFill="1" applyBorder="1">
      <alignment vertical="center"/>
    </xf>
    <xf numFmtId="0" fontId="75" fillId="2" borderId="151" xfId="0" applyFont="1" applyFill="1" applyBorder="1">
      <alignment vertical="center"/>
    </xf>
    <xf numFmtId="0" fontId="80" fillId="2" borderId="118" xfId="0" applyFont="1" applyFill="1" applyBorder="1" applyAlignment="1">
      <alignment horizontal="center" vertical="center"/>
    </xf>
    <xf numFmtId="0" fontId="80" fillId="2" borderId="25" xfId="0" applyFont="1" applyFill="1" applyBorder="1" applyAlignment="1">
      <alignment horizontal="center" vertical="center"/>
    </xf>
    <xf numFmtId="0" fontId="80" fillId="2" borderId="116" xfId="0" applyFont="1" applyFill="1" applyBorder="1" applyAlignment="1">
      <alignment horizontal="center" vertical="center"/>
    </xf>
    <xf numFmtId="0" fontId="38" fillId="2" borderId="120"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1" fillId="2" borderId="50" xfId="0" applyFont="1" applyFill="1" applyBorder="1" applyAlignment="1">
      <alignment horizontal="left" vertical="center" wrapText="1"/>
    </xf>
    <xf numFmtId="0" fontId="21" fillId="2" borderId="0" xfId="0" applyFont="1" applyFill="1" applyAlignment="1">
      <alignment horizontal="left" vertical="center" wrapText="1"/>
    </xf>
    <xf numFmtId="0" fontId="40" fillId="2" borderId="48" xfId="0" applyFont="1" applyFill="1" applyBorder="1" applyAlignment="1">
      <alignment horizontal="left" vertical="center" wrapText="1"/>
    </xf>
    <xf numFmtId="0" fontId="40" fillId="2" borderId="95" xfId="0" applyFont="1" applyFill="1" applyBorder="1" applyAlignment="1">
      <alignment horizontal="left" vertical="center" wrapText="1"/>
    </xf>
    <xf numFmtId="0" fontId="40" fillId="2" borderId="114" xfId="0" applyFont="1" applyFill="1" applyBorder="1" applyAlignment="1">
      <alignment horizontal="left" vertical="center" wrapText="1"/>
    </xf>
    <xf numFmtId="0" fontId="43" fillId="2" borderId="1" xfId="0" applyFont="1" applyFill="1" applyBorder="1" applyAlignment="1">
      <alignment horizontal="center" vertical="center" wrapText="1"/>
    </xf>
    <xf numFmtId="0" fontId="40" fillId="2" borderId="37" xfId="0" applyFont="1" applyFill="1" applyBorder="1" applyAlignment="1">
      <alignment horizontal="center" vertical="center" wrapText="1"/>
    </xf>
    <xf numFmtId="0" fontId="40" fillId="2" borderId="38" xfId="0" applyFont="1" applyFill="1" applyBorder="1" applyAlignment="1">
      <alignment horizontal="center" vertical="center" wrapText="1"/>
    </xf>
    <xf numFmtId="0" fontId="40" fillId="2" borderId="39" xfId="0" applyFont="1" applyFill="1" applyBorder="1" applyAlignment="1">
      <alignment horizontal="center" vertical="center" wrapText="1"/>
    </xf>
    <xf numFmtId="0" fontId="43" fillId="2" borderId="1" xfId="0" applyFont="1" applyFill="1" applyBorder="1" applyAlignment="1">
      <alignment horizontal="left" vertical="center" wrapText="1"/>
    </xf>
    <xf numFmtId="0" fontId="101" fillId="2" borderId="1" xfId="0" applyFont="1" applyFill="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183" fontId="101" fillId="2" borderId="1" xfId="0" applyNumberFormat="1" applyFont="1" applyFill="1" applyBorder="1" applyAlignment="1">
      <alignment horizontal="center" vertical="center" wrapText="1"/>
    </xf>
    <xf numFmtId="0" fontId="38" fillId="2" borderId="51"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101" fillId="2" borderId="1" xfId="0" applyFont="1" applyFill="1" applyBorder="1" applyAlignment="1">
      <alignment horizontal="center" vertical="center" wrapText="1"/>
    </xf>
    <xf numFmtId="0" fontId="38" fillId="2" borderId="3" xfId="0"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40" xfId="0" applyFont="1" applyFill="1" applyBorder="1" applyAlignment="1">
      <alignment horizontal="left" vertical="center"/>
    </xf>
    <xf numFmtId="0" fontId="38" fillId="2" borderId="43" xfId="0" applyFont="1" applyFill="1" applyBorder="1" applyAlignment="1">
      <alignment horizontal="left" vertical="center"/>
    </xf>
    <xf numFmtId="0" fontId="38" fillId="2" borderId="28" xfId="0" applyFont="1" applyFill="1" applyBorder="1" applyAlignment="1">
      <alignment horizontal="left" vertical="center"/>
    </xf>
    <xf numFmtId="0" fontId="38" fillId="2" borderId="2" xfId="0" applyFont="1" applyFill="1" applyBorder="1" applyAlignment="1">
      <alignment horizontal="left" vertical="center"/>
    </xf>
    <xf numFmtId="0" fontId="38" fillId="2" borderId="3" xfId="0" applyFont="1" applyFill="1" applyBorder="1" applyAlignment="1">
      <alignment horizontal="left" vertical="center"/>
    </xf>
    <xf numFmtId="0" fontId="38" fillId="2" borderId="4" xfId="0" applyFont="1" applyFill="1" applyBorder="1" applyAlignment="1">
      <alignment horizontal="left" vertical="center"/>
    </xf>
    <xf numFmtId="0" fontId="38" fillId="2" borderId="12"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40" fillId="2" borderId="21" xfId="0" applyFont="1" applyFill="1" applyBorder="1" applyAlignment="1">
      <alignment horizontal="center" vertical="center"/>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7" fillId="2" borderId="16" xfId="0" applyFont="1" applyFill="1" applyBorder="1" applyAlignment="1">
      <alignment horizontal="left" vertical="center" wrapText="1"/>
    </xf>
    <xf numFmtId="0" fontId="73" fillId="2" borderId="1" xfId="0" applyFont="1" applyFill="1" applyBorder="1" applyAlignment="1">
      <alignment horizontal="left" vertical="center" wrapText="1"/>
    </xf>
    <xf numFmtId="0" fontId="73" fillId="2" borderId="2" xfId="0" applyFont="1" applyFill="1" applyBorder="1" applyAlignment="1">
      <alignment horizontal="left" vertical="center" wrapText="1"/>
    </xf>
    <xf numFmtId="0" fontId="73" fillId="2" borderId="3" xfId="0" applyFont="1" applyFill="1" applyBorder="1" applyAlignment="1">
      <alignment horizontal="left" vertical="center" wrapText="1"/>
    </xf>
    <xf numFmtId="0" fontId="73" fillId="2" borderId="4" xfId="0" applyFont="1" applyFill="1" applyBorder="1" applyAlignment="1">
      <alignment horizontal="left" vertical="center" wrapText="1"/>
    </xf>
    <xf numFmtId="0" fontId="63" fillId="2" borderId="1" xfId="0" applyFont="1" applyFill="1" applyBorder="1" applyAlignment="1">
      <alignment horizontal="left" vertical="center" wrapText="1"/>
    </xf>
    <xf numFmtId="189" fontId="63" fillId="2" borderId="2" xfId="0" applyNumberFormat="1" applyFont="1" applyFill="1" applyBorder="1" applyAlignment="1">
      <alignment horizontal="left" vertical="center" wrapText="1"/>
    </xf>
    <xf numFmtId="189" fontId="63" fillId="2" borderId="3" xfId="0" applyNumberFormat="1" applyFont="1" applyFill="1" applyBorder="1" applyAlignment="1">
      <alignment horizontal="left" vertical="center" wrapText="1"/>
    </xf>
    <xf numFmtId="189" fontId="63" fillId="2" borderId="4" xfId="0" applyNumberFormat="1" applyFont="1" applyFill="1" applyBorder="1" applyAlignment="1">
      <alignment horizontal="left" vertical="center" wrapText="1"/>
    </xf>
    <xf numFmtId="0" fontId="63" fillId="2" borderId="2"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73" fillId="2" borderId="39" xfId="0" applyFont="1" applyFill="1" applyBorder="1" applyAlignment="1">
      <alignment horizontal="center" vertical="center"/>
    </xf>
    <xf numFmtId="0" fontId="104" fillId="2" borderId="148" xfId="0" applyFont="1" applyFill="1" applyBorder="1">
      <alignment vertical="center"/>
    </xf>
    <xf numFmtId="0" fontId="104" fillId="2" borderId="149" xfId="0" applyFont="1" applyFill="1" applyBorder="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2" borderId="31" xfId="0" applyFont="1" applyFill="1" applyBorder="1" applyAlignment="1">
      <alignment horizontal="left" vertical="center" wrapText="1"/>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1" fillId="2" borderId="30" xfId="0" applyFont="1" applyFill="1" applyBorder="1" applyAlignment="1">
      <alignment horizontal="center" vertical="center" wrapText="1"/>
    </xf>
    <xf numFmtId="0" fontId="31" fillId="2" borderId="0" xfId="0" applyFont="1" applyFill="1" applyAlignment="1">
      <alignment horizontal="center" vertical="center" wrapText="1"/>
    </xf>
    <xf numFmtId="0" fontId="38" fillId="2" borderId="42" xfId="0" applyFont="1" applyFill="1" applyBorder="1" applyAlignment="1">
      <alignment horizontal="left" vertical="center" wrapText="1"/>
    </xf>
    <xf numFmtId="10" fontId="38" fillId="2" borderId="2" xfId="0" applyNumberFormat="1" applyFont="1" applyFill="1" applyBorder="1" applyAlignment="1">
      <alignment horizontal="left" vertical="center" wrapText="1"/>
    </xf>
    <xf numFmtId="10" fontId="38" fillId="2" borderId="3" xfId="0" applyNumberFormat="1" applyFont="1" applyFill="1" applyBorder="1" applyAlignment="1">
      <alignment horizontal="left" vertical="center" wrapText="1"/>
    </xf>
    <xf numFmtId="10" fontId="38" fillId="2" borderId="42" xfId="0" applyNumberFormat="1" applyFont="1" applyFill="1" applyBorder="1" applyAlignment="1">
      <alignment horizontal="left" vertical="center" wrapText="1"/>
    </xf>
    <xf numFmtId="0" fontId="73" fillId="2" borderId="10" xfId="0" applyFont="1" applyFill="1" applyBorder="1" applyAlignment="1">
      <alignment horizontal="left" vertical="center"/>
    </xf>
    <xf numFmtId="0" fontId="73" fillId="2" borderId="1" xfId="0" applyFont="1" applyFill="1" applyBorder="1" applyAlignment="1">
      <alignment horizontal="left" vertical="center"/>
    </xf>
    <xf numFmtId="0" fontId="73" fillId="2" borderId="10"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4" xfId="0" applyFont="1" applyFill="1" applyBorder="1" applyAlignment="1">
      <alignment horizontal="left" vertical="center"/>
    </xf>
    <xf numFmtId="10" fontId="92" fillId="2" borderId="1" xfId="0" applyNumberFormat="1" applyFont="1" applyFill="1" applyBorder="1" applyAlignment="1">
      <alignment horizontal="left" vertical="center" wrapText="1"/>
    </xf>
    <xf numFmtId="10" fontId="38" fillId="2" borderId="1" xfId="0" applyNumberFormat="1" applyFont="1" applyFill="1" applyBorder="1" applyAlignment="1">
      <alignment horizontal="left" vertical="center" wrapText="1"/>
    </xf>
    <xf numFmtId="0" fontId="38" fillId="2" borderId="95" xfId="0" applyFont="1" applyFill="1" applyBorder="1" applyAlignment="1">
      <alignment horizontal="left" vertical="center"/>
    </xf>
    <xf numFmtId="0" fontId="73" fillId="2" borderId="18" xfId="0" applyFont="1" applyFill="1" applyBorder="1" applyAlignment="1">
      <alignment horizontal="left" vertical="center" wrapText="1"/>
    </xf>
    <xf numFmtId="0" fontId="73" fillId="2" borderId="58" xfId="0" applyFont="1" applyFill="1" applyBorder="1" applyAlignment="1">
      <alignment horizontal="left" vertical="center" wrapText="1"/>
    </xf>
    <xf numFmtId="0" fontId="73" fillId="2" borderId="18"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105" fillId="2" borderId="10" xfId="0" applyFont="1" applyFill="1" applyBorder="1" applyAlignment="1">
      <alignment horizontal="left" vertical="center"/>
    </xf>
    <xf numFmtId="0" fontId="105" fillId="2" borderId="12" xfId="0" applyFont="1" applyFill="1" applyBorder="1" applyAlignment="1">
      <alignment horizontal="left" vertical="center"/>
    </xf>
    <xf numFmtId="0" fontId="63" fillId="2" borderId="1" xfId="0" applyFont="1" applyFill="1" applyBorder="1" applyAlignment="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10" fontId="45" fillId="2" borderId="2" xfId="0" applyNumberFormat="1" applyFont="1" applyFill="1" applyBorder="1" applyAlignment="1">
      <alignment horizontal="left" vertical="center" wrapText="1"/>
    </xf>
    <xf numFmtId="10" fontId="45" fillId="2" borderId="3" xfId="0" applyNumberFormat="1" applyFont="1" applyFill="1" applyBorder="1" applyAlignment="1">
      <alignment horizontal="left" vertical="center" wrapText="1"/>
    </xf>
    <xf numFmtId="10" fontId="45" fillId="2" borderId="42" xfId="0" applyNumberFormat="1" applyFont="1" applyFill="1" applyBorder="1" applyAlignment="1">
      <alignment horizontal="left" vertical="center" wrapText="1"/>
    </xf>
    <xf numFmtId="0" fontId="32" fillId="2" borderId="40" xfId="0" applyFont="1" applyFill="1" applyBorder="1" applyAlignment="1">
      <alignment horizontal="left" vertical="center"/>
    </xf>
    <xf numFmtId="0" fontId="32" fillId="2" borderId="43" xfId="0" applyFont="1" applyFill="1" applyBorder="1" applyAlignment="1">
      <alignment horizontal="left" vertical="center"/>
    </xf>
    <xf numFmtId="0" fontId="32" fillId="2" borderId="28" xfId="0" applyFont="1" applyFill="1" applyBorder="1" applyAlignment="1">
      <alignment horizontal="left" vertical="center"/>
    </xf>
    <xf numFmtId="0" fontId="57" fillId="2" borderId="7" xfId="0"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10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51" xfId="0" applyFont="1" applyBorder="1" applyAlignment="1" applyProtection="1">
      <alignment horizontal="center" vertical="center" wrapText="1"/>
      <protection locked="0"/>
    </xf>
    <xf numFmtId="0" fontId="72" fillId="0" borderId="40" xfId="0" applyFont="1" applyBorder="1" applyAlignment="1" applyProtection="1">
      <alignment horizontal="center" vertical="center" wrapText="1"/>
      <protection locked="0"/>
    </xf>
    <xf numFmtId="0" fontId="72" fillId="0" borderId="114" xfId="0" applyFont="1" applyBorder="1" applyAlignment="1" applyProtection="1">
      <alignment horizontal="center" vertical="center" wrapText="1"/>
      <protection locked="0"/>
    </xf>
    <xf numFmtId="0" fontId="72" fillId="0" borderId="48" xfId="0" applyFont="1" applyBorder="1" applyAlignment="1" applyProtection="1">
      <alignment horizontal="center" vertical="center" wrapText="1"/>
      <protection locked="0"/>
    </xf>
    <xf numFmtId="0" fontId="63" fillId="2" borderId="2" xfId="0" applyFont="1" applyFill="1" applyBorder="1" applyAlignment="1">
      <alignment horizontal="center" vertical="center"/>
    </xf>
    <xf numFmtId="0" fontId="63" fillId="2" borderId="3" xfId="0" applyFont="1" applyFill="1" applyBorder="1" applyAlignment="1">
      <alignment horizontal="center" vertical="center"/>
    </xf>
    <xf numFmtId="0" fontId="63" fillId="2" borderId="4" xfId="0" applyFont="1" applyFill="1" applyBorder="1" applyAlignment="1">
      <alignment horizontal="center" vertical="center"/>
    </xf>
    <xf numFmtId="0" fontId="57" fillId="2" borderId="1" xfId="0" applyFont="1" applyFill="1" applyBorder="1" applyAlignment="1">
      <alignment horizontal="center" vertical="center" wrapText="1"/>
    </xf>
    <xf numFmtId="0" fontId="57" fillId="2" borderId="1" xfId="0" applyFont="1" applyFill="1" applyBorder="1" applyAlignment="1">
      <alignment horizontal="center" vertical="center"/>
    </xf>
    <xf numFmtId="0" fontId="57" fillId="2" borderId="15" xfId="0" applyFont="1" applyFill="1" applyBorder="1" applyAlignment="1">
      <alignment horizontal="center" vertical="center" wrapText="1"/>
    </xf>
    <xf numFmtId="0" fontId="57" fillId="2" borderId="64" xfId="0" applyFont="1" applyFill="1" applyBorder="1" applyAlignment="1">
      <alignment horizontal="center" vertical="center" wrapText="1"/>
    </xf>
    <xf numFmtId="0" fontId="57" fillId="2" borderId="15" xfId="0" applyFont="1" applyFill="1" applyBorder="1" applyAlignment="1">
      <alignment horizontal="center" vertical="center" textRotation="255" wrapText="1"/>
    </xf>
    <xf numFmtId="0" fontId="57" fillId="2" borderId="64" xfId="0" applyFont="1" applyFill="1" applyBorder="1" applyAlignment="1">
      <alignment horizontal="center" vertical="center" textRotation="255" wrapText="1"/>
    </xf>
    <xf numFmtId="0" fontId="57" fillId="2" borderId="15" xfId="0" applyFont="1" applyFill="1" applyBorder="1" applyAlignment="1">
      <alignment horizontal="center" vertical="center"/>
    </xf>
    <xf numFmtId="0" fontId="57" fillId="2" borderId="64" xfId="0" applyFont="1" applyFill="1" applyBorder="1" applyAlignment="1">
      <alignment horizontal="center" vertical="center"/>
    </xf>
    <xf numFmtId="0" fontId="57" fillId="2" borderId="16" xfId="0" applyFont="1" applyFill="1" applyBorder="1" applyAlignment="1">
      <alignment horizontal="center" vertical="center"/>
    </xf>
    <xf numFmtId="0" fontId="57" fillId="2" borderId="8" xfId="0" applyFont="1" applyFill="1" applyBorder="1" applyAlignment="1">
      <alignment horizontal="center" vertical="center" wrapText="1"/>
    </xf>
    <xf numFmtId="0" fontId="57" fillId="2" borderId="10" xfId="0" applyFont="1" applyFill="1" applyBorder="1" applyAlignment="1">
      <alignment horizontal="center" vertical="center" wrapText="1"/>
    </xf>
    <xf numFmtId="0" fontId="57" fillId="2" borderId="48" xfId="0" applyFont="1" applyFill="1" applyBorder="1" applyAlignment="1">
      <alignment horizontal="center" vertical="center" wrapText="1"/>
    </xf>
    <xf numFmtId="0" fontId="57" fillId="2" borderId="114"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57" fillId="2" borderId="34"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57" fillId="2" borderId="48" xfId="0" applyFont="1" applyFill="1" applyBorder="1" applyAlignment="1">
      <alignment horizontal="center" vertical="center"/>
    </xf>
    <xf numFmtId="0" fontId="57" fillId="2" borderId="114" xfId="0" applyFont="1" applyFill="1" applyBorder="1" applyAlignment="1">
      <alignment horizontal="center" vertical="center"/>
    </xf>
    <xf numFmtId="0" fontId="57" fillId="2" borderId="50" xfId="0" applyFont="1" applyFill="1" applyBorder="1" applyAlignment="1">
      <alignment horizontal="center" vertical="center"/>
    </xf>
    <xf numFmtId="0" fontId="57" fillId="2" borderId="119" xfId="0" applyFont="1" applyFill="1" applyBorder="1" applyAlignment="1">
      <alignment horizontal="center" vertical="center"/>
    </xf>
    <xf numFmtId="0" fontId="57" fillId="2" borderId="34" xfId="0" applyFont="1" applyFill="1" applyBorder="1" applyAlignment="1">
      <alignment horizontal="center" vertical="center"/>
    </xf>
    <xf numFmtId="0" fontId="57" fillId="2" borderId="112" xfId="0" applyFont="1" applyFill="1" applyBorder="1" applyAlignment="1">
      <alignment horizontal="center" vertical="center"/>
    </xf>
    <xf numFmtId="184" fontId="57" fillId="2" borderId="1" xfId="0" applyNumberFormat="1" applyFont="1" applyFill="1" applyBorder="1" applyAlignment="1">
      <alignment horizontal="center" vertical="center"/>
    </xf>
    <xf numFmtId="0" fontId="57" fillId="2" borderId="2" xfId="0" applyFont="1" applyFill="1" applyBorder="1" applyAlignment="1">
      <alignment horizontal="center" vertical="center" wrapText="1"/>
    </xf>
    <xf numFmtId="0" fontId="57" fillId="2" borderId="4" xfId="0" applyFont="1" applyFill="1" applyBorder="1" applyAlignment="1">
      <alignment horizontal="center" vertical="center" wrapText="1"/>
    </xf>
    <xf numFmtId="184" fontId="58" fillId="13" borderId="1" xfId="0" applyNumberFormat="1" applyFont="1" applyFill="1" applyBorder="1" applyAlignment="1">
      <alignment horizontal="center" vertical="center"/>
    </xf>
    <xf numFmtId="176" fontId="81" fillId="0" borderId="4" xfId="12" applyFont="1" applyBorder="1" applyAlignment="1" applyProtection="1">
      <alignment horizontal="center" vertical="center" wrapText="1"/>
      <protection locked="0"/>
    </xf>
    <xf numFmtId="176" fontId="72" fillId="0" borderId="2" xfId="12" applyFont="1" applyBorder="1" applyAlignment="1" applyProtection="1">
      <alignment horizontal="center" vertical="center" wrapText="1"/>
      <protection locked="0"/>
    </xf>
    <xf numFmtId="176" fontId="82" fillId="0" borderId="10" xfId="12" applyFont="1" applyBorder="1" applyAlignment="1" applyProtection="1">
      <alignment horizontal="center" vertical="center" wrapText="1"/>
      <protection locked="0"/>
    </xf>
    <xf numFmtId="176" fontId="72" fillId="0" borderId="11"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82" fillId="0" borderId="114" xfId="12" applyFont="1" applyBorder="1" applyAlignment="1" applyProtection="1">
      <alignment horizontal="center" vertical="center" wrapText="1"/>
      <protection locked="0"/>
    </xf>
    <xf numFmtId="176" fontId="72" fillId="0" borderId="48" xfId="12" applyFont="1" applyBorder="1" applyAlignment="1" applyProtection="1">
      <alignment horizontal="center" vertical="center" wrapText="1"/>
      <protection locked="0"/>
    </xf>
    <xf numFmtId="176" fontId="82" fillId="0" borderId="51" xfId="12" applyFont="1" applyBorder="1" applyAlignment="1" applyProtection="1">
      <alignment horizontal="center" vertical="center" wrapText="1"/>
      <protection locked="0"/>
    </xf>
    <xf numFmtId="176" fontId="72" fillId="0" borderId="40" xfId="12" applyFont="1" applyBorder="1" applyAlignment="1" applyProtection="1">
      <alignment horizontal="center" vertical="center" wrapText="1"/>
      <protection locked="0"/>
    </xf>
    <xf numFmtId="0" fontId="57" fillId="2" borderId="51" xfId="0"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2" borderId="51" xfId="0" applyFont="1" applyFill="1" applyBorder="1" applyAlignment="1">
      <alignment horizontal="center" vertical="center" textRotation="255" wrapText="1"/>
    </xf>
    <xf numFmtId="0" fontId="57" fillId="2" borderId="27" xfId="0" applyFont="1" applyFill="1" applyBorder="1" applyAlignment="1">
      <alignment horizontal="center" vertical="center" textRotation="255" wrapText="1"/>
    </xf>
    <xf numFmtId="0" fontId="57" fillId="2" borderId="58" xfId="0" applyFont="1" applyFill="1" applyBorder="1" applyAlignment="1">
      <alignment horizontal="center" vertical="center" textRotation="255" wrapText="1"/>
    </xf>
    <xf numFmtId="0" fontId="57" fillId="2" borderId="16" xfId="0" applyFont="1" applyFill="1" applyBorder="1" applyAlignment="1">
      <alignment horizontal="center" vertical="center" textRotation="255" wrapText="1"/>
    </xf>
    <xf numFmtId="0" fontId="58" fillId="13" borderId="1" xfId="0" applyFont="1" applyFill="1" applyBorder="1" applyAlignment="1">
      <alignment horizontal="center" vertical="center"/>
    </xf>
    <xf numFmtId="0" fontId="38" fillId="2" borderId="47"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protection locked="0"/>
    </xf>
    <xf numFmtId="0" fontId="38" fillId="2" borderId="68" xfId="0" applyFont="1" applyFill="1" applyBorder="1" applyAlignment="1" applyProtection="1">
      <alignment horizontal="center" vertical="center"/>
      <protection locked="0"/>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45" fillId="2" borderId="109" xfId="0" applyFont="1" applyFill="1" applyBorder="1" applyAlignment="1">
      <alignment horizontal="left" vertical="center" wrapText="1"/>
    </xf>
    <xf numFmtId="0" fontId="45" fillId="2" borderId="116" xfId="0" applyFont="1" applyFill="1" applyBorder="1" applyAlignment="1">
      <alignment horizontal="left" vertical="center" wrapText="1"/>
    </xf>
    <xf numFmtId="0" fontId="38" fillId="2" borderId="15" xfId="0" applyFont="1" applyFill="1" applyBorder="1" applyAlignment="1">
      <alignment vertical="top" wrapText="1"/>
    </xf>
    <xf numFmtId="0" fontId="38" fillId="2" borderId="64" xfId="0" applyFont="1" applyFill="1" applyBorder="1" applyAlignment="1">
      <alignment vertical="top" wrapText="1"/>
    </xf>
    <xf numFmtId="0" fontId="38" fillId="2" borderId="16" xfId="0" applyFont="1" applyFill="1" applyBorder="1" applyAlignment="1">
      <alignment vertical="top" wrapText="1"/>
    </xf>
    <xf numFmtId="0" fontId="31" fillId="14" borderId="120" xfId="16" applyFont="1" applyFill="1" applyBorder="1" applyAlignment="1" applyProtection="1">
      <alignment vertical="center"/>
      <protection locked="0"/>
    </xf>
    <xf numFmtId="0" fontId="31" fillId="14" borderId="112" xfId="16" applyFont="1" applyFill="1" applyBorder="1" applyAlignment="1" applyProtection="1">
      <alignment vertical="center"/>
      <protection locked="0"/>
    </xf>
    <xf numFmtId="0" fontId="31" fillId="2" borderId="41" xfId="16" applyFont="1" applyFill="1" applyBorder="1" applyAlignment="1" applyProtection="1">
      <alignment horizontal="left" vertical="center"/>
      <protection locked="0"/>
    </xf>
    <xf numFmtId="0" fontId="31" fillId="2" borderId="4" xfId="16" applyFont="1" applyFill="1" applyBorder="1" applyAlignment="1" applyProtection="1">
      <alignment horizontal="left" vertical="center"/>
      <protection locked="0"/>
    </xf>
    <xf numFmtId="0" fontId="43" fillId="2" borderId="118" xfId="16" applyFont="1" applyFill="1" applyBorder="1" applyAlignment="1">
      <alignment horizontal="left" vertical="center"/>
    </xf>
    <xf numFmtId="0" fontId="43" fillId="2" borderId="25" xfId="16" applyFont="1" applyFill="1" applyBorder="1" applyAlignment="1">
      <alignment horizontal="left" vertical="center"/>
    </xf>
    <xf numFmtId="0" fontId="43" fillId="2" borderId="110"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2" fillId="2" borderId="2" xfId="16" applyFont="1" applyFill="1" applyBorder="1" applyAlignment="1">
      <alignment horizontal="left" vertical="center"/>
    </xf>
    <xf numFmtId="0" fontId="32" fillId="2" borderId="4" xfId="16" applyFont="1" applyFill="1" applyBorder="1" applyAlignment="1">
      <alignment horizontal="left" vertical="center"/>
    </xf>
    <xf numFmtId="0" fontId="31" fillId="2" borderId="33" xfId="16" applyFont="1" applyFill="1" applyBorder="1" applyAlignment="1">
      <alignment horizontal="left" vertical="center"/>
    </xf>
    <xf numFmtId="0" fontId="31" fillId="2" borderId="62" xfId="16" applyFont="1" applyFill="1" applyBorder="1" applyAlignment="1">
      <alignment horizontal="left" vertical="center"/>
    </xf>
    <xf numFmtId="0" fontId="31" fillId="2" borderId="10" xfId="16" applyFont="1" applyFill="1" applyBorder="1" applyAlignment="1" applyProtection="1">
      <alignment horizontal="left" vertical="center" wrapText="1"/>
      <protection locked="0"/>
    </xf>
    <xf numFmtId="0" fontId="43" fillId="2" borderId="51" xfId="16" applyFont="1" applyFill="1" applyBorder="1" applyAlignment="1" applyProtection="1">
      <alignment horizontal="left" vertical="center"/>
      <protection locked="0"/>
    </xf>
    <xf numFmtId="0" fontId="43" fillId="2" borderId="58" xfId="16"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wrapText="1"/>
      <protection locked="0"/>
    </xf>
    <xf numFmtId="0" fontId="31" fillId="2" borderId="64" xfId="16" applyFont="1" applyFill="1" applyBorder="1" applyAlignment="1" applyProtection="1">
      <alignment horizontal="left" vertical="center" wrapText="1"/>
      <protection locked="0"/>
    </xf>
    <xf numFmtId="0" fontId="31" fillId="2" borderId="16" xfId="16" applyFont="1" applyFill="1" applyBorder="1" applyAlignment="1" applyProtection="1">
      <alignment horizontal="left" vertical="center" wrapText="1"/>
      <protection locked="0"/>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63" fillId="2" borderId="41" xfId="0" applyFont="1" applyFill="1" applyBorder="1" applyAlignment="1">
      <alignment horizontal="center" vertical="center"/>
    </xf>
    <xf numFmtId="0" fontId="57" fillId="2" borderId="44" xfId="0" applyFont="1" applyFill="1" applyBorder="1" applyAlignment="1">
      <alignment horizontal="center" vertical="center" wrapText="1"/>
    </xf>
    <xf numFmtId="0" fontId="57" fillId="2" borderId="62" xfId="0" applyFont="1" applyFill="1" applyBorder="1" applyAlignment="1">
      <alignment horizontal="center" vertical="center" wrapText="1"/>
    </xf>
    <xf numFmtId="0" fontId="58" fillId="2" borderId="13" xfId="0" applyFont="1" applyFill="1" applyBorder="1" applyAlignment="1">
      <alignment horizontal="center" vertical="center"/>
    </xf>
    <xf numFmtId="0" fontId="57" fillId="2" borderId="35" xfId="0" applyFont="1" applyFill="1" applyBorder="1" applyAlignment="1">
      <alignment horizontal="center" vertical="center"/>
    </xf>
    <xf numFmtId="0" fontId="57" fillId="2" borderId="36" xfId="0" applyFont="1" applyFill="1" applyBorder="1" applyAlignment="1">
      <alignment horizontal="center" vertical="center"/>
    </xf>
    <xf numFmtId="0" fontId="57" fillId="2" borderId="43" xfId="0" applyFont="1" applyFill="1" applyBorder="1" applyAlignment="1">
      <alignment horizontal="center" vertical="center"/>
    </xf>
    <xf numFmtId="0" fontId="57" fillId="2" borderId="28" xfId="0" applyFont="1" applyFill="1" applyBorder="1" applyAlignment="1">
      <alignment horizontal="center" vertical="center"/>
    </xf>
    <xf numFmtId="0" fontId="57" fillId="2" borderId="49" xfId="0" applyFont="1" applyFill="1" applyBorder="1" applyAlignment="1">
      <alignment horizontal="center" vertical="center" wrapText="1"/>
    </xf>
    <xf numFmtId="0" fontId="57" fillId="2" borderId="113" xfId="0" applyFont="1" applyFill="1" applyBorder="1" applyAlignment="1">
      <alignment horizontal="center" vertical="center" wrapText="1"/>
    </xf>
    <xf numFmtId="0" fontId="57" fillId="2" borderId="30"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57" fillId="2" borderId="17" xfId="0" applyFont="1" applyFill="1" applyBorder="1" applyAlignment="1">
      <alignment horizontal="center" vertical="center"/>
    </xf>
    <xf numFmtId="0" fontId="57" fillId="2" borderId="113" xfId="0" applyFont="1" applyFill="1" applyBorder="1" applyAlignment="1">
      <alignment horizontal="center" vertical="center"/>
    </xf>
    <xf numFmtId="0" fontId="57" fillId="2" borderId="8" xfId="0" applyFont="1" applyFill="1" applyBorder="1" applyAlignment="1">
      <alignment horizontal="center" vertical="center"/>
    </xf>
    <xf numFmtId="0" fontId="81" fillId="0" borderId="10" xfId="7" applyFont="1" applyBorder="1" applyAlignment="1" applyProtection="1">
      <alignment horizontal="center" vertical="center" wrapText="1"/>
      <protection locked="0"/>
    </xf>
    <xf numFmtId="0" fontId="72" fillId="0" borderId="11" xfId="7" applyFont="1" applyBorder="1" applyAlignment="1" applyProtection="1">
      <alignment horizontal="center" vertical="center" wrapText="1"/>
      <protection locked="0"/>
    </xf>
    <xf numFmtId="0" fontId="82" fillId="0" borderId="10" xfId="7" applyFont="1" applyBorder="1" applyAlignment="1" applyProtection="1">
      <alignment horizontal="center" vertical="center" wrapText="1"/>
      <protection locked="0"/>
    </xf>
    <xf numFmtId="0" fontId="58" fillId="2" borderId="1" xfId="0" applyFont="1" applyFill="1" applyBorder="1" applyAlignment="1">
      <alignment horizontal="center" vertical="center"/>
    </xf>
    <xf numFmtId="0" fontId="82" fillId="0" borderId="12" xfId="7" applyFont="1" applyBorder="1" applyAlignment="1" applyProtection="1">
      <alignment horizontal="center" vertical="center" wrapText="1"/>
      <protection locked="0"/>
    </xf>
    <xf numFmtId="0" fontId="72" fillId="0" borderId="14" xfId="7" applyFont="1" applyBorder="1" applyAlignment="1" applyProtection="1">
      <alignment horizontal="center" vertical="center" wrapText="1"/>
      <protection locked="0"/>
    </xf>
    <xf numFmtId="0" fontId="82" fillId="0" borderId="51" xfId="7" applyFont="1" applyBorder="1" applyAlignment="1" applyProtection="1">
      <alignment horizontal="center" vertical="center" wrapText="1"/>
      <protection locked="0"/>
    </xf>
    <xf numFmtId="0" fontId="72" fillId="0" borderId="40" xfId="7" applyFont="1" applyBorder="1" applyAlignment="1" applyProtection="1">
      <alignment horizontal="center" vertical="center" wrapText="1"/>
      <protection locked="0"/>
    </xf>
    <xf numFmtId="0" fontId="57" fillId="0" borderId="51" xfId="0" applyFont="1" applyBorder="1" applyAlignment="1" applyProtection="1">
      <alignment horizontal="center" vertical="center" wrapText="1"/>
      <protection locked="0"/>
    </xf>
    <xf numFmtId="0" fontId="57" fillId="0" borderId="40" xfId="0" applyFont="1" applyBorder="1" applyAlignment="1" applyProtection="1">
      <alignment horizontal="center" vertical="center" wrapText="1"/>
      <protection locked="0"/>
    </xf>
    <xf numFmtId="0" fontId="57" fillId="0" borderId="114" xfId="0" applyFont="1" applyBorder="1" applyAlignment="1" applyProtection="1">
      <alignment horizontal="center" vertical="center" wrapText="1"/>
      <protection locked="0"/>
    </xf>
    <xf numFmtId="0" fontId="57" fillId="0" borderId="48" xfId="0" applyFont="1" applyBorder="1" applyAlignment="1" applyProtection="1">
      <alignment horizontal="center" vertical="center" wrapText="1"/>
      <protection locked="0"/>
    </xf>
    <xf numFmtId="0" fontId="30" fillId="2" borderId="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114" xfId="0" applyFont="1" applyFill="1" applyBorder="1" applyAlignment="1">
      <alignment horizontal="center" vertical="center" wrapText="1"/>
    </xf>
    <xf numFmtId="0" fontId="32" fillId="2" borderId="3" xfId="10" applyFont="1" applyFill="1" applyBorder="1" applyAlignment="1" applyProtection="1">
      <alignment horizontal="right" vertical="center" wrapText="1"/>
      <protection locked="0"/>
    </xf>
    <xf numFmtId="0" fontId="32" fillId="2" borderId="4" xfId="10" applyFont="1" applyFill="1" applyBorder="1" applyAlignment="1" applyProtection="1">
      <alignment horizontal="right" vertical="center" wrapText="1"/>
      <protection locked="0"/>
    </xf>
    <xf numFmtId="0" fontId="32" fillId="2" borderId="17" xfId="0" applyFont="1" applyFill="1" applyBorder="1" applyAlignment="1">
      <alignment horizontal="center" vertical="center" wrapText="1"/>
    </xf>
    <xf numFmtId="0" fontId="32" fillId="2" borderId="113" xfId="0" applyFont="1" applyFill="1" applyBorder="1" applyAlignment="1">
      <alignment horizontal="center" vertical="center" wrapText="1"/>
    </xf>
    <xf numFmtId="0" fontId="43" fillId="2" borderId="0" xfId="0" applyFont="1" applyFill="1" applyAlignment="1">
      <alignment horizontal="center" vertical="center"/>
    </xf>
    <xf numFmtId="0" fontId="32" fillId="2" borderId="4" xfId="10" applyFont="1" applyFill="1" applyBorder="1" applyAlignment="1" applyProtection="1">
      <alignment horizontal="center" vertical="center" wrapText="1"/>
      <protection locked="0"/>
    </xf>
    <xf numFmtId="0" fontId="7" fillId="0" borderId="0" xfId="0" applyFont="1" applyAlignment="1">
      <alignment horizontal="left" vertical="center"/>
    </xf>
    <xf numFmtId="49" fontId="32" fillId="2" borderId="18" xfId="0" applyNumberFormat="1" applyFont="1" applyFill="1" applyBorder="1" applyAlignment="1">
      <alignment horizontal="center" vertical="center" wrapText="1"/>
    </xf>
    <xf numFmtId="49" fontId="32" fillId="2" borderId="27" xfId="0" applyNumberFormat="1" applyFont="1" applyFill="1" applyBorder="1" applyAlignment="1">
      <alignment horizontal="center" vertical="center" wrapText="1"/>
    </xf>
    <xf numFmtId="49" fontId="49" fillId="2" borderId="30" xfId="0" applyNumberFormat="1" applyFont="1" applyFill="1" applyBorder="1" applyAlignment="1">
      <alignment horizontal="center" vertical="center" wrapText="1"/>
    </xf>
    <xf numFmtId="49" fontId="49" fillId="2" borderId="111" xfId="0" applyNumberFormat="1" applyFont="1" applyFill="1" applyBorder="1" applyAlignment="1">
      <alignment horizontal="center" vertical="center" wrapText="1"/>
    </xf>
    <xf numFmtId="49" fontId="32" fillId="2" borderId="111" xfId="0" applyNumberFormat="1" applyFont="1" applyFill="1" applyBorder="1" applyAlignment="1">
      <alignment horizontal="center" vertical="center" wrapText="1"/>
    </xf>
    <xf numFmtId="0" fontId="60" fillId="2" borderId="15" xfId="0" applyFont="1" applyFill="1" applyBorder="1" applyAlignment="1">
      <alignment vertical="center" wrapText="1"/>
    </xf>
    <xf numFmtId="0" fontId="60" fillId="2" borderId="64" xfId="0" applyFont="1" applyFill="1" applyBorder="1" applyAlignment="1">
      <alignment vertical="center" wrapText="1"/>
    </xf>
    <xf numFmtId="0" fontId="60" fillId="2" borderId="16" xfId="0" applyFont="1" applyFill="1" applyBorder="1" applyAlignment="1">
      <alignment vertical="center" wrapText="1"/>
    </xf>
    <xf numFmtId="0" fontId="7" fillId="2" borderId="1"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1" fillId="2" borderId="15" xfId="0" applyFont="1" applyFill="1" applyBorder="1" applyAlignment="1">
      <alignment vertical="center" wrapText="1"/>
    </xf>
    <xf numFmtId="0" fontId="55" fillId="2" borderId="7"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18"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11" xfId="0" applyFont="1" applyFill="1" applyBorder="1" applyAlignment="1">
      <alignment horizontal="left" vertical="center"/>
    </xf>
    <xf numFmtId="0" fontId="55" fillId="2" borderId="35" xfId="0" applyFont="1" applyFill="1" applyBorder="1" applyAlignment="1">
      <alignment horizontal="left" vertical="center"/>
    </xf>
    <xf numFmtId="0" fontId="55" fillId="2" borderId="64" xfId="0" applyFont="1" applyFill="1" applyBorder="1" applyAlignment="1">
      <alignment horizontal="left" vertical="center"/>
    </xf>
    <xf numFmtId="0" fontId="55" fillId="2" borderId="20"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1" xfId="0" applyFont="1" applyFill="1" applyBorder="1" applyAlignment="1">
      <alignment horizontal="left" vertical="center"/>
    </xf>
    <xf numFmtId="0" fontId="46" fillId="0" borderId="0" xfId="4" applyFont="1" applyAlignment="1">
      <alignment horizontal="left" vertical="center"/>
    </xf>
    <xf numFmtId="0" fontId="43" fillId="0" borderId="0" xfId="4" applyFont="1" applyAlignment="1">
      <alignment horizontal="left" vertical="center"/>
    </xf>
    <xf numFmtId="0" fontId="12" fillId="0" borderId="0" xfId="4" applyFont="1" applyAlignment="1">
      <alignment horizontal="left" vertical="center"/>
    </xf>
    <xf numFmtId="0" fontId="50" fillId="10" borderId="77" xfId="4" applyFont="1" applyFill="1" applyBorder="1" applyAlignment="1">
      <alignment horizontal="left" vertical="center" wrapText="1"/>
    </xf>
    <xf numFmtId="0" fontId="50" fillId="10" borderId="81" xfId="4" applyFont="1" applyFill="1" applyBorder="1" applyAlignment="1">
      <alignment horizontal="left" vertical="center" wrapText="1"/>
    </xf>
    <xf numFmtId="0" fontId="50" fillId="10" borderId="82" xfId="4" applyFont="1" applyFill="1" applyBorder="1" applyAlignment="1">
      <alignment horizontal="left" vertical="center" wrapText="1"/>
    </xf>
    <xf numFmtId="0" fontId="50" fillId="10" borderId="83" xfId="4" applyFont="1" applyFill="1" applyBorder="1" applyAlignment="1">
      <alignment horizontal="left" vertical="center" wrapText="1"/>
    </xf>
    <xf numFmtId="0" fontId="50" fillId="10" borderId="84" xfId="4" applyFont="1" applyFill="1" applyBorder="1" applyAlignment="1">
      <alignment horizontal="left" vertical="center" wrapText="1"/>
    </xf>
    <xf numFmtId="0" fontId="7" fillId="10" borderId="84" xfId="4" applyFont="1" applyFill="1" applyBorder="1" applyAlignment="1">
      <alignment horizontal="left" vertical="center" wrapText="1"/>
    </xf>
    <xf numFmtId="0" fontId="7" fillId="10" borderId="77" xfId="4" applyFont="1" applyFill="1" applyBorder="1" applyAlignment="1">
      <alignment horizontal="left" vertical="center" wrapText="1"/>
    </xf>
    <xf numFmtId="0" fontId="7" fillId="10" borderId="83" xfId="4" applyFont="1" applyFill="1" applyBorder="1" applyAlignment="1">
      <alignment horizontal="left" vertical="center" wrapText="1"/>
    </xf>
    <xf numFmtId="0" fontId="25" fillId="2" borderId="0" xfId="0" applyFont="1" applyFill="1" applyAlignment="1">
      <alignment horizontal="center" vertical="center"/>
    </xf>
    <xf numFmtId="0" fontId="28" fillId="2" borderId="0" xfId="0" applyFont="1" applyFill="1" applyAlignment="1">
      <alignment horizontal="left" vertical="center"/>
    </xf>
    <xf numFmtId="0" fontId="26" fillId="2" borderId="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57" fillId="20" borderId="7" xfId="0" applyFont="1" applyFill="1" applyBorder="1" applyAlignment="1" applyProtection="1">
      <alignment horizontal="center" vertical="center" wrapText="1"/>
      <protection locked="0"/>
    </xf>
    <xf numFmtId="178" fontId="32" fillId="20" borderId="1" xfId="14" applyNumberFormat="1" applyFont="1" applyFill="1" applyBorder="1" applyAlignment="1" applyProtection="1">
      <alignment horizontal="center"/>
      <protection locked="0"/>
    </xf>
  </cellXfs>
  <cellStyles count="24">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 name="千位分隔 2" xfId="2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AB&#22320;&#22359;0514&#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S24">
            <v>251</v>
          </cell>
        </row>
        <row r="25">
          <cell r="S25">
            <v>251</v>
          </cell>
        </row>
        <row r="26">
          <cell r="S26">
            <v>236</v>
          </cell>
        </row>
        <row r="27">
          <cell r="S27">
            <v>259</v>
          </cell>
        </row>
        <row r="28">
          <cell r="S28">
            <v>191</v>
          </cell>
        </row>
        <row r="29">
          <cell r="S29">
            <v>197</v>
          </cell>
        </row>
        <row r="30">
          <cell r="S30">
            <v>315</v>
          </cell>
        </row>
        <row r="31">
          <cell r="S31">
            <v>313</v>
          </cell>
        </row>
        <row r="32">
          <cell r="S32">
            <v>315</v>
          </cell>
        </row>
        <row r="33">
          <cell r="S33">
            <v>315</v>
          </cell>
        </row>
        <row r="34">
          <cell r="S34">
            <v>313</v>
          </cell>
        </row>
        <row r="35">
          <cell r="S35">
            <v>315</v>
          </cell>
        </row>
        <row r="36">
          <cell r="S36">
            <v>313</v>
          </cell>
        </row>
        <row r="37">
          <cell r="S37">
            <v>322</v>
          </cell>
        </row>
        <row r="38">
          <cell r="S38">
            <v>332</v>
          </cell>
        </row>
        <row r="39">
          <cell r="S39">
            <v>334</v>
          </cell>
        </row>
        <row r="40">
          <cell r="S40">
            <v>332</v>
          </cell>
        </row>
        <row r="41">
          <cell r="S41">
            <v>334</v>
          </cell>
        </row>
        <row r="42">
          <cell r="S42">
            <v>313</v>
          </cell>
        </row>
        <row r="43">
          <cell r="S43">
            <v>315</v>
          </cell>
        </row>
        <row r="44">
          <cell r="S44">
            <v>315</v>
          </cell>
        </row>
        <row r="45">
          <cell r="S45">
            <v>322</v>
          </cell>
        </row>
        <row r="46">
          <cell r="S46">
            <v>324</v>
          </cell>
        </row>
        <row r="47">
          <cell r="S47">
            <v>324</v>
          </cell>
        </row>
        <row r="48">
          <cell r="S48">
            <v>324</v>
          </cell>
        </row>
        <row r="49">
          <cell r="S49">
            <v>324</v>
          </cell>
        </row>
        <row r="50">
          <cell r="S50">
            <v>334</v>
          </cell>
        </row>
        <row r="51">
          <cell r="S51">
            <v>332</v>
          </cell>
        </row>
        <row r="52">
          <cell r="S52">
            <v>332</v>
          </cell>
        </row>
        <row r="53">
          <cell r="S53">
            <v>334</v>
          </cell>
        </row>
        <row r="54">
          <cell r="S54">
            <v>313</v>
          </cell>
        </row>
        <row r="55">
          <cell r="S55">
            <v>315</v>
          </cell>
        </row>
        <row r="56">
          <cell r="S56">
            <v>313</v>
          </cell>
        </row>
        <row r="57">
          <cell r="S57">
            <v>315</v>
          </cell>
        </row>
        <row r="58">
          <cell r="S58">
            <v>313</v>
          </cell>
        </row>
        <row r="59">
          <cell r="S59">
            <v>325</v>
          </cell>
        </row>
        <row r="60">
          <cell r="S60">
            <v>323</v>
          </cell>
        </row>
        <row r="61">
          <cell r="S61">
            <v>315</v>
          </cell>
        </row>
        <row r="62">
          <cell r="S62">
            <v>315</v>
          </cell>
        </row>
        <row r="63">
          <cell r="S63">
            <v>313</v>
          </cell>
        </row>
        <row r="64">
          <cell r="S64">
            <v>313</v>
          </cell>
        </row>
        <row r="65">
          <cell r="S65">
            <v>323</v>
          </cell>
        </row>
        <row r="66">
          <cell r="S66">
            <v>325</v>
          </cell>
        </row>
        <row r="67">
          <cell r="S67">
            <v>193</v>
          </cell>
        </row>
        <row r="68">
          <cell r="S68">
            <v>191</v>
          </cell>
        </row>
        <row r="69">
          <cell r="S69">
            <v>191</v>
          </cell>
        </row>
        <row r="70">
          <cell r="S70">
            <v>193</v>
          </cell>
        </row>
        <row r="71">
          <cell r="S71">
            <v>189</v>
          </cell>
        </row>
        <row r="72">
          <cell r="S72">
            <v>186</v>
          </cell>
        </row>
        <row r="73">
          <cell r="S73">
            <v>189</v>
          </cell>
        </row>
        <row r="74">
          <cell r="S74">
            <v>189</v>
          </cell>
        </row>
        <row r="75">
          <cell r="S75">
            <v>192</v>
          </cell>
        </row>
        <row r="76">
          <cell r="S76">
            <v>192</v>
          </cell>
        </row>
        <row r="77">
          <cell r="S77">
            <v>195</v>
          </cell>
        </row>
        <row r="78">
          <cell r="S78">
            <v>201</v>
          </cell>
        </row>
        <row r="79">
          <cell r="S79">
            <v>221</v>
          </cell>
        </row>
        <row r="80">
          <cell r="S80">
            <v>250</v>
          </cell>
        </row>
        <row r="81">
          <cell r="S81">
            <v>228</v>
          </cell>
        </row>
        <row r="82">
          <cell r="S82">
            <v>235</v>
          </cell>
        </row>
        <row r="83">
          <cell r="S83">
            <v>237</v>
          </cell>
        </row>
        <row r="84">
          <cell r="S84">
            <v>235</v>
          </cell>
        </row>
        <row r="85">
          <cell r="S85">
            <v>258</v>
          </cell>
        </row>
        <row r="86">
          <cell r="S86">
            <v>221</v>
          </cell>
        </row>
        <row r="87">
          <cell r="S87">
            <v>250</v>
          </cell>
        </row>
        <row r="88">
          <cell r="S88">
            <v>228</v>
          </cell>
        </row>
        <row r="89">
          <cell r="S89">
            <v>237</v>
          </cell>
        </row>
        <row r="90">
          <cell r="S90">
            <v>235</v>
          </cell>
        </row>
        <row r="91">
          <cell r="S91">
            <v>258</v>
          </cell>
        </row>
        <row r="92">
          <cell r="S92">
            <v>221</v>
          </cell>
        </row>
        <row r="93">
          <cell r="S93">
            <v>221</v>
          </cell>
        </row>
        <row r="94">
          <cell r="S94">
            <v>228</v>
          </cell>
        </row>
        <row r="95">
          <cell r="S95">
            <v>228</v>
          </cell>
        </row>
        <row r="96">
          <cell r="S96">
            <v>258</v>
          </cell>
        </row>
        <row r="97">
          <cell r="S97">
            <v>235</v>
          </cell>
        </row>
        <row r="98">
          <cell r="S98">
            <v>221</v>
          </cell>
        </row>
        <row r="99">
          <cell r="S99">
            <v>235</v>
          </cell>
        </row>
        <row r="100">
          <cell r="S100">
            <v>245</v>
          </cell>
        </row>
        <row r="101">
          <cell r="S101">
            <v>243</v>
          </cell>
        </row>
        <row r="102">
          <cell r="S102">
            <v>243</v>
          </cell>
        </row>
        <row r="103">
          <cell r="S103">
            <v>245</v>
          </cell>
        </row>
        <row r="104">
          <cell r="S104">
            <v>250</v>
          </cell>
        </row>
        <row r="105">
          <cell r="S105">
            <v>252</v>
          </cell>
        </row>
        <row r="106">
          <cell r="S106">
            <v>250</v>
          </cell>
        </row>
        <row r="107">
          <cell r="S107">
            <v>252</v>
          </cell>
        </row>
        <row r="108">
          <cell r="S108">
            <v>252</v>
          </cell>
        </row>
        <row r="109">
          <cell r="S109">
            <v>250</v>
          </cell>
        </row>
        <row r="110">
          <cell r="S110">
            <v>260</v>
          </cell>
        </row>
        <row r="111">
          <cell r="S111">
            <v>260</v>
          </cell>
        </row>
        <row r="112">
          <cell r="S112">
            <v>260</v>
          </cell>
        </row>
        <row r="113">
          <cell r="S113">
            <v>243</v>
          </cell>
        </row>
        <row r="114">
          <cell r="S114">
            <v>260</v>
          </cell>
        </row>
        <row r="115">
          <cell r="S115">
            <v>258</v>
          </cell>
        </row>
        <row r="116">
          <cell r="S116">
            <v>260</v>
          </cell>
        </row>
        <row r="117">
          <cell r="S117">
            <v>260</v>
          </cell>
        </row>
        <row r="118">
          <cell r="S118">
            <v>258</v>
          </cell>
        </row>
        <row r="119">
          <cell r="S119">
            <v>260</v>
          </cell>
        </row>
        <row r="120">
          <cell r="S120">
            <v>258</v>
          </cell>
        </row>
        <row r="121">
          <cell r="S121">
            <v>260</v>
          </cell>
        </row>
        <row r="122">
          <cell r="S122">
            <v>258</v>
          </cell>
        </row>
        <row r="123">
          <cell r="S123">
            <v>243</v>
          </cell>
        </row>
        <row r="124">
          <cell r="S124">
            <v>251</v>
          </cell>
        </row>
        <row r="125">
          <cell r="S125">
            <v>235</v>
          </cell>
        </row>
        <row r="126">
          <cell r="S126">
            <v>258</v>
          </cell>
        </row>
        <row r="127">
          <cell r="S127">
            <v>258</v>
          </cell>
        </row>
        <row r="128">
          <cell r="S128">
            <v>243</v>
          </cell>
        </row>
        <row r="129">
          <cell r="S129">
            <v>251</v>
          </cell>
        </row>
        <row r="130">
          <cell r="S130">
            <v>251</v>
          </cell>
        </row>
        <row r="131">
          <cell r="S131">
            <v>228</v>
          </cell>
        </row>
        <row r="132">
          <cell r="S132">
            <v>237</v>
          </cell>
        </row>
        <row r="133">
          <cell r="S133">
            <v>235</v>
          </cell>
        </row>
        <row r="134">
          <cell r="S134">
            <v>243</v>
          </cell>
        </row>
        <row r="135">
          <cell r="S135">
            <v>228</v>
          </cell>
        </row>
        <row r="136">
          <cell r="S136">
            <v>228</v>
          </cell>
        </row>
        <row r="137">
          <cell r="S137">
            <v>243</v>
          </cell>
        </row>
        <row r="138">
          <cell r="S138">
            <v>237</v>
          </cell>
        </row>
        <row r="139">
          <cell r="S139">
            <v>235</v>
          </cell>
        </row>
        <row r="140">
          <cell r="S140">
            <v>243</v>
          </cell>
        </row>
        <row r="141">
          <cell r="S141">
            <v>245</v>
          </cell>
        </row>
        <row r="142">
          <cell r="S142">
            <v>243</v>
          </cell>
        </row>
        <row r="143">
          <cell r="S143">
            <v>251</v>
          </cell>
        </row>
        <row r="144">
          <cell r="S144">
            <v>243</v>
          </cell>
        </row>
        <row r="145">
          <cell r="S145">
            <v>237</v>
          </cell>
        </row>
        <row r="146">
          <cell r="S146">
            <v>243</v>
          </cell>
        </row>
        <row r="147">
          <cell r="S147">
            <v>221</v>
          </cell>
        </row>
        <row r="148">
          <cell r="S148">
            <v>237</v>
          </cell>
        </row>
        <row r="149">
          <cell r="S149">
            <v>258</v>
          </cell>
        </row>
        <row r="150">
          <cell r="S150">
            <v>221</v>
          </cell>
        </row>
      </sheetData>
      <sheetData sheetId="27" refreshError="1"/>
      <sheetData sheetId="28" refreshError="1"/>
      <sheetData sheetId="29" refreshError="1"/>
      <sheetData sheetId="30">
        <row r="118">
          <cell r="H118">
            <v>210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ow r="19">
          <cell r="G19">
            <v>8602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72308.93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72308.93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本次评估采用的主估价方法为成本法和假设开发法。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159143</v>
      </c>
    </row>
    <row r="21" spans="1:2">
      <c r="A21" s="3039" t="s">
        <v>21</v>
      </c>
      <c r="B21" s="3040" t="e">
        <f ca="1">'预评函-2'!D7</f>
        <v>#DIV/0!</v>
      </c>
    </row>
    <row r="22" spans="1:2">
      <c r="A22" s="3039" t="s">
        <v>22</v>
      </c>
      <c r="B22" s="3040" t="str">
        <f ca="1">'预评函-2'!D6</f>
        <v>壹拾伍亿玖仟壹佰肆拾叁万元整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159143</v>
      </c>
    </row>
    <row r="31" spans="1:2">
      <c r="A31" s="3039" t="s">
        <v>31</v>
      </c>
      <c r="B31" s="3040">
        <f ca="1">'预评函-2'!D15</f>
        <v>22009</v>
      </c>
    </row>
    <row r="32" spans="1:2">
      <c r="A32" s="3039" t="s">
        <v>32</v>
      </c>
      <c r="B32" s="3040" t="str">
        <f ca="1">'预评函-2'!D14</f>
        <v>壹拾伍亿玖仟壹佰肆拾叁万元整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150727</v>
      </c>
    </row>
    <row r="39" spans="1:2">
      <c r="A39" s="3039" t="s">
        <v>39</v>
      </c>
      <c r="B39" s="3040">
        <f ca="1">'预评函-2'!D21</f>
        <v>20845</v>
      </c>
    </row>
    <row r="40" spans="1:2">
      <c r="A40" s="3039" t="s">
        <v>40</v>
      </c>
      <c r="B40" s="3040" t="str">
        <f ca="1">'预评函-2'!D20</f>
        <v>壹拾伍亿零柒佰贰拾柒万元整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72308.930000000008</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118721</v>
      </c>
    </row>
    <row r="48" spans="1:2">
      <c r="A48" s="3039" t="s">
        <v>48</v>
      </c>
      <c r="B48" s="3040" t="e">
        <f ca="1">'预评函-3'!E4</f>
        <v>#DIV/0!</v>
      </c>
    </row>
    <row r="49" spans="1:2">
      <c r="A49" s="3039" t="s">
        <v>49</v>
      </c>
      <c r="B49" s="3040" t="str">
        <f ca="1">'预评函-3'!D5</f>
        <v>壹拾壹亿捌仟柒佰贰拾壹万元整</v>
      </c>
    </row>
    <row r="50" spans="1:2">
      <c r="A50" s="3039" t="s">
        <v>50</v>
      </c>
      <c r="B50" s="3040" t="str">
        <f>'预评函-3'!F2</f>
        <v>在建建筑物价值</v>
      </c>
    </row>
    <row r="51" spans="1:2">
      <c r="A51" s="3039" t="s">
        <v>51</v>
      </c>
      <c r="B51" s="3040">
        <f ca="1">'预评函-3'!F4</f>
        <v>40422</v>
      </c>
    </row>
    <row r="52" spans="1:2">
      <c r="A52" s="3039" t="s">
        <v>52</v>
      </c>
      <c r="B52" s="3040" t="e">
        <f ca="1">'预评函-3'!G4</f>
        <v>#DIV/0!</v>
      </c>
    </row>
    <row r="53" spans="1:2">
      <c r="A53" s="3039" t="s">
        <v>53</v>
      </c>
      <c r="B53" s="3040" t="str">
        <f ca="1">'预评函-3'!F5</f>
        <v>肆亿零肆佰贰拾贰万元整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3008</v>
      </c>
      <c r="C19" s="2930"/>
    </row>
    <row r="20" spans="1:3">
      <c r="A20" s="2929" t="s">
        <v>308</v>
      </c>
      <c r="B20" s="2929" t="s">
        <v>3015</v>
      </c>
      <c r="C20" s="2930"/>
    </row>
    <row r="21" spans="1:3">
      <c r="A21" s="2929" t="s">
        <v>260</v>
      </c>
      <c r="B21" s="2929" t="s">
        <v>3010</v>
      </c>
      <c r="C21" s="2930"/>
    </row>
    <row r="22" spans="1:3">
      <c r="A22" s="2929" t="s">
        <v>309</v>
      </c>
      <c r="B22" s="2929" t="s">
        <v>3012</v>
      </c>
      <c r="C22" s="2930"/>
    </row>
    <row r="23" spans="1:3">
      <c r="A23" s="2929" t="s">
        <v>310</v>
      </c>
      <c r="B23" s="2929" t="s">
        <v>3013</v>
      </c>
      <c r="C23" s="2930"/>
    </row>
    <row r="24" spans="1:3">
      <c r="A24" s="2929" t="s">
        <v>311</v>
      </c>
      <c r="B24" s="2929" t="s">
        <v>3018</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8"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8"/>
      <c r="B54" s="2933" t="s">
        <v>322</v>
      </c>
      <c r="C54" s="2924" t="s">
        <v>323</v>
      </c>
    </row>
    <row r="55" spans="1:4">
      <c r="A55" s="3158"/>
      <c r="B55" s="2933" t="s">
        <v>324</v>
      </c>
      <c r="C55" s="2924" t="s">
        <v>325</v>
      </c>
    </row>
    <row r="56" spans="1:4">
      <c r="A56" s="3158"/>
      <c r="B56" s="2933" t="s">
        <v>326</v>
      </c>
      <c r="C56" s="2924" t="s">
        <v>327</v>
      </c>
    </row>
    <row r="57" spans="1:4">
      <c r="A57" s="3158"/>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9" sqref="E19"/>
    </sheetView>
  </sheetViews>
  <sheetFormatPr defaultColWidth="10" defaultRowHeight="12.75"/>
  <cols>
    <col min="1" max="1" width="16.875" style="2476" customWidth="1"/>
    <col min="2" max="2" width="10" style="2476" customWidth="1"/>
    <col min="3" max="3" width="11.5" style="2476" customWidth="1"/>
    <col min="4" max="4" width="10" style="2476" customWidth="1"/>
    <col min="5" max="5" width="12.625" style="2476" customWidth="1"/>
    <col min="6" max="6" width="10" style="2476" customWidth="1"/>
    <col min="7" max="7" width="10.75" style="2476" customWidth="1"/>
    <col min="8" max="8" width="10" style="2476" customWidth="1"/>
    <col min="9" max="9" width="11.125" style="2721" customWidth="1"/>
    <col min="10" max="10" width="10" style="2654" customWidth="1"/>
    <col min="11" max="11" width="10" style="2805" customWidth="1"/>
    <col min="12" max="13" width="10" style="2806" customWidth="1"/>
    <col min="14" max="14" width="10" style="2654" customWidth="1"/>
    <col min="15" max="15" width="10" style="229" customWidth="1"/>
    <col min="16" max="17" width="10" style="2654"/>
    <col min="18" max="18" width="10" style="2654" customWidth="1"/>
    <col min="19" max="30" width="10" style="2654"/>
    <col min="31" max="16384" width="10" style="2476"/>
  </cols>
  <sheetData>
    <row r="1" spans="1:28">
      <c r="A1" s="2807" t="s">
        <v>330</v>
      </c>
      <c r="B1" s="316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4"/>
      <c r="D1" s="3164"/>
      <c r="E1" s="3164"/>
      <c r="F1" s="3164"/>
      <c r="G1" s="3164"/>
      <c r="H1" s="3164"/>
      <c r="I1" s="3165"/>
      <c r="J1" s="2437"/>
      <c r="K1" s="2889"/>
      <c r="L1" s="2899"/>
      <c r="M1" s="2899"/>
      <c r="N1" s="2808"/>
      <c r="O1" s="2254"/>
      <c r="P1" s="2808"/>
      <c r="Q1" s="2808"/>
      <c r="R1" s="2808"/>
      <c r="S1" s="2131"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6"/>
      <c r="U1" s="2476"/>
      <c r="V1" s="2476"/>
      <c r="W1" s="2476"/>
      <c r="X1" s="2476"/>
      <c r="Y1" s="2476"/>
      <c r="Z1" s="2476"/>
      <c r="AA1" s="2476"/>
      <c r="AB1" s="2476"/>
    </row>
    <row r="2" spans="1:28">
      <c r="A2" s="2808" t="s">
        <v>331</v>
      </c>
      <c r="B2" s="231"/>
      <c r="D2" s="2809"/>
      <c r="E2" s="2810"/>
      <c r="F2" s="2810"/>
      <c r="G2" s="2576"/>
      <c r="H2" s="2576"/>
      <c r="I2" s="2576"/>
      <c r="J2" s="2437"/>
      <c r="K2" s="2889"/>
      <c r="L2" s="2899"/>
      <c r="M2" s="2899"/>
      <c r="N2" s="2808"/>
      <c r="O2" s="2254"/>
      <c r="P2" s="2808"/>
      <c r="Q2" s="2808"/>
      <c r="R2" s="2808"/>
      <c r="S2" s="2131"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6"/>
      <c r="U2" s="2476"/>
      <c r="V2" s="2476"/>
      <c r="W2" s="2476"/>
      <c r="X2" s="2476"/>
      <c r="Y2" s="2476"/>
      <c r="Z2" s="2476"/>
      <c r="AA2" s="2476"/>
      <c r="AB2" s="2476"/>
    </row>
    <row r="3" spans="1:28">
      <c r="A3" s="1636" t="s">
        <v>332</v>
      </c>
      <c r="B3" s="2811"/>
      <c r="C3" s="2812" t="s">
        <v>333</v>
      </c>
      <c r="D3" s="2811">
        <v>45475</v>
      </c>
      <c r="E3" s="2576"/>
      <c r="F3" s="2576"/>
      <c r="G3" s="2576"/>
      <c r="H3" s="2576"/>
      <c r="I3" s="2576"/>
      <c r="J3" s="2437"/>
      <c r="K3" s="2889"/>
      <c r="L3" s="2899"/>
      <c r="M3" s="2899"/>
      <c r="N3" s="2808"/>
      <c r="O3" s="2254"/>
      <c r="P3" s="2808"/>
      <c r="Q3" s="2808"/>
      <c r="R3" s="2808"/>
      <c r="S3" s="2131"/>
      <c r="T3" s="2476"/>
      <c r="U3" s="2476"/>
      <c r="V3" s="2476"/>
      <c r="W3" s="2476"/>
      <c r="X3" s="2476"/>
      <c r="Y3" s="2476"/>
      <c r="Z3" s="2476"/>
      <c r="AA3" s="2476"/>
      <c r="AB3" s="2476"/>
    </row>
    <row r="4" spans="1:28">
      <c r="A4" s="1658"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7"/>
      <c r="K4" s="2238" t="str">
        <f ca="1">CONCATENATE(B4,"（注册号：",C4,")、",D4,"（注册号：",E4,")")</f>
        <v>梁津（注册号：0)、郑燚（注册号：0)</v>
      </c>
      <c r="L4" s="2899"/>
      <c r="M4" s="2899"/>
      <c r="N4" s="2808"/>
      <c r="O4" s="2254"/>
      <c r="P4" s="2808"/>
      <c r="Q4" s="2808"/>
      <c r="R4" s="2808"/>
      <c r="S4" s="2131"/>
      <c r="T4" s="2476"/>
      <c r="U4" s="2476"/>
      <c r="V4" s="2476"/>
      <c r="W4" s="2476"/>
      <c r="X4" s="2476"/>
      <c r="Y4" s="2476"/>
      <c r="Z4" s="2476"/>
      <c r="AA4" s="2476"/>
      <c r="AB4" s="2476"/>
    </row>
    <row r="5" spans="1:28">
      <c r="A5" s="2815" t="s">
        <v>335</v>
      </c>
      <c r="B5" s="2816"/>
      <c r="C5" s="2817"/>
      <c r="D5" s="2818"/>
      <c r="E5" s="2576"/>
      <c r="F5" s="2576"/>
      <c r="G5" s="2576"/>
      <c r="H5" s="2576"/>
      <c r="I5" s="2576"/>
      <c r="J5" s="2437"/>
      <c r="K5" s="2238" t="str">
        <f>IF(F4="——","",IF(H4="——",F4&amp;"（注册号："&amp;G4&amp;")",CONCATENATE(F4,"（注册号：",G4,")、",H4,"（注册号：",I4,")")))</f>
        <v>（注册号：0)、（注册号：0)</v>
      </c>
      <c r="L5" s="2899"/>
      <c r="M5" s="2899"/>
      <c r="N5" s="2808"/>
      <c r="O5" s="2254"/>
      <c r="P5" s="2808"/>
      <c r="Q5" s="2808"/>
      <c r="R5" s="2808"/>
      <c r="S5" s="2476"/>
      <c r="T5" s="2476"/>
      <c r="U5" s="2476"/>
      <c r="V5" s="2476"/>
      <c r="W5" s="2476"/>
      <c r="X5" s="2476"/>
      <c r="Y5" s="2476"/>
      <c r="Z5" s="2476"/>
      <c r="AA5" s="2476"/>
      <c r="AB5" s="2476"/>
    </row>
    <row r="6" spans="1:28">
      <c r="A6" s="2819" t="s">
        <v>336</v>
      </c>
      <c r="B6" s="2820"/>
      <c r="C6" s="2821"/>
      <c r="D6" s="2822"/>
      <c r="E6" s="2810"/>
      <c r="F6" s="2576"/>
      <c r="G6" s="2576"/>
      <c r="H6" s="2576"/>
      <c r="I6" s="2576"/>
      <c r="J6" s="2437"/>
      <c r="K6" s="2900" t="str">
        <f>IF(COUNTIF(B6,"*上海银行*"),"上海银行","")</f>
        <v/>
      </c>
      <c r="L6" s="2901"/>
      <c r="M6" s="2901"/>
      <c r="N6" s="2437"/>
      <c r="O6" s="2255"/>
      <c r="P6" s="2437"/>
      <c r="Q6" s="2437"/>
      <c r="R6" s="2437"/>
    </row>
    <row r="7" spans="1:28">
      <c r="A7" s="2819" t="s">
        <v>337</v>
      </c>
      <c r="B7" s="2823"/>
      <c r="C7" s="2821"/>
      <c r="D7" s="2822"/>
      <c r="E7" s="2810"/>
      <c r="F7" s="2576"/>
      <c r="G7" s="2576"/>
      <c r="H7" s="2576"/>
      <c r="I7" s="2576"/>
      <c r="J7" s="2437"/>
      <c r="K7" s="2902"/>
      <c r="L7" s="2901"/>
      <c r="M7" s="2901"/>
      <c r="N7" s="2437"/>
      <c r="O7" s="2255"/>
      <c r="P7" s="2437"/>
      <c r="Q7" s="2437"/>
      <c r="R7" s="2437"/>
    </row>
    <row r="8" spans="1:28">
      <c r="A8" s="2824" t="s">
        <v>338</v>
      </c>
      <c r="B8" s="2825" t="s">
        <v>317</v>
      </c>
      <c r="C8" s="2826"/>
      <c r="D8" s="3178" t="s">
        <v>339</v>
      </c>
      <c r="E8" s="2827" t="s">
        <v>322</v>
      </c>
      <c r="F8" s="2828"/>
      <c r="G8" s="2576"/>
      <c r="H8" s="2576"/>
      <c r="I8" s="2576"/>
      <c r="J8" s="2437"/>
      <c r="K8" s="2903"/>
      <c r="L8" s="2901"/>
      <c r="M8" s="2901"/>
      <c r="N8" s="2437"/>
      <c r="O8" s="2255"/>
      <c r="P8" s="2437"/>
      <c r="Q8" s="2437"/>
      <c r="R8" s="2437"/>
    </row>
    <row r="9" spans="1:28">
      <c r="A9" s="2829" t="s">
        <v>340</v>
      </c>
      <c r="B9" s="2830" t="s">
        <v>322</v>
      </c>
      <c r="C9" s="2831"/>
      <c r="D9" s="3179"/>
      <c r="E9" s="2830" t="s">
        <v>328</v>
      </c>
      <c r="F9" s="2832"/>
      <c r="G9" s="2833"/>
      <c r="H9" s="2833"/>
      <c r="I9" s="2833"/>
      <c r="J9" s="2437"/>
      <c r="K9" s="2902"/>
      <c r="L9" s="2901"/>
      <c r="M9" s="2901"/>
      <c r="N9" s="2437"/>
      <c r="O9" s="2255"/>
      <c r="P9" s="2437"/>
      <c r="Q9" s="2437"/>
      <c r="R9" s="2437"/>
    </row>
    <row r="10" spans="1:28">
      <c r="A10" s="2834" t="s">
        <v>341</v>
      </c>
      <c r="B10" s="2835" t="s">
        <v>342</v>
      </c>
      <c r="C10" s="2836"/>
      <c r="D10" s="2818"/>
      <c r="E10" s="2837" t="s">
        <v>343</v>
      </c>
      <c r="F10" s="2838" t="s">
        <v>344</v>
      </c>
      <c r="G10" s="2839"/>
      <c r="H10" s="2840"/>
      <c r="I10" s="2904"/>
      <c r="J10" s="2437"/>
      <c r="K10" s="2902"/>
      <c r="L10" s="2901"/>
      <c r="M10" s="2901"/>
      <c r="N10" s="2437"/>
      <c r="O10" s="2255"/>
      <c r="P10" s="2437"/>
      <c r="Q10" s="2437"/>
      <c r="R10" s="2437"/>
    </row>
    <row r="11" spans="1:28">
      <c r="A11" s="2841" t="s">
        <v>345</v>
      </c>
      <c r="B11" s="2842" t="s">
        <v>346</v>
      </c>
      <c r="C11" s="2843"/>
      <c r="D11" s="2844"/>
      <c r="E11" s="2808"/>
      <c r="F11" s="2808"/>
      <c r="G11" s="2808"/>
      <c r="H11" s="2808"/>
      <c r="I11" s="2808"/>
      <c r="J11" s="2437"/>
      <c r="K11" s="2902"/>
      <c r="L11" s="2901"/>
      <c r="M11" s="2901"/>
      <c r="N11" s="2437"/>
      <c r="O11" s="2255"/>
      <c r="P11" s="2437"/>
      <c r="Q11" s="2437"/>
      <c r="R11" s="2437"/>
    </row>
    <row r="12" spans="1:28">
      <c r="A12" s="2845" t="s">
        <v>347</v>
      </c>
      <c r="B12" s="2842" t="s">
        <v>348</v>
      </c>
      <c r="C12" s="1677" t="s">
        <v>349</v>
      </c>
      <c r="D12" s="2846" t="s">
        <v>350</v>
      </c>
      <c r="E12" s="2846" t="s">
        <v>351</v>
      </c>
      <c r="F12" s="2846" t="s">
        <v>352</v>
      </c>
      <c r="G12" s="2846" t="s">
        <v>353</v>
      </c>
      <c r="H12" s="2846" t="s">
        <v>354</v>
      </c>
      <c r="I12" s="2846" t="s">
        <v>355</v>
      </c>
      <c r="J12" s="2437"/>
      <c r="K12" s="2902"/>
      <c r="L12" s="2901"/>
      <c r="M12" s="2901"/>
      <c r="N12" s="2437"/>
      <c r="O12" s="2255"/>
      <c r="P12" s="2437"/>
      <c r="Q12" s="2437"/>
      <c r="R12" s="2437"/>
    </row>
    <row r="13" spans="1:28" ht="14.25">
      <c r="A13" s="1663"/>
      <c r="B13" s="2847"/>
      <c r="C13" s="2848" t="s">
        <v>356</v>
      </c>
      <c r="D13" s="2849">
        <v>69313</v>
      </c>
      <c r="E13" s="2849">
        <v>58355</v>
      </c>
      <c r="F13" s="2849"/>
      <c r="G13" s="2849">
        <v>62008</v>
      </c>
      <c r="H13" s="2849">
        <v>62008</v>
      </c>
      <c r="I13" s="2905"/>
      <c r="J13" s="2437"/>
      <c r="K13" s="2902"/>
      <c r="L13" s="2901"/>
      <c r="M13" s="2901"/>
      <c r="N13" s="2437"/>
      <c r="O13" s="2255"/>
      <c r="P13" s="2437"/>
      <c r="Q13" s="2437"/>
      <c r="R13" s="2437"/>
    </row>
    <row r="14" spans="1:28">
      <c r="A14" s="1663"/>
      <c r="B14" s="2847"/>
      <c r="C14" s="2848" t="s">
        <v>357</v>
      </c>
      <c r="D14" s="2850">
        <v>70</v>
      </c>
      <c r="E14" s="2850">
        <v>40</v>
      </c>
      <c r="F14" s="2850"/>
      <c r="G14" s="2850">
        <v>50</v>
      </c>
      <c r="H14" s="2850">
        <v>50</v>
      </c>
      <c r="I14" s="2850"/>
      <c r="J14" s="2437"/>
      <c r="K14" s="2906"/>
      <c r="L14" s="2901"/>
      <c r="M14" s="2901"/>
      <c r="N14" s="2437"/>
      <c r="O14" s="2255"/>
      <c r="P14" s="2437"/>
      <c r="Q14" s="2437"/>
      <c r="R14" s="2437"/>
    </row>
    <row r="15" spans="1:28">
      <c r="A15" s="1670"/>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7"/>
      <c r="K15" s="2907"/>
      <c r="L15" s="2255"/>
      <c r="M15" s="2255"/>
      <c r="N15" s="2437"/>
      <c r="O15" s="2255"/>
      <c r="P15" s="2437"/>
      <c r="Q15" s="2437"/>
      <c r="R15" s="2437"/>
    </row>
    <row r="16" spans="1:28">
      <c r="A16" s="2837" t="s">
        <v>359</v>
      </c>
      <c r="B16" s="3166"/>
      <c r="C16" s="3167"/>
      <c r="D16" s="3168"/>
      <c r="E16" s="2854" t="s">
        <v>360</v>
      </c>
      <c r="F16" s="3169"/>
      <c r="G16" s="3170"/>
      <c r="H16" s="3170"/>
      <c r="I16" s="3171"/>
      <c r="J16" s="2437"/>
      <c r="K16" s="2907"/>
      <c r="L16" s="2255"/>
      <c r="M16" s="2255"/>
      <c r="N16" s="2437"/>
      <c r="O16" s="2255"/>
      <c r="P16" s="2437"/>
      <c r="Q16" s="2437"/>
      <c r="R16" s="2437"/>
    </row>
    <row r="17" spans="1:28">
      <c r="A17" s="1647" t="s">
        <v>361</v>
      </c>
      <c r="B17" s="1636" t="s">
        <v>362</v>
      </c>
      <c r="C17" s="288">
        <f>'数据-汇总表'!E3</f>
        <v>72308.930000000008</v>
      </c>
      <c r="D17" s="1689" t="s">
        <v>363</v>
      </c>
      <c r="E17" s="3172" t="s">
        <v>364</v>
      </c>
      <c r="F17" s="3173"/>
      <c r="G17" s="3173"/>
      <c r="H17" s="3173"/>
      <c r="I17" s="3174"/>
      <c r="J17" s="2437"/>
      <c r="K17" s="2908"/>
      <c r="L17" s="2255"/>
      <c r="M17" s="2255"/>
      <c r="N17" s="2437"/>
      <c r="O17" s="2255"/>
      <c r="P17" s="2437"/>
      <c r="Q17" s="2437"/>
      <c r="R17" s="2437"/>
      <c r="S17" s="2437"/>
      <c r="T17" s="2437"/>
      <c r="U17" s="2437"/>
      <c r="V17" s="2437"/>
    </row>
    <row r="18" spans="1:28" ht="24">
      <c r="A18" s="2855" t="s">
        <v>365</v>
      </c>
      <c r="B18" s="1658" t="s">
        <v>366</v>
      </c>
      <c r="C18" s="2856">
        <f>'数据-汇总表'!D3</f>
        <v>0</v>
      </c>
      <c r="D18" s="1682" t="s">
        <v>363</v>
      </c>
      <c r="E18" s="3175" t="s">
        <v>367</v>
      </c>
      <c r="F18" s="3176"/>
      <c r="G18" s="3176"/>
      <c r="H18" s="3176"/>
      <c r="I18" s="3177"/>
      <c r="J18" s="2437"/>
      <c r="K18" s="2908"/>
      <c r="L18" s="2255"/>
      <c r="M18" s="2255"/>
      <c r="N18" s="2437"/>
      <c r="O18" s="2255"/>
      <c r="P18" s="2437"/>
      <c r="Q18" s="2437"/>
      <c r="R18" s="2437"/>
      <c r="S18" s="2437"/>
      <c r="T18" s="2437"/>
      <c r="U18" s="2437"/>
      <c r="V18" s="2437"/>
    </row>
    <row r="19" spans="1:28" ht="36">
      <c r="A19" s="1699" t="s">
        <v>368</v>
      </c>
      <c r="B19" s="1640" t="s">
        <v>369</v>
      </c>
      <c r="C19" s="2857" t="s">
        <v>370</v>
      </c>
      <c r="D19" s="2858" t="s">
        <v>371</v>
      </c>
      <c r="E19" s="2859"/>
      <c r="F19" s="2860" t="str">
        <f>IF(AND(C19="是",E19="否"),"是否提供他项权证或相关说明","")</f>
        <v/>
      </c>
      <c r="G19" s="2861"/>
      <c r="H19" s="2576"/>
      <c r="I19" s="2576"/>
      <c r="J19" s="2437"/>
      <c r="K19" s="2902"/>
      <c r="L19" s="2901"/>
      <c r="M19" s="2901"/>
      <c r="N19" s="2437"/>
      <c r="O19" s="2255"/>
      <c r="P19" s="2437"/>
      <c r="Q19" s="2437"/>
      <c r="R19" s="2437"/>
      <c r="S19" s="2437"/>
      <c r="T19" s="2437"/>
      <c r="U19" s="2437"/>
      <c r="V19" s="2437"/>
    </row>
    <row r="20" spans="1:28">
      <c r="A20" s="2862" t="s">
        <v>372</v>
      </c>
      <c r="B20" s="3182" t="s">
        <v>373</v>
      </c>
      <c r="C20" s="3183"/>
      <c r="D20" s="3184" t="s">
        <v>374</v>
      </c>
      <c r="E20" s="3185"/>
      <c r="F20" s="2863" t="s">
        <v>375</v>
      </c>
      <c r="G20" s="2576"/>
      <c r="H20" s="2576"/>
      <c r="I20" s="2576"/>
      <c r="J20" s="2437"/>
      <c r="K20" s="3180" t="s">
        <v>376</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4"/>
      <c r="P20" s="2808"/>
      <c r="Q20" s="2808"/>
      <c r="R20" s="2808"/>
      <c r="S20" s="2808"/>
      <c r="T20" s="2808"/>
      <c r="U20" s="2808"/>
      <c r="V20" s="2808"/>
      <c r="W20" s="2476"/>
      <c r="X20" s="2476"/>
      <c r="Y20" s="2476"/>
      <c r="Z20" s="2476"/>
      <c r="AA20" s="2476"/>
      <c r="AB20" s="2476"/>
    </row>
    <row r="21" spans="1:28" ht="24">
      <c r="A21" s="2862"/>
      <c r="B21" s="2864" t="s">
        <v>377</v>
      </c>
      <c r="C21" s="2463" t="s">
        <v>378</v>
      </c>
      <c r="D21" s="2865" t="s">
        <v>379</v>
      </c>
      <c r="E21" s="2866" t="s">
        <v>378</v>
      </c>
      <c r="F21" s="2867"/>
      <c r="G21" s="2576"/>
      <c r="H21" s="2576"/>
      <c r="I21" s="2576"/>
      <c r="J21" s="2437"/>
      <c r="K21" s="3180"/>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4"/>
      <c r="P21" s="2808"/>
      <c r="Q21" s="2808"/>
      <c r="R21" s="2808"/>
      <c r="S21" s="2808"/>
      <c r="T21" s="2808"/>
      <c r="U21" s="2808"/>
      <c r="V21" s="2808"/>
      <c r="W21" s="2476"/>
      <c r="X21" s="2476"/>
      <c r="Y21" s="2476"/>
      <c r="Z21" s="2476"/>
      <c r="AA21" s="2476"/>
      <c r="AB21" s="2476"/>
    </row>
    <row r="22" spans="1:28" ht="24">
      <c r="A22" s="2862"/>
      <c r="B22" s="2868" t="s">
        <v>380</v>
      </c>
      <c r="C22" s="2463" t="s">
        <v>381</v>
      </c>
      <c r="D22" s="2576"/>
      <c r="E22" s="2576"/>
      <c r="F22" s="2576"/>
      <c r="G22" s="2576"/>
      <c r="H22" s="2576"/>
      <c r="I22" s="2576"/>
      <c r="J22" s="2437"/>
      <c r="K22" s="3180"/>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4"/>
      <c r="P22" s="2808"/>
      <c r="Q22" s="2808"/>
      <c r="R22" s="2808"/>
      <c r="S22" s="2808"/>
      <c r="T22" s="2808"/>
      <c r="U22" s="2808"/>
      <c r="V22" s="2808"/>
      <c r="W22" s="2476"/>
      <c r="X22" s="2476"/>
      <c r="Y22" s="2476"/>
      <c r="Z22" s="2476"/>
      <c r="AA22" s="2476"/>
      <c r="AB22" s="2476"/>
    </row>
    <row r="23" spans="1:28">
      <c r="A23" s="2869" t="s">
        <v>382</v>
      </c>
      <c r="B23" s="2460" t="s">
        <v>383</v>
      </c>
      <c r="C23" s="2870"/>
      <c r="D23" s="2871" t="s">
        <v>383</v>
      </c>
      <c r="E23" s="2872"/>
      <c r="F23" s="2576"/>
      <c r="G23" s="2576"/>
      <c r="H23" s="2576"/>
      <c r="I23" s="2576"/>
      <c r="J23" s="2437"/>
      <c r="K23" s="2900"/>
      <c r="L23" s="274"/>
      <c r="M23" s="2901"/>
      <c r="N23" s="2437"/>
      <c r="O23" s="2255"/>
      <c r="P23" s="2437"/>
      <c r="Q23" s="2437"/>
      <c r="R23" s="2437"/>
      <c r="S23" s="2437"/>
      <c r="T23" s="2437"/>
      <c r="U23" s="2437"/>
      <c r="V23" s="2437"/>
    </row>
    <row r="24" spans="1:28">
      <c r="A24" s="2869"/>
      <c r="B24" s="2460" t="s">
        <v>384</v>
      </c>
      <c r="C24" s="2434"/>
      <c r="D24" s="2869" t="s">
        <v>384</v>
      </c>
      <c r="E24" s="2873"/>
      <c r="F24" s="2576"/>
      <c r="G24" s="2576"/>
      <c r="H24" s="2576"/>
      <c r="I24" s="2576"/>
      <c r="J24" s="2437"/>
      <c r="K24" s="2900"/>
      <c r="L24" s="274"/>
      <c r="M24" s="2901"/>
      <c r="N24" s="2437"/>
      <c r="O24" s="2255"/>
      <c r="P24" s="2437"/>
      <c r="Q24" s="2437"/>
      <c r="R24" s="2437"/>
      <c r="S24" s="2437"/>
      <c r="T24" s="2437"/>
      <c r="U24" s="2437"/>
      <c r="V24" s="2437"/>
    </row>
    <row r="25" spans="1:28">
      <c r="A25" s="2869"/>
      <c r="B25" s="2460" t="s">
        <v>385</v>
      </c>
      <c r="C25" s="2434"/>
      <c r="D25" s="2869" t="s">
        <v>385</v>
      </c>
      <c r="E25" s="2873"/>
      <c r="F25" s="2576"/>
      <c r="G25" s="2576"/>
      <c r="H25" s="2576"/>
      <c r="I25" s="2576"/>
      <c r="J25" s="2437"/>
      <c r="K25" s="2902"/>
      <c r="L25" s="2901"/>
      <c r="M25" s="2901"/>
      <c r="N25" s="2437"/>
      <c r="O25" s="2255"/>
      <c r="P25" s="2437"/>
      <c r="Q25" s="2437"/>
      <c r="R25" s="2437"/>
      <c r="S25" s="2437"/>
      <c r="T25" s="2437"/>
      <c r="U25" s="2437"/>
      <c r="V25" s="2437"/>
    </row>
    <row r="26" spans="1:28">
      <c r="A26" s="2874"/>
      <c r="B26" s="2875" t="s">
        <v>386</v>
      </c>
      <c r="C26" s="2876"/>
      <c r="D26" s="2874" t="s">
        <v>386</v>
      </c>
      <c r="E26" s="2877"/>
      <c r="F26" s="2833"/>
      <c r="G26" s="2833"/>
      <c r="H26" s="2833"/>
      <c r="I26" s="2833"/>
      <c r="J26" s="2437"/>
      <c r="K26" s="2902"/>
      <c r="L26" s="2901"/>
      <c r="M26" s="2901"/>
      <c r="N26" s="2437"/>
      <c r="O26" s="2255"/>
      <c r="P26" s="2437"/>
      <c r="Q26" s="2437"/>
      <c r="R26" s="2437"/>
      <c r="S26" s="2437"/>
      <c r="T26" s="2437"/>
      <c r="U26" s="2437"/>
      <c r="V26" s="2437"/>
    </row>
    <row r="27" spans="1:28">
      <c r="A27" s="3159" t="s">
        <v>387</v>
      </c>
      <c r="B27" s="1670" t="s">
        <v>388</v>
      </c>
      <c r="C27" s="2878" t="s">
        <v>389</v>
      </c>
      <c r="D27" s="2879"/>
      <c r="E27" s="2576"/>
      <c r="F27" s="2576"/>
      <c r="G27" s="2576"/>
      <c r="H27" s="2576"/>
      <c r="I27" s="2576"/>
      <c r="J27" s="2437"/>
      <c r="K27" s="2907"/>
      <c r="L27" s="2255"/>
      <c r="M27" s="2255"/>
      <c r="N27" s="2437"/>
      <c r="O27" s="2255"/>
      <c r="P27" s="2437"/>
      <c r="Q27" s="2437"/>
      <c r="R27" s="2437"/>
      <c r="S27" s="2437"/>
      <c r="T27" s="2437"/>
      <c r="U27" s="2437"/>
      <c r="V27" s="2437"/>
    </row>
    <row r="28" spans="1:28">
      <c r="A28" s="3159"/>
      <c r="B28" s="1636" t="s">
        <v>390</v>
      </c>
      <c r="C28" s="2880" t="s">
        <v>391</v>
      </c>
      <c r="D28" s="2881"/>
      <c r="E28" s="2576"/>
      <c r="F28" s="2576"/>
      <c r="G28" s="2576"/>
      <c r="H28" s="2576"/>
      <c r="I28" s="2576"/>
      <c r="J28" s="2437"/>
      <c r="K28" s="2902"/>
      <c r="L28" s="2901"/>
      <c r="M28" s="2901"/>
      <c r="N28" s="2437"/>
      <c r="O28" s="2255"/>
      <c r="P28" s="2437"/>
      <c r="Q28" s="2437"/>
      <c r="R28" s="2437"/>
      <c r="S28" s="2437"/>
      <c r="T28" s="2437"/>
      <c r="U28" s="2437"/>
      <c r="V28" s="2437"/>
    </row>
    <row r="29" spans="1:28">
      <c r="A29" s="3159"/>
      <c r="B29" s="1636" t="s">
        <v>392</v>
      </c>
      <c r="C29" s="2882"/>
      <c r="D29" s="2883"/>
      <c r="E29" s="2576"/>
      <c r="F29" s="2576"/>
      <c r="G29" s="2576"/>
      <c r="H29" s="2576"/>
      <c r="I29" s="2576"/>
      <c r="J29" s="2437"/>
      <c r="K29" s="2902"/>
      <c r="L29" s="2901"/>
      <c r="M29" s="2901"/>
      <c r="N29" s="2437"/>
      <c r="O29" s="2255"/>
      <c r="P29" s="2437"/>
      <c r="Q29" s="2437"/>
      <c r="R29" s="2437"/>
      <c r="S29" s="2437"/>
      <c r="T29" s="2437"/>
      <c r="U29" s="2437"/>
      <c r="V29" s="2437"/>
    </row>
    <row r="30" spans="1:28">
      <c r="A30" s="3160"/>
      <c r="B30" s="1636" t="s">
        <v>393</v>
      </c>
      <c r="C30" s="3186"/>
      <c r="D30" s="3187"/>
      <c r="E30" s="2576"/>
      <c r="F30" s="2576"/>
      <c r="G30" s="2576"/>
      <c r="H30" s="2576"/>
      <c r="I30" s="2576"/>
      <c r="J30" s="2437"/>
      <c r="K30" s="2902"/>
      <c r="L30" s="2901"/>
      <c r="M30" s="2901"/>
      <c r="N30" s="2437"/>
      <c r="O30" s="2255"/>
      <c r="P30" s="2437"/>
      <c r="Q30" s="2437"/>
      <c r="R30" s="2437"/>
      <c r="S30" s="2437"/>
      <c r="T30" s="2437"/>
      <c r="U30" s="2437"/>
      <c r="V30" s="2437"/>
    </row>
    <row r="31" spans="1:28">
      <c r="A31" s="3161" t="s">
        <v>394</v>
      </c>
      <c r="B31" s="2884" t="s">
        <v>395</v>
      </c>
      <c r="C31" s="1785" t="str">
        <f>IF(B31="现房","成新及维护状况正常否",IF(B31="在建","工程状态是否正常",IF(B31="土地","是否闲置","-")))</f>
        <v>工程状态是否正常</v>
      </c>
      <c r="D31" s="1878"/>
      <c r="E31" s="2885"/>
      <c r="F31" s="2576"/>
      <c r="G31" s="2576"/>
      <c r="H31" s="2576"/>
      <c r="I31" s="2576"/>
      <c r="J31" s="2437"/>
      <c r="K31" s="2900"/>
      <c r="L31" s="2901"/>
      <c r="M31" s="2901"/>
      <c r="N31" s="2437"/>
      <c r="O31" s="2255"/>
      <c r="P31" s="2437"/>
      <c r="Q31" s="2437"/>
      <c r="R31" s="2437"/>
      <c r="S31" s="2437"/>
      <c r="T31" s="2437"/>
      <c r="U31" s="2437"/>
      <c r="V31" s="2437"/>
    </row>
    <row r="32" spans="1:28">
      <c r="A32" s="3162"/>
      <c r="B32" s="2884" t="s">
        <v>395</v>
      </c>
      <c r="C32" s="1785" t="str">
        <f>IF(B32="现房","成新及维护状况是否正常",IF(B32="在建","工程状态是否正常",IF(B32="土地","是否闲置","-")))</f>
        <v>工程状态是否正常</v>
      </c>
      <c r="D32" s="1878"/>
      <c r="E32" s="2885"/>
      <c r="F32" s="2576"/>
      <c r="G32" s="2576"/>
      <c r="H32" s="2576"/>
      <c r="I32" s="2576"/>
      <c r="J32" s="2437"/>
      <c r="K32" s="2902"/>
      <c r="L32" s="2901"/>
      <c r="M32" s="2901"/>
      <c r="N32" s="2437"/>
      <c r="O32" s="2255"/>
      <c r="P32" s="2437"/>
      <c r="Q32" s="2437"/>
      <c r="R32" s="2437"/>
      <c r="S32" s="2437"/>
      <c r="T32" s="2437"/>
      <c r="U32" s="2437"/>
      <c r="V32" s="2437"/>
    </row>
    <row r="33" spans="1:30">
      <c r="A33" s="3162"/>
      <c r="B33" s="2886"/>
      <c r="C33" s="2234" t="str">
        <f>IF(B33="现房","成新及维护状况是否正常",IF(B33="在建","工程状态是否正常",IF(B33="土地","是否闲置","-")))</f>
        <v>-</v>
      </c>
      <c r="D33" s="1645"/>
      <c r="E33" s="2887"/>
      <c r="F33" s="2576"/>
      <c r="G33" s="2576"/>
      <c r="H33" s="2576"/>
      <c r="I33" s="2576"/>
      <c r="J33" s="2437"/>
      <c r="K33" s="2902"/>
      <c r="L33" s="2901"/>
      <c r="M33" s="2901"/>
      <c r="N33" s="2437"/>
      <c r="O33" s="2255"/>
      <c r="P33" s="2437"/>
      <c r="Q33" s="2437"/>
      <c r="R33" s="2437"/>
      <c r="S33" s="2437"/>
      <c r="T33" s="2437"/>
      <c r="U33" s="2437"/>
      <c r="V33" s="2437"/>
    </row>
    <row r="34" spans="1:30">
      <c r="A34" s="1636" t="s">
        <v>396</v>
      </c>
      <c r="B34" s="561" t="s">
        <v>397</v>
      </c>
      <c r="C34" s="561" t="s">
        <v>398</v>
      </c>
      <c r="D34" s="561" t="s">
        <v>399</v>
      </c>
      <c r="E34" s="561" t="s">
        <v>400</v>
      </c>
      <c r="F34" s="561" t="s">
        <v>401</v>
      </c>
      <c r="G34" s="561"/>
      <c r="H34" s="561"/>
      <c r="I34" s="2576"/>
      <c r="J34" s="2437"/>
      <c r="K34" s="288">
        <f>COUNTIF(B34:H34,"——")</f>
        <v>0</v>
      </c>
      <c r="L34" s="1677" t="s">
        <v>402</v>
      </c>
      <c r="M34" s="1677" t="s">
        <v>403</v>
      </c>
      <c r="N34" s="1677" t="s">
        <v>404</v>
      </c>
      <c r="O34" s="1677" t="s">
        <v>405</v>
      </c>
      <c r="P34" s="1677" t="s">
        <v>406</v>
      </c>
      <c r="Q34" s="1677" t="s">
        <v>407</v>
      </c>
      <c r="R34" s="1677" t="s">
        <v>408</v>
      </c>
      <c r="S34" s="3181" t="s">
        <v>409</v>
      </c>
      <c r="T34" s="2918" t="str">
        <f>NUMBERSTRING(7-K34,1)&amp;"通"</f>
        <v>七通</v>
      </c>
      <c r="U34" s="2437"/>
      <c r="V34" s="2437"/>
    </row>
    <row r="35" spans="1:30">
      <c r="A35" s="2888"/>
      <c r="B35" s="3181" t="s">
        <v>410</v>
      </c>
      <c r="C35" s="3181"/>
      <c r="D35" s="3181"/>
      <c r="E35" s="3181"/>
      <c r="F35" s="288">
        <f>C10</f>
        <v>0</v>
      </c>
      <c r="G35" s="2576"/>
      <c r="H35" s="2576"/>
      <c r="I35" s="2576"/>
      <c r="J35" s="2437"/>
      <c r="K35" s="1677"/>
      <c r="L35" s="1677"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81"/>
      <c r="T35" s="233" t="str">
        <f>IF(T34="一通",L35,IF(T34="二通",M35,IF(T34="三通",N35,IF(T34="四通",O35,IF(T34="五通",P35,IF(T34="六通",Q35,R35))))))</f>
        <v>通路、通电、通讯、通上水、通下水、、</v>
      </c>
      <c r="U35" s="2437"/>
      <c r="V35" s="2437"/>
    </row>
    <row r="36" spans="1:30">
      <c r="A36" s="2889"/>
      <c r="B36" s="288" t="s">
        <v>351</v>
      </c>
      <c r="C36" s="288" t="s">
        <v>352</v>
      </c>
      <c r="D36" s="288" t="s">
        <v>350</v>
      </c>
      <c r="E36" s="288" t="s">
        <v>355</v>
      </c>
      <c r="F36" s="2890"/>
      <c r="G36" s="2576"/>
      <c r="H36" s="2576"/>
      <c r="I36" s="2576"/>
      <c r="J36" s="2437"/>
      <c r="K36" s="2902"/>
      <c r="L36" s="2901"/>
      <c r="M36" s="2901"/>
      <c r="N36" s="2437"/>
      <c r="O36" s="2255"/>
      <c r="P36" s="2437"/>
      <c r="Q36" s="2437"/>
      <c r="R36" s="2437"/>
      <c r="S36" s="2437"/>
      <c r="T36" s="2437"/>
      <c r="U36" s="2437"/>
      <c r="V36" s="2437"/>
    </row>
    <row r="37" spans="1:30">
      <c r="A37" s="2891" t="s">
        <v>411</v>
      </c>
      <c r="B37" s="2892" t="s">
        <v>286</v>
      </c>
      <c r="C37" s="2892" t="s">
        <v>286</v>
      </c>
      <c r="D37" s="2892" t="s">
        <v>286</v>
      </c>
      <c r="E37" s="2892"/>
      <c r="F37" s="2890"/>
      <c r="G37" s="2576"/>
      <c r="H37" s="2576"/>
      <c r="I37" s="2576"/>
      <c r="J37" s="2437"/>
      <c r="K37" s="2902"/>
      <c r="L37" s="2901"/>
      <c r="M37" s="2901"/>
      <c r="N37" s="2437"/>
      <c r="O37" s="2255"/>
      <c r="P37" s="2437"/>
      <c r="Q37" s="2437"/>
      <c r="R37" s="2437"/>
      <c r="S37" s="2437"/>
      <c r="T37" s="2437"/>
      <c r="U37" s="2437"/>
      <c r="V37" s="2437"/>
    </row>
    <row r="38" spans="1:30">
      <c r="A38" s="2893" t="s">
        <v>412</v>
      </c>
      <c r="B38" s="2894" t="s">
        <v>413</v>
      </c>
      <c r="C38" s="2894" t="s">
        <v>413</v>
      </c>
      <c r="D38" s="2894" t="s">
        <v>413</v>
      </c>
      <c r="E38" s="2894"/>
      <c r="F38" s="2895"/>
      <c r="G38" s="2833"/>
      <c r="H38" s="2833"/>
      <c r="I38" s="2833"/>
      <c r="J38" s="2437"/>
      <c r="K38" s="2902"/>
      <c r="L38" s="2901"/>
      <c r="M38" s="2901"/>
      <c r="N38" s="2437"/>
      <c r="O38" s="2255"/>
      <c r="P38" s="2437"/>
      <c r="Q38" s="2437"/>
      <c r="R38" s="2437"/>
      <c r="S38" s="2437"/>
      <c r="T38" s="2437"/>
      <c r="U38" s="2437"/>
      <c r="V38" s="2437"/>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4"/>
      <c r="J40" s="2437"/>
      <c r="K40" s="2900"/>
      <c r="L40" s="2255"/>
      <c r="M40" s="2255"/>
      <c r="N40" s="2437"/>
      <c r="O40" s="2255"/>
      <c r="P40" s="2437"/>
      <c r="Q40" s="2437"/>
      <c r="R40" s="2437"/>
      <c r="S40" s="2437"/>
      <c r="T40" s="2437"/>
      <c r="U40" s="2437"/>
      <c r="V40" s="2437"/>
    </row>
    <row r="41" spans="1:30">
      <c r="A41" s="2898" t="s">
        <v>415</v>
      </c>
      <c r="B41" s="2143"/>
      <c r="C41" s="1878"/>
      <c r="D41" s="2808"/>
      <c r="E41" s="2808"/>
      <c r="F41" s="2808"/>
      <c r="G41" s="2808"/>
      <c r="H41" s="2808"/>
      <c r="I41" s="2254"/>
      <c r="J41" s="2437"/>
      <c r="K41" s="2902"/>
      <c r="L41" s="2901"/>
      <c r="M41" s="2901"/>
      <c r="N41" s="2437"/>
      <c r="O41" s="2255"/>
      <c r="P41" s="2437"/>
      <c r="Q41" s="2437"/>
      <c r="R41" s="2437"/>
      <c r="S41" s="2437"/>
      <c r="T41" s="2437"/>
      <c r="U41" s="2437"/>
      <c r="V41" s="2437"/>
    </row>
    <row r="42" spans="1:30" ht="25.5">
      <c r="A42" s="1677"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7"/>
      <c r="T42" s="2437"/>
      <c r="U42" s="2437"/>
      <c r="V42" s="2437"/>
    </row>
    <row r="43" spans="1:30" s="2654" customFormat="1">
      <c r="A43" s="2751"/>
      <c r="B43" s="241"/>
      <c r="C43" s="241"/>
      <c r="D43" s="241"/>
      <c r="E43" s="241"/>
      <c r="F43" s="241"/>
      <c r="G43" s="241"/>
      <c r="H43" s="241"/>
      <c r="I43" s="241"/>
      <c r="J43" s="2915"/>
      <c r="K43" s="2916"/>
      <c r="L43" s="2916"/>
      <c r="M43" s="241"/>
      <c r="N43" s="241"/>
      <c r="O43" s="241"/>
      <c r="P43" s="241"/>
      <c r="Q43" s="241"/>
      <c r="R43" s="241"/>
      <c r="S43" s="2437"/>
      <c r="T43" s="2437"/>
      <c r="U43" s="2437"/>
      <c r="V43" s="2437"/>
    </row>
    <row r="44" spans="1:30" s="2654" customFormat="1">
      <c r="A44" s="2751"/>
      <c r="B44" s="2751"/>
      <c r="C44" s="241"/>
      <c r="D44" s="241"/>
      <c r="E44" s="241"/>
      <c r="F44" s="241"/>
      <c r="G44" s="241"/>
      <c r="H44" s="241"/>
      <c r="I44" s="241"/>
      <c r="J44" s="2915"/>
      <c r="K44" s="2916"/>
      <c r="L44" s="2916"/>
      <c r="M44" s="241"/>
      <c r="N44" s="241"/>
      <c r="O44" s="241"/>
      <c r="P44" s="241"/>
      <c r="Q44" s="241"/>
      <c r="R44" s="241"/>
      <c r="S44" s="2437"/>
      <c r="T44" s="2437"/>
      <c r="U44" s="2437"/>
      <c r="V44" s="2437"/>
    </row>
    <row r="45" spans="1:30" s="2654" customFormat="1">
      <c r="A45" s="2751"/>
      <c r="B45" s="2751"/>
      <c r="C45" s="241"/>
      <c r="D45" s="241"/>
      <c r="E45" s="241"/>
      <c r="F45" s="241"/>
      <c r="G45" s="241"/>
      <c r="H45" s="241"/>
      <c r="I45" s="241"/>
      <c r="J45" s="2915"/>
      <c r="K45" s="2916"/>
      <c r="L45" s="2916"/>
      <c r="M45" s="241"/>
      <c r="N45" s="241"/>
      <c r="O45" s="241"/>
      <c r="P45" s="241"/>
      <c r="Q45" s="241"/>
      <c r="R45" s="241"/>
      <c r="S45" s="2437"/>
      <c r="T45" s="2437"/>
      <c r="U45" s="2437"/>
      <c r="V45" s="2437"/>
    </row>
    <row r="46" spans="1:30" s="2654" customFormat="1">
      <c r="A46" s="2751"/>
      <c r="B46" s="2751"/>
      <c r="C46" s="241"/>
      <c r="D46" s="241"/>
      <c r="E46" s="241"/>
      <c r="F46" s="241"/>
      <c r="G46" s="241"/>
      <c r="H46" s="241"/>
      <c r="I46" s="241"/>
      <c r="J46" s="2915"/>
      <c r="K46" s="2916"/>
      <c r="L46" s="2916"/>
      <c r="M46" s="241"/>
      <c r="N46" s="241"/>
      <c r="O46" s="241"/>
      <c r="P46" s="241"/>
      <c r="Q46" s="241"/>
      <c r="R46" s="241"/>
      <c r="S46" s="2437"/>
      <c r="T46" s="2437"/>
      <c r="U46" s="2437"/>
      <c r="V46" s="2437"/>
    </row>
    <row r="47" spans="1:30" s="2654" customFormat="1">
      <c r="A47" s="2751"/>
      <c r="B47" s="2751"/>
      <c r="C47" s="241"/>
      <c r="D47" s="241"/>
      <c r="E47" s="241"/>
      <c r="F47" s="241"/>
      <c r="G47" s="241"/>
      <c r="H47" s="241"/>
      <c r="I47" s="241"/>
      <c r="J47" s="2915"/>
      <c r="K47" s="2916"/>
      <c r="L47" s="2916"/>
      <c r="M47" s="241"/>
      <c r="N47" s="241"/>
      <c r="O47" s="241"/>
      <c r="P47" s="241"/>
      <c r="Q47" s="241"/>
      <c r="R47" s="241"/>
      <c r="S47" s="2437"/>
      <c r="T47" s="2437"/>
      <c r="U47" s="2437"/>
      <c r="V47" s="2437"/>
    </row>
    <row r="48" spans="1:30" s="2654" customFormat="1">
      <c r="A48" s="2751"/>
      <c r="B48" s="2751"/>
      <c r="C48" s="241"/>
      <c r="D48" s="241"/>
      <c r="E48" s="241"/>
      <c r="F48" s="241"/>
      <c r="G48" s="241"/>
      <c r="H48" s="241"/>
      <c r="I48" s="241"/>
      <c r="J48" s="2915"/>
      <c r="K48" s="2916"/>
      <c r="L48" s="2916"/>
      <c r="M48" s="241"/>
      <c r="N48" s="241"/>
      <c r="O48" s="241"/>
      <c r="P48" s="241"/>
      <c r="Q48" s="241"/>
      <c r="R48" s="241"/>
      <c r="S48" s="2437"/>
      <c r="T48" s="2437"/>
      <c r="U48" s="2437"/>
      <c r="V48" s="2437"/>
    </row>
    <row r="49" spans="1:22" s="2654" customFormat="1">
      <c r="A49" s="2751"/>
      <c r="B49" s="2751"/>
      <c r="C49" s="241"/>
      <c r="D49" s="241"/>
      <c r="E49" s="241"/>
      <c r="F49" s="241"/>
      <c r="G49" s="241"/>
      <c r="H49" s="241"/>
      <c r="I49" s="241"/>
      <c r="J49" s="2915"/>
      <c r="K49" s="2916"/>
      <c r="L49" s="2916"/>
      <c r="M49" s="241"/>
      <c r="N49" s="241"/>
      <c r="O49" s="241"/>
      <c r="P49" s="241"/>
      <c r="Q49" s="241"/>
      <c r="R49" s="241"/>
      <c r="S49" s="2437"/>
      <c r="T49" s="2437"/>
      <c r="U49" s="2437"/>
      <c r="V49" s="2437"/>
    </row>
    <row r="50" spans="1:22" s="2654" customFormat="1">
      <c r="A50" s="2751"/>
      <c r="B50" s="2751"/>
      <c r="C50" s="241"/>
      <c r="D50" s="241"/>
      <c r="E50" s="241"/>
      <c r="F50" s="241"/>
      <c r="G50" s="241"/>
      <c r="H50" s="241"/>
      <c r="I50" s="241"/>
      <c r="J50" s="2915"/>
      <c r="K50" s="2916"/>
      <c r="L50" s="2916"/>
      <c r="M50" s="241"/>
      <c r="N50" s="241"/>
      <c r="O50" s="241"/>
      <c r="P50" s="241"/>
      <c r="Q50" s="241"/>
      <c r="R50" s="241"/>
      <c r="S50" s="2437"/>
      <c r="T50" s="2437"/>
      <c r="U50" s="2437"/>
      <c r="V50" s="2437"/>
    </row>
    <row r="51" spans="1:22" s="2654" customFormat="1">
      <c r="A51" s="2751"/>
      <c r="B51" s="2751"/>
      <c r="C51" s="241"/>
      <c r="D51" s="241"/>
      <c r="E51" s="241"/>
      <c r="F51" s="241"/>
      <c r="G51" s="241"/>
      <c r="H51" s="241"/>
      <c r="I51" s="241"/>
      <c r="J51" s="2915"/>
      <c r="K51" s="2916"/>
      <c r="L51" s="2916"/>
      <c r="M51" s="241"/>
      <c r="N51" s="241"/>
      <c r="O51" s="241"/>
      <c r="P51" s="241"/>
      <c r="Q51" s="241"/>
      <c r="R51" s="241"/>
    </row>
    <row r="52" spans="1:22" s="2654" customFormat="1">
      <c r="A52" s="2751"/>
      <c r="B52" s="2751"/>
      <c r="C52" s="2751"/>
      <c r="D52" s="2751"/>
      <c r="E52" s="2751"/>
      <c r="F52" s="241"/>
      <c r="G52" s="2751"/>
      <c r="H52" s="2751"/>
      <c r="I52" s="2751"/>
      <c r="J52" s="2917"/>
      <c r="K52" s="2916"/>
      <c r="L52" s="2916"/>
      <c r="M52" s="2916"/>
      <c r="N52" s="2751"/>
      <c r="O52" s="2751"/>
      <c r="P52" s="2751"/>
      <c r="Q52" s="2751"/>
      <c r="R52" s="2751"/>
    </row>
    <row r="53" spans="1:22" s="2654" customFormat="1">
      <c r="A53" s="2751"/>
      <c r="B53" s="2751"/>
      <c r="C53" s="2751"/>
      <c r="D53" s="2751"/>
      <c r="E53" s="2751"/>
      <c r="F53" s="241"/>
      <c r="G53" s="2751"/>
      <c r="H53" s="2751"/>
      <c r="I53" s="2751"/>
      <c r="J53" s="2917"/>
      <c r="K53" s="2916"/>
      <c r="L53" s="2916"/>
      <c r="M53" s="2916"/>
      <c r="N53" s="2751"/>
      <c r="O53" s="2751"/>
      <c r="P53" s="2751"/>
      <c r="Q53" s="2751"/>
      <c r="R53" s="2751"/>
    </row>
    <row r="54" spans="1:22" s="2654" customFormat="1">
      <c r="A54" s="2751"/>
      <c r="B54" s="2751"/>
      <c r="C54" s="2751"/>
      <c r="D54" s="2751"/>
      <c r="E54" s="2751"/>
      <c r="F54" s="241"/>
      <c r="G54" s="2751"/>
      <c r="H54" s="2751"/>
      <c r="I54" s="2751"/>
      <c r="J54" s="2917"/>
      <c r="K54" s="2916"/>
      <c r="L54" s="2916"/>
      <c r="M54" s="2916"/>
      <c r="N54" s="2751"/>
      <c r="O54" s="2751"/>
      <c r="P54" s="2751"/>
      <c r="Q54" s="2751"/>
      <c r="R54" s="2751"/>
    </row>
    <row r="55" spans="1:22" s="2654" customFormat="1">
      <c r="A55" s="2751"/>
      <c r="B55" s="2751"/>
      <c r="C55" s="2751"/>
      <c r="D55" s="2751"/>
      <c r="E55" s="2751"/>
      <c r="F55" s="241"/>
      <c r="G55" s="2751"/>
      <c r="H55" s="2751"/>
      <c r="I55" s="2751"/>
      <c r="J55" s="2917"/>
      <c r="K55" s="2916"/>
      <c r="L55" s="2916"/>
      <c r="M55" s="2916"/>
      <c r="N55" s="2751"/>
      <c r="O55" s="2751"/>
      <c r="P55" s="2751"/>
      <c r="Q55" s="2751"/>
      <c r="R55" s="2751"/>
    </row>
    <row r="56" spans="1:22" s="2654"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H25" sqref="H25"/>
    </sheetView>
  </sheetViews>
  <sheetFormatPr defaultColWidth="8.875" defaultRowHeight="14.25"/>
  <cols>
    <col min="1" max="1" width="10.625" style="2724" customWidth="1"/>
    <col min="2" max="2" width="11" style="2724" customWidth="1"/>
    <col min="3" max="3" width="10.375" style="2724" customWidth="1"/>
    <col min="4" max="4" width="9.125" style="2724" customWidth="1"/>
    <col min="5" max="8" width="10" style="2724" customWidth="1"/>
    <col min="9" max="9" width="10.625" style="2724" customWidth="1"/>
    <col min="10" max="10" width="9.5" style="2724" customWidth="1"/>
    <col min="11" max="11" width="11" style="2724" customWidth="1"/>
    <col min="12" max="14" width="9.5" style="2724" customWidth="1"/>
    <col min="15" max="15" width="9.875" style="2724" customWidth="1"/>
    <col min="16" max="16" width="9.75" style="2724" customWidth="1"/>
    <col min="17" max="17" width="9.375" style="2724" hidden="1" customWidth="1"/>
    <col min="18" max="18" width="9.25" style="2724" hidden="1" customWidth="1"/>
    <col min="19" max="19" width="10.875" style="2724" hidden="1" customWidth="1"/>
    <col min="20" max="21" width="10.75" style="2724" hidden="1" customWidth="1"/>
    <col min="22" max="22" width="10.875" style="2724" hidden="1" customWidth="1"/>
    <col min="23" max="27" width="10.75" style="2724" hidden="1" customWidth="1"/>
    <col min="28" max="28" width="10.875" style="2724" hidden="1" customWidth="1"/>
    <col min="29" max="29" width="11" style="2724" customWidth="1"/>
    <col min="30" max="30" width="10" style="2724" customWidth="1"/>
    <col min="31" max="31" width="9.75" style="2724" customWidth="1"/>
    <col min="32" max="46" width="9.5" style="2724" customWidth="1"/>
    <col min="47" max="47" width="18.125" style="2724" customWidth="1"/>
    <col min="48" max="50" width="9.75" style="2724" customWidth="1"/>
    <col min="51" max="55" width="10.5" style="2724" customWidth="1"/>
    <col min="56" max="56" width="9.5" style="2724" customWidth="1"/>
    <col min="57" max="63" width="9.125" style="2724" customWidth="1"/>
    <col min="64" max="64" width="9.5" style="2724" customWidth="1"/>
    <col min="65" max="65" width="9.125" style="2724" customWidth="1"/>
    <col min="66" max="66" width="9.5" style="2724" customWidth="1"/>
    <col min="67" max="69" width="9.125" style="2724" customWidth="1"/>
    <col min="70" max="70" width="9.5" style="2724" customWidth="1"/>
    <col min="71" max="71" width="9" style="2724" customWidth="1"/>
    <col min="72" max="72" width="9.125" style="2724" customWidth="1"/>
    <col min="73" max="16384" width="8.875" style="2724"/>
  </cols>
  <sheetData>
    <row r="1" spans="1:72" ht="20.25">
      <c r="A1" s="2217" t="s">
        <v>434</v>
      </c>
      <c r="B1" s="2725"/>
      <c r="C1" s="2725"/>
      <c r="D1" s="2725"/>
      <c r="E1" s="2725"/>
      <c r="F1" s="2725"/>
      <c r="G1" s="2725"/>
      <c r="H1" s="2725"/>
      <c r="I1" s="2725"/>
      <c r="J1" s="2725"/>
      <c r="K1" s="2725"/>
      <c r="L1" s="2725"/>
      <c r="M1" s="2725"/>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2725"/>
      <c r="AL1" s="2725"/>
      <c r="AM1" s="2725"/>
      <c r="AN1" s="2725"/>
      <c r="AO1" s="2725"/>
      <c r="AP1" s="2725"/>
      <c r="AQ1" s="2725"/>
      <c r="AR1" s="2725"/>
      <c r="AS1" s="2725"/>
      <c r="AT1" s="2725"/>
      <c r="AU1" s="2725"/>
      <c r="AV1" s="2775" t="s">
        <v>435</v>
      </c>
      <c r="AW1" s="2725"/>
      <c r="AX1" s="2725"/>
      <c r="AY1" s="2725"/>
      <c r="AZ1" s="2725"/>
      <c r="BA1" s="2725"/>
      <c r="BB1" s="2725"/>
      <c r="BC1" s="2725"/>
      <c r="BD1" s="2725"/>
      <c r="BE1" s="2725"/>
      <c r="BF1" s="2725"/>
      <c r="BG1" s="2725"/>
      <c r="BH1" s="2725"/>
      <c r="BI1" s="2725"/>
      <c r="BJ1" s="2725"/>
      <c r="BK1" s="2725"/>
      <c r="BL1" s="2725"/>
      <c r="BM1" s="2725"/>
      <c r="BN1" s="2725"/>
      <c r="BO1" s="2725"/>
      <c r="BP1" s="2725"/>
      <c r="BQ1" s="2725"/>
      <c r="BR1" s="2725"/>
      <c r="BS1" s="2725"/>
      <c r="BT1" s="2725"/>
    </row>
    <row r="2" spans="1:72" s="2721" customFormat="1" ht="24">
      <c r="A2" s="288" t="s">
        <v>366</v>
      </c>
      <c r="B2" s="288" t="s">
        <v>362</v>
      </c>
      <c r="C2" s="288" t="s">
        <v>436</v>
      </c>
      <c r="D2" s="2254"/>
      <c r="E2" s="2215"/>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783" t="s">
        <v>437</v>
      </c>
      <c r="AZ2" s="2784" t="s">
        <v>438</v>
      </c>
      <c r="BA2" s="288" t="s">
        <v>439</v>
      </c>
      <c r="BB2" s="2254"/>
      <c r="BC2" s="2254"/>
      <c r="BD2" s="2254"/>
      <c r="BE2" s="2254"/>
      <c r="BF2" s="2254"/>
      <c r="BG2" s="2254"/>
      <c r="BH2" s="2254"/>
      <c r="BI2" s="2254"/>
      <c r="BJ2" s="2254"/>
      <c r="BK2" s="2254"/>
      <c r="BL2" s="2254"/>
      <c r="BM2" s="2254"/>
      <c r="BN2" s="2254"/>
      <c r="BO2" s="2254"/>
      <c r="BP2" s="2254"/>
      <c r="BQ2" s="2254"/>
      <c r="BR2" s="2254"/>
      <c r="BS2" s="2254"/>
      <c r="BT2" s="2254"/>
    </row>
    <row r="3" spans="1:72" s="2721" customFormat="1" ht="12.75">
      <c r="A3" s="2726"/>
      <c r="B3" s="2727">
        <f>IF(C3="否",G5-AT5,G5)</f>
        <v>72308.930000000008</v>
      </c>
      <c r="C3" s="2728" t="s">
        <v>440</v>
      </c>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254"/>
      <c r="AJ3" s="2254"/>
      <c r="AK3" s="2254"/>
      <c r="AL3" s="2254"/>
      <c r="AM3" s="2254"/>
      <c r="AN3" s="2254"/>
      <c r="AO3" s="2254"/>
      <c r="AP3" s="2254"/>
      <c r="AQ3" s="2254"/>
      <c r="AR3" s="2254"/>
      <c r="AS3" s="2254"/>
      <c r="AT3" s="2254"/>
      <c r="AU3" s="2254"/>
      <c r="AV3" s="2254"/>
      <c r="AW3" s="2254"/>
      <c r="AX3" s="2254"/>
      <c r="AY3" s="2785"/>
      <c r="AZ3" s="241"/>
      <c r="BA3" s="2772"/>
      <c r="BB3" s="2254"/>
      <c r="BC3" s="2254"/>
      <c r="BD3" s="2254"/>
      <c r="BE3" s="2254"/>
      <c r="BF3" s="2254"/>
      <c r="BG3" s="2254"/>
      <c r="BH3" s="2254"/>
      <c r="BI3" s="2254"/>
      <c r="BJ3" s="2254"/>
      <c r="BK3" s="2254"/>
      <c r="BL3" s="2254"/>
      <c r="BM3" s="2254"/>
      <c r="BN3" s="2254"/>
      <c r="BO3" s="2254"/>
      <c r="BP3" s="2254"/>
      <c r="BQ3" s="2254"/>
      <c r="BR3" s="2254"/>
      <c r="BS3" s="2254"/>
      <c r="BT3" s="2254"/>
    </row>
    <row r="4" spans="1:72" s="2721" customFormat="1" ht="12.75">
      <c r="A4" s="2729"/>
      <c r="B4" s="2730"/>
      <c r="C4" s="2731"/>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4"/>
      <c r="AY4" s="2254"/>
      <c r="AZ4" s="2254"/>
      <c r="BA4" s="2786"/>
      <c r="BB4" s="2254"/>
      <c r="BC4" s="2254"/>
      <c r="BD4" s="2254"/>
      <c r="BE4" s="2254"/>
      <c r="BF4" s="2254"/>
      <c r="BG4" s="2254"/>
      <c r="BH4" s="2254"/>
      <c r="BI4" s="2254"/>
      <c r="BJ4" s="2254"/>
      <c r="BK4" s="2254"/>
      <c r="BL4" s="2254"/>
      <c r="BM4" s="2254"/>
      <c r="BN4" s="2254"/>
      <c r="BO4" s="2254"/>
      <c r="BP4" s="2254"/>
      <c r="BQ4" s="2254"/>
      <c r="BR4" s="2254"/>
      <c r="BS4" s="2254"/>
      <c r="BT4" s="2254"/>
    </row>
    <row r="5" spans="1:72" s="2721" customFormat="1" ht="12.75">
      <c r="A5" s="1785" t="s">
        <v>441</v>
      </c>
      <c r="B5" s="2140"/>
      <c r="C5" s="2140"/>
      <c r="D5" s="2265"/>
      <c r="E5" s="2732" t="s">
        <v>124</v>
      </c>
      <c r="F5" s="2732">
        <f>SUM(F13:F587)</f>
        <v>0</v>
      </c>
      <c r="G5" s="2732">
        <f>SUM(G13:G587)</f>
        <v>72308.930000000008</v>
      </c>
      <c r="H5" s="2732">
        <f t="shared" ref="H5:AT5" si="0">SUM(H13:H656)</f>
        <v>72308.930000000008</v>
      </c>
      <c r="I5" s="2732">
        <f t="shared" si="0"/>
        <v>56359.41</v>
      </c>
      <c r="J5" s="2732">
        <f t="shared" si="0"/>
        <v>0</v>
      </c>
      <c r="K5" s="2732">
        <f t="shared" si="0"/>
        <v>0</v>
      </c>
      <c r="L5" s="2732">
        <f t="shared" si="0"/>
        <v>0</v>
      </c>
      <c r="M5" s="2732">
        <f t="shared" si="0"/>
        <v>13611.27</v>
      </c>
      <c r="N5" s="2732">
        <f t="shared" si="0"/>
        <v>0</v>
      </c>
      <c r="O5" s="2732">
        <f t="shared" si="0"/>
        <v>2338.25</v>
      </c>
      <c r="P5" s="2732">
        <f t="shared" si="0"/>
        <v>0</v>
      </c>
      <c r="Q5" s="2732">
        <f t="shared" si="0"/>
        <v>0</v>
      </c>
      <c r="R5" s="2732">
        <f t="shared" si="0"/>
        <v>0</v>
      </c>
      <c r="S5" s="2732">
        <f t="shared" si="0"/>
        <v>0</v>
      </c>
      <c r="T5" s="2732">
        <f t="shared" si="0"/>
        <v>0</v>
      </c>
      <c r="U5" s="2732">
        <f t="shared" si="0"/>
        <v>0</v>
      </c>
      <c r="V5" s="2732">
        <f t="shared" si="0"/>
        <v>0</v>
      </c>
      <c r="W5" s="2732">
        <f t="shared" si="0"/>
        <v>0</v>
      </c>
      <c r="X5" s="2732">
        <f t="shared" si="0"/>
        <v>0</v>
      </c>
      <c r="Y5" s="2732">
        <f t="shared" si="0"/>
        <v>0</v>
      </c>
      <c r="Z5" s="2732">
        <f t="shared" si="0"/>
        <v>0</v>
      </c>
      <c r="AA5" s="2732">
        <f t="shared" si="0"/>
        <v>0</v>
      </c>
      <c r="AB5" s="2732">
        <f t="shared" si="0"/>
        <v>0</v>
      </c>
      <c r="AC5" s="2732">
        <f t="shared" si="0"/>
        <v>0</v>
      </c>
      <c r="AD5" s="2732">
        <f t="shared" si="0"/>
        <v>0</v>
      </c>
      <c r="AE5" s="2732">
        <f t="shared" si="0"/>
        <v>0</v>
      </c>
      <c r="AF5" s="2732">
        <f t="shared" si="0"/>
        <v>0</v>
      </c>
      <c r="AG5" s="2732">
        <f t="shared" si="0"/>
        <v>0</v>
      </c>
      <c r="AH5" s="2732">
        <f t="shared" si="0"/>
        <v>0</v>
      </c>
      <c r="AI5" s="2732">
        <f t="shared" si="0"/>
        <v>0</v>
      </c>
      <c r="AJ5" s="2732">
        <f t="shared" si="0"/>
        <v>0</v>
      </c>
      <c r="AK5" s="2732">
        <f t="shared" si="0"/>
        <v>0</v>
      </c>
      <c r="AL5" s="2732">
        <f t="shared" si="0"/>
        <v>0</v>
      </c>
      <c r="AM5" s="2732">
        <f t="shared" si="0"/>
        <v>0</v>
      </c>
      <c r="AN5" s="2732">
        <f t="shared" si="0"/>
        <v>0</v>
      </c>
      <c r="AO5" s="2732">
        <f t="shared" si="0"/>
        <v>0</v>
      </c>
      <c r="AP5" s="2732">
        <f t="shared" si="0"/>
        <v>0</v>
      </c>
      <c r="AQ5" s="2732">
        <f t="shared" si="0"/>
        <v>0</v>
      </c>
      <c r="AR5" s="2732">
        <f t="shared" si="0"/>
        <v>0</v>
      </c>
      <c r="AS5" s="2732">
        <f t="shared" si="0"/>
        <v>0</v>
      </c>
      <c r="AT5" s="2732">
        <f t="shared" si="0"/>
        <v>0</v>
      </c>
      <c r="AU5" s="2139"/>
      <c r="AV5" s="1785" t="s">
        <v>441</v>
      </c>
      <c r="AW5" s="2140"/>
      <c r="AX5" s="2140"/>
      <c r="AY5" s="237" t="s">
        <v>124</v>
      </c>
      <c r="AZ5" s="2787">
        <f t="shared" ref="AZ5:BT5" si="1">SUM(AZ13:AZ656)</f>
        <v>72308.930000000008</v>
      </c>
      <c r="BA5" s="2787">
        <f t="shared" si="1"/>
        <v>72308.930000000008</v>
      </c>
      <c r="BB5" s="2787">
        <f t="shared" si="1"/>
        <v>56359.41</v>
      </c>
      <c r="BC5" s="2787">
        <f t="shared" si="1"/>
        <v>0</v>
      </c>
      <c r="BD5" s="2787">
        <f t="shared" si="1"/>
        <v>13611.27</v>
      </c>
      <c r="BE5" s="2787">
        <f t="shared" si="1"/>
        <v>2338.25</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2" customFormat="1" ht="12.75">
      <c r="A6" s="1785" t="s">
        <v>442</v>
      </c>
      <c r="B6" s="2733"/>
      <c r="C6" s="2733"/>
      <c r="D6" s="2734"/>
      <c r="E6" s="2732">
        <f>H6+AC6+AT6</f>
        <v>0</v>
      </c>
      <c r="F6" s="2732" t="s">
        <v>124</v>
      </c>
      <c r="G6" s="2732" t="s">
        <v>124</v>
      </c>
      <c r="H6" s="2735">
        <f>SUMIF(I$12:AB$12,"总值",I6:AB6)</f>
        <v>0</v>
      </c>
      <c r="I6" s="2732">
        <f t="shared" ref="I6:AB6" si="2">ROUND($A$3*I5/$B$3,2)</f>
        <v>0</v>
      </c>
      <c r="J6" s="2732">
        <f t="shared" si="2"/>
        <v>0</v>
      </c>
      <c r="K6" s="2732">
        <f t="shared" si="2"/>
        <v>0</v>
      </c>
      <c r="L6" s="2732">
        <f t="shared" si="2"/>
        <v>0</v>
      </c>
      <c r="M6" s="2732">
        <f t="shared" si="2"/>
        <v>0</v>
      </c>
      <c r="N6" s="2732">
        <f t="shared" si="2"/>
        <v>0</v>
      </c>
      <c r="O6" s="2732">
        <f t="shared" si="2"/>
        <v>0</v>
      </c>
      <c r="P6" s="2732">
        <f t="shared" si="2"/>
        <v>0</v>
      </c>
      <c r="Q6" s="2732">
        <f t="shared" si="2"/>
        <v>0</v>
      </c>
      <c r="R6" s="2732">
        <f t="shared" si="2"/>
        <v>0</v>
      </c>
      <c r="S6" s="2732">
        <f t="shared" si="2"/>
        <v>0</v>
      </c>
      <c r="T6" s="2732">
        <f t="shared" si="2"/>
        <v>0</v>
      </c>
      <c r="U6" s="2732">
        <f t="shared" si="2"/>
        <v>0</v>
      </c>
      <c r="V6" s="2732">
        <f t="shared" si="2"/>
        <v>0</v>
      </c>
      <c r="W6" s="2732">
        <f t="shared" si="2"/>
        <v>0</v>
      </c>
      <c r="X6" s="2732">
        <f t="shared" si="2"/>
        <v>0</v>
      </c>
      <c r="Y6" s="2732">
        <f t="shared" si="2"/>
        <v>0</v>
      </c>
      <c r="Z6" s="2732">
        <f t="shared" si="2"/>
        <v>0</v>
      </c>
      <c r="AA6" s="2732">
        <f t="shared" si="2"/>
        <v>0</v>
      </c>
      <c r="AB6" s="2732">
        <f t="shared" si="2"/>
        <v>0</v>
      </c>
      <c r="AC6" s="2735">
        <f>SUMIF(AD$12:AS$12,"总值",AD6:AS6)</f>
        <v>0</v>
      </c>
      <c r="AD6" s="2732">
        <f t="shared" ref="AD6:AS6" si="3">ROUND($A$3*AD5/$B$3,2)</f>
        <v>0</v>
      </c>
      <c r="AE6" s="2732">
        <f t="shared" si="3"/>
        <v>0</v>
      </c>
      <c r="AF6" s="2732">
        <f t="shared" si="3"/>
        <v>0</v>
      </c>
      <c r="AG6" s="2732">
        <f t="shared" si="3"/>
        <v>0</v>
      </c>
      <c r="AH6" s="2732">
        <f t="shared" si="3"/>
        <v>0</v>
      </c>
      <c r="AI6" s="2732">
        <f t="shared" si="3"/>
        <v>0</v>
      </c>
      <c r="AJ6" s="2732">
        <f t="shared" si="3"/>
        <v>0</v>
      </c>
      <c r="AK6" s="2732">
        <f t="shared" si="3"/>
        <v>0</v>
      </c>
      <c r="AL6" s="2732">
        <f t="shared" si="3"/>
        <v>0</v>
      </c>
      <c r="AM6" s="2732">
        <f t="shared" si="3"/>
        <v>0</v>
      </c>
      <c r="AN6" s="2732">
        <f t="shared" si="3"/>
        <v>0</v>
      </c>
      <c r="AO6" s="2732">
        <f t="shared" si="3"/>
        <v>0</v>
      </c>
      <c r="AP6" s="2732">
        <f t="shared" si="3"/>
        <v>0</v>
      </c>
      <c r="AQ6" s="2732">
        <f t="shared" si="3"/>
        <v>0</v>
      </c>
      <c r="AR6" s="2732">
        <f t="shared" si="3"/>
        <v>0</v>
      </c>
      <c r="AS6" s="2732">
        <f t="shared" si="3"/>
        <v>0</v>
      </c>
      <c r="AT6" s="2735">
        <f>IF(C3="是",ROUND($A$3*AT5/$B$3,2),0)</f>
        <v>0</v>
      </c>
      <c r="AU6" s="2776"/>
      <c r="AV6" s="1785" t="s">
        <v>442</v>
      </c>
      <c r="AW6" s="2733"/>
      <c r="AX6" s="2733"/>
      <c r="AY6" s="2788">
        <f>IF(AY3&gt;0,AY3,ROUND($A$3*AZ5/$B$3,2))</f>
        <v>0</v>
      </c>
      <c r="AZ6" s="2732" t="s">
        <v>124</v>
      </c>
      <c r="BA6" s="2732">
        <f>ROUND($AY$6*BA5/$AZ$5,2)</f>
        <v>0</v>
      </c>
      <c r="BB6" s="2732">
        <f>ROUND($AY$6*BB5/$AZ$5,2)</f>
        <v>0</v>
      </c>
      <c r="BC6" s="2732">
        <f t="shared" ref="BC6:BH6" si="4">ROUND($AY$6*BC5/$AZ$5,2)</f>
        <v>0</v>
      </c>
      <c r="BD6" s="2732">
        <f t="shared" si="4"/>
        <v>0</v>
      </c>
      <c r="BE6" s="2732">
        <f t="shared" si="4"/>
        <v>0</v>
      </c>
      <c r="BF6" s="2732">
        <f t="shared" si="4"/>
        <v>0</v>
      </c>
      <c r="BG6" s="2732">
        <f t="shared" si="4"/>
        <v>0</v>
      </c>
      <c r="BH6" s="2732">
        <f t="shared" si="4"/>
        <v>0</v>
      </c>
      <c r="BI6" s="2732">
        <f t="shared" ref="BI6:BT6" si="5">ROUND($AY$6*BI5/$AZ$5,2)</f>
        <v>0</v>
      </c>
      <c r="BJ6" s="2732">
        <f t="shared" si="5"/>
        <v>0</v>
      </c>
      <c r="BK6" s="2732">
        <f t="shared" si="5"/>
        <v>0</v>
      </c>
      <c r="BL6" s="2732">
        <f t="shared" si="5"/>
        <v>0</v>
      </c>
      <c r="BM6" s="2732">
        <f t="shared" si="5"/>
        <v>0</v>
      </c>
      <c r="BN6" s="2732">
        <f t="shared" si="5"/>
        <v>0</v>
      </c>
      <c r="BO6" s="2732">
        <f t="shared" si="5"/>
        <v>0</v>
      </c>
      <c r="BP6" s="2732">
        <f t="shared" si="5"/>
        <v>0</v>
      </c>
      <c r="BQ6" s="2732">
        <f t="shared" si="5"/>
        <v>0</v>
      </c>
      <c r="BR6" s="2732">
        <f t="shared" si="5"/>
        <v>0</v>
      </c>
      <c r="BS6" s="2732">
        <f t="shared" si="5"/>
        <v>0</v>
      </c>
      <c r="BT6" s="2796">
        <f t="shared" si="5"/>
        <v>0</v>
      </c>
    </row>
    <row r="7" spans="1:72" s="2721" customFormat="1" ht="24.75">
      <c r="A7" s="2736" t="s">
        <v>443</v>
      </c>
      <c r="B7" s="2736" t="s">
        <v>444</v>
      </c>
      <c r="C7" s="2736" t="s">
        <v>417</v>
      </c>
      <c r="D7" s="2736" t="s">
        <v>445</v>
      </c>
      <c r="E7" s="2736" t="s">
        <v>442</v>
      </c>
      <c r="F7" s="2736" t="s">
        <v>446</v>
      </c>
      <c r="G7" s="2234" t="s">
        <v>447</v>
      </c>
      <c r="H7" s="2737"/>
      <c r="I7" s="2737"/>
      <c r="J7" s="2737"/>
      <c r="K7" s="2737"/>
      <c r="L7" s="2737"/>
      <c r="M7" s="2737"/>
      <c r="N7" s="2737"/>
      <c r="O7" s="2737"/>
      <c r="P7" s="2737"/>
      <c r="Q7" s="2737"/>
      <c r="R7" s="2737"/>
      <c r="S7" s="2737"/>
      <c r="T7" s="2737"/>
      <c r="U7" s="2737"/>
      <c r="V7" s="2737"/>
      <c r="W7" s="2737"/>
      <c r="X7" s="2737"/>
      <c r="Y7" s="2737"/>
      <c r="Z7" s="2737"/>
      <c r="AA7" s="2737"/>
      <c r="AB7" s="2737"/>
      <c r="AC7" s="2737"/>
      <c r="AD7" s="2737"/>
      <c r="AE7" s="2737"/>
      <c r="AF7" s="2737"/>
      <c r="AG7" s="2737"/>
      <c r="AH7" s="2737"/>
      <c r="AI7" s="2737"/>
      <c r="AJ7" s="2737"/>
      <c r="AK7" s="2737"/>
      <c r="AL7" s="2737"/>
      <c r="AM7" s="2737"/>
      <c r="AN7" s="2737"/>
      <c r="AO7" s="2737"/>
      <c r="AP7" s="2737"/>
      <c r="AQ7" s="2737"/>
      <c r="AR7" s="2737"/>
      <c r="AS7" s="2737"/>
      <c r="AT7" s="2265"/>
      <c r="AU7" s="2737" t="s">
        <v>448</v>
      </c>
      <c r="AV7" s="2777" t="s">
        <v>443</v>
      </c>
      <c r="AW7" s="2254" t="s">
        <v>444</v>
      </c>
      <c r="AX7" s="2777" t="s">
        <v>417</v>
      </c>
      <c r="AY7" s="2140" t="s">
        <v>449</v>
      </c>
      <c r="AZ7" s="2768"/>
      <c r="BA7" s="2737"/>
      <c r="BB7" s="2737"/>
      <c r="BC7" s="2737"/>
      <c r="BD7" s="2737"/>
      <c r="BE7" s="2737"/>
      <c r="BF7" s="2737"/>
      <c r="BG7" s="2737"/>
      <c r="BH7" s="2737"/>
      <c r="BI7" s="2737"/>
      <c r="BJ7" s="2737"/>
      <c r="BK7" s="2737"/>
      <c r="BL7" s="2737"/>
      <c r="BM7" s="2737"/>
      <c r="BN7" s="2737"/>
      <c r="BO7" s="2737"/>
      <c r="BP7" s="2737"/>
      <c r="BQ7" s="2737"/>
      <c r="BR7" s="2737"/>
      <c r="BS7" s="2737"/>
      <c r="BT7" s="2797"/>
    </row>
    <row r="8" spans="1:72" s="2478" customFormat="1" ht="24">
      <c r="A8" s="2738"/>
      <c r="B8" s="2738"/>
      <c r="C8" s="2738"/>
      <c r="D8" s="2738"/>
      <c r="E8" s="2738"/>
      <c r="F8" s="2738"/>
      <c r="G8" s="2739" t="s">
        <v>450</v>
      </c>
      <c r="H8" s="2740" t="s">
        <v>451</v>
      </c>
      <c r="I8" s="2757"/>
      <c r="J8" s="287"/>
      <c r="K8" s="287"/>
      <c r="L8" s="287"/>
      <c r="M8" s="287"/>
      <c r="N8" s="287"/>
      <c r="O8" s="287"/>
      <c r="P8" s="287"/>
      <c r="Q8" s="287"/>
      <c r="R8" s="287"/>
      <c r="S8" s="287"/>
      <c r="T8" s="287"/>
      <c r="U8" s="287"/>
      <c r="V8" s="2764"/>
      <c r="W8" s="287"/>
      <c r="X8" s="287"/>
      <c r="Y8" s="287"/>
      <c r="Z8" s="287"/>
      <c r="AA8" s="2764"/>
      <c r="AB8" s="2766"/>
      <c r="AC8" s="2043" t="s">
        <v>452</v>
      </c>
      <c r="AD8" s="2767"/>
      <c r="AE8" s="2768"/>
      <c r="AF8" s="287"/>
      <c r="AG8" s="287"/>
      <c r="AH8" s="287"/>
      <c r="AI8" s="287"/>
      <c r="AJ8" s="287"/>
      <c r="AK8" s="287"/>
      <c r="AL8" s="287"/>
      <c r="AM8" s="287"/>
      <c r="AN8" s="287"/>
      <c r="AO8" s="287"/>
      <c r="AP8" s="287"/>
      <c r="AQ8" s="287"/>
      <c r="AR8" s="287"/>
      <c r="AS8" s="287"/>
      <c r="AT8" s="1629" t="s">
        <v>453</v>
      </c>
      <c r="AU8" s="2738" t="s">
        <v>454</v>
      </c>
      <c r="AV8" s="1629"/>
      <c r="AW8" s="2215"/>
      <c r="AX8" s="1629"/>
      <c r="AY8" s="2254" t="s">
        <v>442</v>
      </c>
      <c r="AZ8" s="286" t="s">
        <v>362</v>
      </c>
      <c r="BA8" s="287"/>
      <c r="BB8" s="287"/>
      <c r="BC8" s="287"/>
      <c r="BD8" s="287"/>
      <c r="BE8" s="287"/>
      <c r="BF8" s="287"/>
      <c r="BG8" s="287"/>
      <c r="BH8" s="287"/>
      <c r="BI8" s="287"/>
      <c r="BJ8" s="287"/>
      <c r="BK8" s="287"/>
      <c r="BL8" s="287"/>
      <c r="BM8" s="287"/>
      <c r="BN8" s="287"/>
      <c r="BO8" s="287"/>
      <c r="BP8" s="287"/>
      <c r="BQ8" s="287"/>
      <c r="BR8" s="287"/>
      <c r="BS8" s="287"/>
      <c r="BT8" s="1675"/>
    </row>
    <row r="9" spans="1:72" s="2478" customFormat="1" ht="12.75">
      <c r="A9" s="2738"/>
      <c r="B9" s="2738"/>
      <c r="C9" s="2738"/>
      <c r="D9" s="2738"/>
      <c r="E9" s="2738"/>
      <c r="F9" s="2738"/>
      <c r="G9" s="1629"/>
      <c r="H9" s="2741" t="s">
        <v>455</v>
      </c>
      <c r="I9" s="2758" t="s">
        <v>456</v>
      </c>
      <c r="J9" s="2043"/>
      <c r="K9" s="2758" t="s">
        <v>457</v>
      </c>
      <c r="L9" s="2043"/>
      <c r="M9" s="2758" t="s">
        <v>457</v>
      </c>
      <c r="N9" s="2043"/>
      <c r="O9" s="2758" t="s">
        <v>456</v>
      </c>
      <c r="P9" s="2043"/>
      <c r="Q9" s="2758"/>
      <c r="R9" s="2043"/>
      <c r="S9" s="2758"/>
      <c r="T9" s="2043"/>
      <c r="U9" s="2758"/>
      <c r="V9" s="2043"/>
      <c r="W9" s="2758"/>
      <c r="X9" s="2765"/>
      <c r="Y9" s="2758"/>
      <c r="Z9" s="2043"/>
      <c r="AA9" s="2758"/>
      <c r="AB9" s="2043"/>
      <c r="AC9" s="2739" t="s">
        <v>455</v>
      </c>
      <c r="AD9" s="1785" t="s">
        <v>458</v>
      </c>
      <c r="AE9" s="1641"/>
      <c r="AF9" s="1785" t="s">
        <v>459</v>
      </c>
      <c r="AG9" s="1641"/>
      <c r="AH9" s="1785" t="s">
        <v>458</v>
      </c>
      <c r="AI9" s="1641"/>
      <c r="AJ9" s="1785" t="s">
        <v>459</v>
      </c>
      <c r="AK9" s="1641"/>
      <c r="AL9" s="1785" t="s">
        <v>458</v>
      </c>
      <c r="AM9" s="1641"/>
      <c r="AN9" s="1785" t="s">
        <v>459</v>
      </c>
      <c r="AO9" s="1641"/>
      <c r="AP9" s="1785" t="s">
        <v>458</v>
      </c>
      <c r="AQ9" s="1641"/>
      <c r="AR9" s="1785" t="s">
        <v>459</v>
      </c>
      <c r="AS9" s="2778"/>
      <c r="AT9" s="2738"/>
      <c r="AU9" s="2738" t="s">
        <v>460</v>
      </c>
      <c r="AV9" s="1629"/>
      <c r="AW9" s="2215"/>
      <c r="AX9" s="1629"/>
      <c r="AY9" s="2742"/>
      <c r="AZ9" s="2742" t="s">
        <v>450</v>
      </c>
      <c r="BA9" s="2789" t="s">
        <v>461</v>
      </c>
      <c r="BB9" s="2790"/>
      <c r="BC9" s="1686"/>
      <c r="BD9" s="1686"/>
      <c r="BE9" s="1686"/>
      <c r="BF9" s="1686"/>
      <c r="BG9" s="1686"/>
      <c r="BH9" s="1686"/>
      <c r="BI9" s="1686"/>
      <c r="BJ9" s="1686"/>
      <c r="BK9" s="2794"/>
      <c r="BL9" s="1785" t="s">
        <v>462</v>
      </c>
      <c r="BM9" s="287"/>
      <c r="BN9" s="2757"/>
      <c r="BO9" s="287"/>
      <c r="BP9" s="287"/>
      <c r="BQ9" s="287"/>
      <c r="BR9" s="287"/>
      <c r="BS9" s="287"/>
      <c r="BT9" s="1675"/>
    </row>
    <row r="10" spans="1:72" s="2478" customFormat="1" ht="12.75">
      <c r="A10" s="2738"/>
      <c r="B10" s="2738"/>
      <c r="C10" s="2738"/>
      <c r="D10" s="2738"/>
      <c r="E10" s="2738"/>
      <c r="F10" s="2738"/>
      <c r="G10" s="1629"/>
      <c r="H10" s="2742"/>
      <c r="I10" s="2758" t="s">
        <v>463</v>
      </c>
      <c r="J10" s="2043"/>
      <c r="K10" s="2759" t="s">
        <v>464</v>
      </c>
      <c r="L10" s="2043"/>
      <c r="M10" s="2759" t="s">
        <v>465</v>
      </c>
      <c r="N10" s="2043"/>
      <c r="O10" s="2758" t="s">
        <v>466</v>
      </c>
      <c r="P10" s="2043"/>
      <c r="Q10" s="2759"/>
      <c r="R10" s="2043"/>
      <c r="S10" s="2759"/>
      <c r="T10" s="2043"/>
      <c r="U10" s="2759"/>
      <c r="V10" s="2043"/>
      <c r="W10" s="2759"/>
      <c r="X10" s="2043"/>
      <c r="Y10" s="2759"/>
      <c r="Z10" s="2043"/>
      <c r="AA10" s="2759"/>
      <c r="AB10" s="2043"/>
      <c r="AC10" s="1629"/>
      <c r="AD10" s="1785" t="s">
        <v>467</v>
      </c>
      <c r="AE10" s="2769"/>
      <c r="AF10" s="1785" t="s">
        <v>467</v>
      </c>
      <c r="AG10" s="2769"/>
      <c r="AH10" s="1785" t="s">
        <v>468</v>
      </c>
      <c r="AI10" s="2769"/>
      <c r="AJ10" s="1785" t="s">
        <v>468</v>
      </c>
      <c r="AK10" s="2769"/>
      <c r="AL10" s="1785" t="s">
        <v>469</v>
      </c>
      <c r="AM10" s="1641"/>
      <c r="AN10" s="1785" t="s">
        <v>469</v>
      </c>
      <c r="AO10" s="1641"/>
      <c r="AP10" s="1785" t="s">
        <v>470</v>
      </c>
      <c r="AQ10" s="1641"/>
      <c r="AR10" s="1785" t="s">
        <v>470</v>
      </c>
      <c r="AS10" s="1641"/>
      <c r="AT10" s="2738"/>
      <c r="AU10" s="2738"/>
      <c r="AV10" s="1629"/>
      <c r="AW10" s="2215"/>
      <c r="AX10" s="1629"/>
      <c r="AY10" s="2742"/>
      <c r="AZ10" s="2742"/>
      <c r="BA10" s="2743" t="s">
        <v>455</v>
      </c>
      <c r="BB10" s="2791" t="str">
        <f>I9</f>
        <v>地上</v>
      </c>
      <c r="BC10" s="1698" t="str">
        <f>K9</f>
        <v>地下</v>
      </c>
      <c r="BD10" s="1698" t="str">
        <f>M9</f>
        <v>地下</v>
      </c>
      <c r="BE10" s="1698" t="str">
        <f>O9</f>
        <v>地上</v>
      </c>
      <c r="BF10" s="1698">
        <f>Q9</f>
        <v>0</v>
      </c>
      <c r="BG10" s="1698">
        <f>S9</f>
        <v>0</v>
      </c>
      <c r="BH10" s="1698">
        <f>U9</f>
        <v>0</v>
      </c>
      <c r="BI10" s="1698">
        <f>W9</f>
        <v>0</v>
      </c>
      <c r="BJ10" s="1698">
        <f>Y9</f>
        <v>0</v>
      </c>
      <c r="BK10" s="1698">
        <f>AA9</f>
        <v>0</v>
      </c>
      <c r="BL10" s="1694" t="s">
        <v>455</v>
      </c>
      <c r="BM10" s="286" t="str">
        <f>AD9</f>
        <v>地上</v>
      </c>
      <c r="BN10" s="1698" t="str">
        <f>AF9</f>
        <v>地下</v>
      </c>
      <c r="BO10" s="286" t="str">
        <f>AH9</f>
        <v>地上</v>
      </c>
      <c r="BP10" s="1698" t="str">
        <f>AJ9</f>
        <v>地下</v>
      </c>
      <c r="BQ10" s="286" t="str">
        <f>AL9</f>
        <v>地上</v>
      </c>
      <c r="BR10" s="1698" t="str">
        <f>AN9</f>
        <v>地下</v>
      </c>
      <c r="BS10" s="286" t="str">
        <f>AP9</f>
        <v>地上</v>
      </c>
      <c r="BT10" s="2798" t="str">
        <f>AR9</f>
        <v>地下</v>
      </c>
    </row>
    <row r="11" spans="1:72" s="2478" customFormat="1" ht="12.75">
      <c r="A11" s="2738"/>
      <c r="B11" s="2738"/>
      <c r="C11" s="2738"/>
      <c r="D11" s="2738"/>
      <c r="E11" s="2738"/>
      <c r="F11" s="2738"/>
      <c r="G11" s="1629"/>
      <c r="H11" s="2743"/>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29"/>
      <c r="AD11" s="2770" t="s">
        <v>473</v>
      </c>
      <c r="AE11" s="339"/>
      <c r="AF11" s="2770" t="s">
        <v>473</v>
      </c>
      <c r="AG11" s="339"/>
      <c r="AH11" s="2770" t="s">
        <v>474</v>
      </c>
      <c r="AI11" s="2774"/>
      <c r="AJ11" s="2770" t="s">
        <v>474</v>
      </c>
      <c r="AK11" s="339"/>
      <c r="AL11" s="286"/>
      <c r="AM11" s="339"/>
      <c r="AN11" s="286"/>
      <c r="AO11" s="339"/>
      <c r="AP11" s="286"/>
      <c r="AQ11" s="339"/>
      <c r="AR11" s="286"/>
      <c r="AS11" s="339"/>
      <c r="AT11" s="2215"/>
      <c r="AU11" s="2738"/>
      <c r="AV11" s="1629"/>
      <c r="AW11" s="2215"/>
      <c r="AX11" s="1629"/>
      <c r="AY11" s="2742"/>
      <c r="AZ11" s="2742"/>
      <c r="BA11" s="2742"/>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29"/>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4" t="str">
        <f>AP10</f>
        <v>未注明</v>
      </c>
      <c r="BT11" s="2799" t="str">
        <f>AR10</f>
        <v>未注明</v>
      </c>
    </row>
    <row r="12" spans="1:72" s="2721" customFormat="1" ht="12.75">
      <c r="A12" s="2744"/>
      <c r="B12" s="2744"/>
      <c r="C12" s="2744"/>
      <c r="D12" s="2744"/>
      <c r="E12" s="2744"/>
      <c r="F12" s="2744"/>
      <c r="G12" s="599"/>
      <c r="H12" s="2745"/>
      <c r="I12" s="2265"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39" t="s">
        <v>476</v>
      </c>
      <c r="W12" s="288" t="s">
        <v>475</v>
      </c>
      <c r="X12" s="288" t="s">
        <v>476</v>
      </c>
      <c r="Y12" s="288" t="s">
        <v>475</v>
      </c>
      <c r="Z12" s="288" t="s">
        <v>476</v>
      </c>
      <c r="AA12" s="288" t="s">
        <v>475</v>
      </c>
      <c r="AB12" s="288" t="s">
        <v>476</v>
      </c>
      <c r="AC12" s="2771"/>
      <c r="AD12" s="2265"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599" t="s">
        <v>475</v>
      </c>
      <c r="AS12" s="2744" t="s">
        <v>476</v>
      </c>
      <c r="AT12" s="2779"/>
      <c r="AU12" s="2744"/>
      <c r="AV12" s="2780"/>
      <c r="AW12" s="2254"/>
      <c r="AX12" s="2780"/>
      <c r="AY12" s="2792"/>
      <c r="AZ12" s="2742"/>
      <c r="BA12" s="2743"/>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29"/>
      <c r="BM12" s="286" t="str">
        <f>AD11</f>
        <v>（住宅）</v>
      </c>
      <c r="BN12" s="286" t="str">
        <f>AF11</f>
        <v>（住宅）</v>
      </c>
      <c r="BO12" s="285" t="str">
        <f>AH11</f>
        <v>（住宅、计出让金）</v>
      </c>
      <c r="BP12" s="285" t="str">
        <f>AJ11</f>
        <v>（住宅、计出让金）</v>
      </c>
      <c r="BQ12" s="285">
        <f>AL11</f>
        <v>0</v>
      </c>
      <c r="BR12" s="285">
        <f>AN11</f>
        <v>0</v>
      </c>
      <c r="BS12" s="1694">
        <f>AP11</f>
        <v>0</v>
      </c>
      <c r="BT12" s="2799">
        <f>AR11</f>
        <v>0</v>
      </c>
    </row>
    <row r="13" spans="1:72" s="2721" customFormat="1" ht="12.75">
      <c r="A13" s="241">
        <v>142581.63</v>
      </c>
      <c r="B13" s="241"/>
      <c r="C13" s="2746" t="s">
        <v>477</v>
      </c>
      <c r="D13" s="2747" t="s">
        <v>3007</v>
      </c>
      <c r="E13" s="2732">
        <f>IF($C$3="是",ROUND($A$3*G13/$B$3,2),ROUND($A$3*(G13-AT13)/$B$3,2))</f>
        <v>0</v>
      </c>
      <c r="F13" s="2748"/>
      <c r="G13" s="2749">
        <f>H13+AC13+AT13</f>
        <v>0</v>
      </c>
      <c r="H13" s="2735">
        <f>SUMIF(I$12:AB$12,"总值",I13:AB13)</f>
        <v>0</v>
      </c>
      <c r="I13" s="2762"/>
      <c r="J13" s="2762"/>
      <c r="K13" s="2762"/>
      <c r="L13" s="2762"/>
      <c r="M13" s="2762"/>
      <c r="N13" s="2762"/>
      <c r="O13" s="2762"/>
      <c r="P13" s="2762"/>
      <c r="Q13" s="2762"/>
      <c r="R13" s="2762"/>
      <c r="S13" s="2762"/>
      <c r="T13" s="2762"/>
      <c r="U13" s="2762"/>
      <c r="V13" s="2762"/>
      <c r="W13" s="2762"/>
      <c r="X13" s="2762"/>
      <c r="Y13" s="2762"/>
      <c r="Z13" s="2762"/>
      <c r="AA13" s="2762"/>
      <c r="AB13" s="2762"/>
      <c r="AC13" s="2732">
        <f>SUMIF(AD$12:AS$12,"总值",AD13:AS13)</f>
        <v>0</v>
      </c>
      <c r="AD13" s="2772"/>
      <c r="AE13" s="2772"/>
      <c r="AF13" s="2772"/>
      <c r="AG13" s="2772"/>
      <c r="AH13" s="2772"/>
      <c r="AI13" s="2772"/>
      <c r="AJ13" s="2772"/>
      <c r="AK13" s="2772"/>
      <c r="AL13" s="2772"/>
      <c r="AM13" s="2772"/>
      <c r="AN13" s="2772"/>
      <c r="AO13" s="2772"/>
      <c r="AP13" s="2772"/>
      <c r="AQ13" s="2772"/>
      <c r="AR13" s="2772"/>
      <c r="AS13" s="2772"/>
      <c r="AT13" s="2748"/>
      <c r="AU13" s="2781"/>
      <c r="AV13" s="288">
        <f t="shared" ref="AV13:AX17" si="6">A13</f>
        <v>142581.63</v>
      </c>
      <c r="AW13" s="288">
        <f t="shared" si="6"/>
        <v>0</v>
      </c>
      <c r="AX13" s="288" t="str">
        <f t="shared" si="6"/>
        <v>A地块</v>
      </c>
      <c r="AY13" s="2265">
        <f>ROUND($AY$6*AZ13/$AZ$5,2)</f>
        <v>0</v>
      </c>
      <c r="AZ13" s="2732">
        <f>BA13+BL13</f>
        <v>0</v>
      </c>
      <c r="BA13" s="2732">
        <f>SUM(BB13:BK13)</f>
        <v>0</v>
      </c>
      <c r="BB13" s="2732">
        <f>IF($D13="是",I13-J13,0)</f>
        <v>0</v>
      </c>
      <c r="BC13" s="2732">
        <f>IF($D13="是",K13-L13,0)</f>
        <v>0</v>
      </c>
      <c r="BD13" s="2732">
        <f>IF($D13="是",M13-N13,0)</f>
        <v>0</v>
      </c>
      <c r="BE13" s="2732">
        <f>IF($D13="是",O13-P13,0)</f>
        <v>0</v>
      </c>
      <c r="BF13" s="2732">
        <f>IF($D13="是",Q13-R13,0)</f>
        <v>0</v>
      </c>
      <c r="BG13" s="2732">
        <f>IF($D13="是",S13-T13,0)</f>
        <v>0</v>
      </c>
      <c r="BH13" s="2732">
        <f>IF($D13="是",U13-V13,0)</f>
        <v>0</v>
      </c>
      <c r="BI13" s="2732">
        <f>IF($D13="是",W13-X13,0)</f>
        <v>0</v>
      </c>
      <c r="BJ13" s="2732">
        <f>IF($D13="是",Y13-Z13,0)</f>
        <v>0</v>
      </c>
      <c r="BK13" s="2732">
        <f>IF($D13="是",AA13-AB13,0)</f>
        <v>0</v>
      </c>
      <c r="BL13" s="2732">
        <f>SUM(BM13:BT13)</f>
        <v>0</v>
      </c>
      <c r="BM13" s="2732">
        <f>IF($D13="是",AD13-AE13,0)</f>
        <v>0</v>
      </c>
      <c r="BN13" s="2732">
        <f>IF($D13="是",AF13-AG13,0)</f>
        <v>0</v>
      </c>
      <c r="BO13" s="2732">
        <f>IF($D13="是",AH13-AI13,0)</f>
        <v>0</v>
      </c>
      <c r="BP13" s="2732">
        <f>IF($D13="是",AJ13-AK13,0)</f>
        <v>0</v>
      </c>
      <c r="BQ13" s="2732">
        <f>IF($D13="是",AL13-AM13,0)</f>
        <v>0</v>
      </c>
      <c r="BR13" s="2732">
        <f>IF($D13="是",AN13-AO13,0)</f>
        <v>0</v>
      </c>
      <c r="BS13" s="2732">
        <f>IF($D13="是",AP13-AQ13,0)</f>
        <v>0</v>
      </c>
      <c r="BT13" s="2796">
        <f>IF($D13="是",AR13-AS13,0)</f>
        <v>0</v>
      </c>
    </row>
    <row r="14" spans="1:72" s="2721" customFormat="1" ht="15">
      <c r="A14" s="2750">
        <v>444563.4</v>
      </c>
      <c r="B14" s="241"/>
      <c r="C14" s="2751" t="s">
        <v>478</v>
      </c>
      <c r="D14" s="2747" t="s">
        <v>3007</v>
      </c>
      <c r="E14" s="2732">
        <f>IF($C$3="是",ROUND($A$3*G14/$B$3,2),ROUND($A$3*(G14-AT14)/$B$3,2))</f>
        <v>0</v>
      </c>
      <c r="F14" s="2748"/>
      <c r="G14" s="2749">
        <f>H14+AC14+AT14</f>
        <v>0</v>
      </c>
      <c r="H14" s="2735">
        <f>SUMIF(I$12:AB$12,"总值",I14:AB14)</f>
        <v>0</v>
      </c>
      <c r="I14" s="2762"/>
      <c r="J14" s="2762"/>
      <c r="K14" s="2762"/>
      <c r="L14" s="2762"/>
      <c r="M14" s="2762"/>
      <c r="N14" s="2762"/>
      <c r="O14" s="2762"/>
      <c r="P14" s="2762"/>
      <c r="Q14" s="2762"/>
      <c r="R14" s="2762"/>
      <c r="S14" s="2762"/>
      <c r="T14" s="2762"/>
      <c r="U14" s="2762"/>
      <c r="V14" s="2762"/>
      <c r="W14" s="2762"/>
      <c r="X14" s="2762"/>
      <c r="Y14" s="2762"/>
      <c r="Z14" s="2762"/>
      <c r="AA14" s="2762"/>
      <c r="AB14" s="2762"/>
      <c r="AC14" s="2732">
        <f>SUMIF(AD$12:AS$12,"总值",AD14:AS14)</f>
        <v>0</v>
      </c>
      <c r="AD14" s="2772"/>
      <c r="AE14" s="2772"/>
      <c r="AF14" s="2772"/>
      <c r="AG14" s="2772"/>
      <c r="AH14" s="2772"/>
      <c r="AI14" s="2772"/>
      <c r="AJ14" s="2772"/>
      <c r="AK14" s="2772"/>
      <c r="AL14" s="2772"/>
      <c r="AM14" s="2772"/>
      <c r="AN14" s="2772"/>
      <c r="AO14" s="2772"/>
      <c r="AP14" s="2772"/>
      <c r="AQ14" s="2772"/>
      <c r="AR14" s="2772"/>
      <c r="AS14" s="2772"/>
      <c r="AT14" s="2748"/>
      <c r="AU14" s="2781"/>
      <c r="AV14" s="288">
        <f t="shared" si="6"/>
        <v>444563.4</v>
      </c>
      <c r="AW14" s="288">
        <f t="shared" si="6"/>
        <v>0</v>
      </c>
      <c r="AX14" s="288" t="str">
        <f t="shared" si="6"/>
        <v>B地块</v>
      </c>
      <c r="AY14" s="2265">
        <f>ROUND($AY$6*AZ14/$AZ$5,2)</f>
        <v>0</v>
      </c>
      <c r="AZ14" s="2732">
        <f>BA14+BL14</f>
        <v>0</v>
      </c>
      <c r="BA14" s="2732">
        <f>SUM(BB14:BK14)</f>
        <v>0</v>
      </c>
      <c r="BB14" s="2732">
        <f>IF($D14="是",I14-J14,0)</f>
        <v>0</v>
      </c>
      <c r="BC14" s="2732">
        <f>IF($D14="是",K14-L14,0)</f>
        <v>0</v>
      </c>
      <c r="BD14" s="2732">
        <f>IF($D14="是",M14-N14,0)</f>
        <v>0</v>
      </c>
      <c r="BE14" s="2732">
        <f>IF($D14="是",O14-P14,0)</f>
        <v>0</v>
      </c>
      <c r="BF14" s="2732">
        <f>IF($D14="是",Q14-R14,0)</f>
        <v>0</v>
      </c>
      <c r="BG14" s="2732">
        <f>IF($D14="是",S14-T14,0)</f>
        <v>0</v>
      </c>
      <c r="BH14" s="2732">
        <f>IF($D14="是",U14-V14,0)</f>
        <v>0</v>
      </c>
      <c r="BI14" s="2732">
        <f>IF($D14="是",W14-X14,0)</f>
        <v>0</v>
      </c>
      <c r="BJ14" s="2732">
        <f>IF($D14="是",Y14-Z14,0)</f>
        <v>0</v>
      </c>
      <c r="BK14" s="2732">
        <f>IF($D14="是",AA14-AB14,0)</f>
        <v>0</v>
      </c>
      <c r="BL14" s="2732">
        <f>SUM(BM14:BT14)</f>
        <v>0</v>
      </c>
      <c r="BM14" s="2732">
        <f>IF($D14="是",AD14-AE14,0)</f>
        <v>0</v>
      </c>
      <c r="BN14" s="2732">
        <f>IF($D14="是",AF14-AG14,0)</f>
        <v>0</v>
      </c>
      <c r="BO14" s="2732">
        <f>IF($D14="是",AH14-AI14,0)</f>
        <v>0</v>
      </c>
      <c r="BP14" s="2732">
        <f>IF($D14="是",AJ14-AK14,0)</f>
        <v>0</v>
      </c>
      <c r="BQ14" s="2732">
        <f>IF($D14="是",AL14-AM14,0)</f>
        <v>0</v>
      </c>
      <c r="BR14" s="2732">
        <f>IF($D14="是",AN14-AO14,0)</f>
        <v>0</v>
      </c>
      <c r="BS14" s="2732">
        <f>IF($D14="是",AP14-AQ14,0)</f>
        <v>0</v>
      </c>
      <c r="BT14" s="2796">
        <f>IF($D14="是",AR14-AS14,0)</f>
        <v>0</v>
      </c>
    </row>
    <row r="15" spans="1:72" s="2721" customFormat="1" ht="12.75">
      <c r="A15" s="241">
        <f>B3/A14*A13</f>
        <v>23191.124377211214</v>
      </c>
      <c r="B15" s="241"/>
      <c r="C15" s="2751" t="s">
        <v>479</v>
      </c>
      <c r="D15" s="2747" t="s">
        <v>370</v>
      </c>
      <c r="E15" s="2732">
        <f>IF($C$3="是",ROUND($A$3*G15/$B$3,2),ROUND($A$3*(G15-AT15)/$B$3,2))</f>
        <v>0</v>
      </c>
      <c r="F15" s="2748"/>
      <c r="G15" s="2749">
        <f>H15+AC15+AT15</f>
        <v>72308.930000000008</v>
      </c>
      <c r="H15" s="2735">
        <f>SUMIF(I$12:AB$12,"总值",I15:AB15)</f>
        <v>72308.930000000008</v>
      </c>
      <c r="I15" s="2762">
        <f>工程进度!G20</f>
        <v>56359.41</v>
      </c>
      <c r="J15" s="2762"/>
      <c r="K15" s="2762"/>
      <c r="L15" s="2762"/>
      <c r="M15" s="2762">
        <f>工程进度!J20</f>
        <v>13611.27</v>
      </c>
      <c r="N15" s="2762"/>
      <c r="O15" s="2762">
        <f>工程进度!H20</f>
        <v>2338.25</v>
      </c>
      <c r="P15" s="2762"/>
      <c r="Q15" s="2762"/>
      <c r="R15" s="2762"/>
      <c r="S15" s="2762"/>
      <c r="T15" s="2762"/>
      <c r="U15" s="2762"/>
      <c r="V15" s="2762"/>
      <c r="W15" s="2762"/>
      <c r="X15" s="2762"/>
      <c r="Y15" s="2762"/>
      <c r="Z15" s="2762"/>
      <c r="AA15" s="2762"/>
      <c r="AB15" s="2762"/>
      <c r="AC15" s="2732">
        <f>SUMIF(AD$12:AS$12,"总值",AD15:AS15)</f>
        <v>0</v>
      </c>
      <c r="AD15" s="2772"/>
      <c r="AE15" s="2772"/>
      <c r="AF15" s="2772"/>
      <c r="AG15" s="2772"/>
      <c r="AH15" s="2772"/>
      <c r="AI15" s="2772"/>
      <c r="AJ15" s="2772"/>
      <c r="AK15" s="2772"/>
      <c r="AL15" s="2772"/>
      <c r="AM15" s="2772"/>
      <c r="AN15" s="2772"/>
      <c r="AO15" s="2772"/>
      <c r="AP15" s="2772"/>
      <c r="AQ15" s="2772"/>
      <c r="AR15" s="2772"/>
      <c r="AS15" s="2772"/>
      <c r="AT15" s="2748"/>
      <c r="AU15" s="2781"/>
      <c r="AV15" s="288">
        <f t="shared" si="6"/>
        <v>23191.124377211214</v>
      </c>
      <c r="AW15" s="288">
        <f t="shared" si="6"/>
        <v>0</v>
      </c>
      <c r="AX15" s="288" t="str">
        <f t="shared" si="6"/>
        <v>C地块</v>
      </c>
      <c r="AY15" s="2265">
        <f>ROUND($AY$6*AZ15/$AZ$5,2)</f>
        <v>0</v>
      </c>
      <c r="AZ15" s="2732">
        <f>BA15+BL15</f>
        <v>72308.930000000008</v>
      </c>
      <c r="BA15" s="2732">
        <f>SUM(BB15:BK15)</f>
        <v>72308.930000000008</v>
      </c>
      <c r="BB15" s="2732">
        <f>IF($D15="是",I15-J15,0)</f>
        <v>56359.41</v>
      </c>
      <c r="BC15" s="2732">
        <f>IF($D15="是",K15-L15,0)</f>
        <v>0</v>
      </c>
      <c r="BD15" s="2732">
        <f>IF($D15="是",M15-N15,0)</f>
        <v>13611.27</v>
      </c>
      <c r="BE15" s="2732">
        <f>IF($D15="是",O15-P15,0)</f>
        <v>2338.25</v>
      </c>
      <c r="BF15" s="2732">
        <f>IF($D15="是",Q15-R15,0)</f>
        <v>0</v>
      </c>
      <c r="BG15" s="2732">
        <f>IF($D15="是",S15-T15,0)</f>
        <v>0</v>
      </c>
      <c r="BH15" s="2732">
        <f>IF($D15="是",U15-V15,0)</f>
        <v>0</v>
      </c>
      <c r="BI15" s="2732">
        <f>IF($D15="是",W15-X15,0)</f>
        <v>0</v>
      </c>
      <c r="BJ15" s="2732">
        <f>IF($D15="是",Y15-Z15,0)</f>
        <v>0</v>
      </c>
      <c r="BK15" s="2732">
        <f>IF($D15="是",AA15-AB15,0)</f>
        <v>0</v>
      </c>
      <c r="BL15" s="2732">
        <f>SUM(BM15:BT15)</f>
        <v>0</v>
      </c>
      <c r="BM15" s="2732">
        <f>IF($D15="是",AD15-AE15,0)</f>
        <v>0</v>
      </c>
      <c r="BN15" s="2732">
        <f>IF($D15="是",AF15-AG15,0)</f>
        <v>0</v>
      </c>
      <c r="BO15" s="2732">
        <f>IF($D15="是",AH15-AI15,0)</f>
        <v>0</v>
      </c>
      <c r="BP15" s="2732">
        <f>IF($D15="是",AJ15-AK15,0)</f>
        <v>0</v>
      </c>
      <c r="BQ15" s="2732">
        <f>IF($D15="是",AL15-AM15,0)</f>
        <v>0</v>
      </c>
      <c r="BR15" s="2732">
        <f>IF($D15="是",AN15-AO15,0)</f>
        <v>0</v>
      </c>
      <c r="BS15" s="2732">
        <f>IF($D15="是",AP15-AQ15,0)</f>
        <v>0</v>
      </c>
      <c r="BT15" s="2796">
        <f>IF($D15="是",AR15-AS15,0)</f>
        <v>0</v>
      </c>
    </row>
    <row r="16" spans="1:72" s="2721" customFormat="1" ht="12.75">
      <c r="A16" s="241"/>
      <c r="B16" s="241"/>
      <c r="C16" s="2751"/>
      <c r="D16" s="2747"/>
      <c r="E16" s="2732">
        <f>IF($C$3="是",ROUND($A$3*G16/$B$3,2),ROUND($A$3*(G16-AT16)/$B$3,2))</f>
        <v>0</v>
      </c>
      <c r="F16" s="2748"/>
      <c r="G16" s="2749">
        <f>H16+AC16+AT16</f>
        <v>0</v>
      </c>
      <c r="H16" s="2735">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2">
        <f>SUMIF(AD$12:AS$12,"总值",AD16:AS16)</f>
        <v>0</v>
      </c>
      <c r="AD16" s="2772"/>
      <c r="AE16" s="2772"/>
      <c r="AF16" s="2772"/>
      <c r="AG16" s="2772"/>
      <c r="AH16" s="2772"/>
      <c r="AI16" s="2772"/>
      <c r="AJ16" s="2772"/>
      <c r="AK16" s="2772"/>
      <c r="AL16" s="2772"/>
      <c r="AM16" s="2772"/>
      <c r="AN16" s="2772"/>
      <c r="AO16" s="2772"/>
      <c r="AP16" s="2772"/>
      <c r="AQ16" s="2772"/>
      <c r="AR16" s="2772"/>
      <c r="AS16" s="2772"/>
      <c r="AT16" s="2748"/>
      <c r="AU16" s="2781"/>
      <c r="AV16" s="288">
        <f t="shared" si="6"/>
        <v>0</v>
      </c>
      <c r="AW16" s="288">
        <f t="shared" si="6"/>
        <v>0</v>
      </c>
      <c r="AX16" s="288">
        <f t="shared" si="6"/>
        <v>0</v>
      </c>
      <c r="AY16" s="2265">
        <f>ROUND($AY$6*AZ16/$AZ$5,2)</f>
        <v>0</v>
      </c>
      <c r="AZ16" s="2732">
        <f>BA16+BL16</f>
        <v>0</v>
      </c>
      <c r="BA16" s="2732">
        <f>SUM(BB16:BK16)</f>
        <v>0</v>
      </c>
      <c r="BB16" s="2732">
        <f>IF($D16="是",I16-J16,0)</f>
        <v>0</v>
      </c>
      <c r="BC16" s="2732">
        <f>IF($D16="是",K16-L16,0)</f>
        <v>0</v>
      </c>
      <c r="BD16" s="2732">
        <f>IF($D16="是",M16-N16,0)</f>
        <v>0</v>
      </c>
      <c r="BE16" s="2732">
        <f>IF($D16="是",O16-P16,0)</f>
        <v>0</v>
      </c>
      <c r="BF16" s="2732">
        <f>IF($D16="是",Q16-R16,0)</f>
        <v>0</v>
      </c>
      <c r="BG16" s="2732">
        <f>IF($D16="是",S16-T16,0)</f>
        <v>0</v>
      </c>
      <c r="BH16" s="2732">
        <f>IF($D16="是",U16-V16,0)</f>
        <v>0</v>
      </c>
      <c r="BI16" s="2732">
        <f>IF($D16="是",W16-X16,0)</f>
        <v>0</v>
      </c>
      <c r="BJ16" s="2732">
        <f>IF($D16="是",Y16-Z16,0)</f>
        <v>0</v>
      </c>
      <c r="BK16" s="2732">
        <f>IF($D16="是",AA16-AB16,0)</f>
        <v>0</v>
      </c>
      <c r="BL16" s="2732">
        <f>SUM(BM16:BT16)</f>
        <v>0</v>
      </c>
      <c r="BM16" s="2732">
        <f>IF($D16="是",AD16-AE16,0)</f>
        <v>0</v>
      </c>
      <c r="BN16" s="2732">
        <f>IF($D16="是",AF16-AG16,0)</f>
        <v>0</v>
      </c>
      <c r="BO16" s="2732">
        <f>IF($D16="是",AH16-AI16,0)</f>
        <v>0</v>
      </c>
      <c r="BP16" s="2732">
        <f>IF($D16="是",AJ16-AK16,0)</f>
        <v>0</v>
      </c>
      <c r="BQ16" s="2732">
        <f>IF($D16="是",AL16-AM16,0)</f>
        <v>0</v>
      </c>
      <c r="BR16" s="2732">
        <f>IF($D16="是",AN16-AO16,0)</f>
        <v>0</v>
      </c>
      <c r="BS16" s="2732">
        <f>IF($D16="是",AP16-AQ16,0)</f>
        <v>0</v>
      </c>
      <c r="BT16" s="2796">
        <f>IF($D16="是",AR16-AS16,0)</f>
        <v>0</v>
      </c>
    </row>
    <row r="17" spans="1:72" s="2721" customFormat="1" ht="12.75">
      <c r="A17" s="241"/>
      <c r="B17" s="241"/>
      <c r="C17" s="2751"/>
      <c r="D17" s="2747"/>
      <c r="E17" s="2732">
        <f>IF($C$3="是",ROUND($A$3*G17/$B$3,2),ROUND($A$3*(G17-AT17)/$B$3,2))</f>
        <v>0</v>
      </c>
      <c r="F17" s="2748"/>
      <c r="G17" s="2749">
        <f>H17+AC17+AT17</f>
        <v>0</v>
      </c>
      <c r="H17" s="2735">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2">
        <f>SUMIF(AD$12:AS$12,"总值",AD17:AS17)</f>
        <v>0</v>
      </c>
      <c r="AD17" s="2772"/>
      <c r="AE17" s="2772"/>
      <c r="AF17" s="2772"/>
      <c r="AG17" s="2772"/>
      <c r="AH17" s="2772"/>
      <c r="AI17" s="2772"/>
      <c r="AJ17" s="2772"/>
      <c r="AK17" s="2772"/>
      <c r="AL17" s="2772"/>
      <c r="AM17" s="2772"/>
      <c r="AN17" s="2772"/>
      <c r="AO17" s="2772"/>
      <c r="AP17" s="2772"/>
      <c r="AQ17" s="2772"/>
      <c r="AR17" s="2772"/>
      <c r="AS17" s="2772"/>
      <c r="AT17" s="2748"/>
      <c r="AU17" s="2781"/>
      <c r="AV17" s="288">
        <f t="shared" si="6"/>
        <v>0</v>
      </c>
      <c r="AW17" s="288">
        <f t="shared" si="6"/>
        <v>0</v>
      </c>
      <c r="AX17" s="288">
        <f t="shared" si="6"/>
        <v>0</v>
      </c>
      <c r="AY17" s="2265">
        <f>ROUND($AY$6*AZ17/$AZ$5,2)</f>
        <v>0</v>
      </c>
      <c r="AZ17" s="2732">
        <f>BA17+BL17</f>
        <v>0</v>
      </c>
      <c r="BA17" s="2732">
        <f>SUM(BB17:BK17)</f>
        <v>0</v>
      </c>
      <c r="BB17" s="2732">
        <f>IF($D17="是",I17-J17,0)</f>
        <v>0</v>
      </c>
      <c r="BC17" s="2732">
        <f>IF($D17="是",K17-L17,0)</f>
        <v>0</v>
      </c>
      <c r="BD17" s="2732">
        <f>IF($D17="是",M17-N17,0)</f>
        <v>0</v>
      </c>
      <c r="BE17" s="2732">
        <f>IF($D17="是",O17-P17,0)</f>
        <v>0</v>
      </c>
      <c r="BF17" s="2732">
        <f>IF($D17="是",Q17-R17,0)</f>
        <v>0</v>
      </c>
      <c r="BG17" s="2732">
        <f>IF($D17="是",S17-T17,0)</f>
        <v>0</v>
      </c>
      <c r="BH17" s="2732">
        <f>IF($D17="是",U17-V17,0)</f>
        <v>0</v>
      </c>
      <c r="BI17" s="2732">
        <f>IF($D17="是",W17-X17,0)</f>
        <v>0</v>
      </c>
      <c r="BJ17" s="2732">
        <f>IF($D17="是",Y17-Z17,0)</f>
        <v>0</v>
      </c>
      <c r="BK17" s="2732">
        <f>IF($D17="是",AA17-AB17,0)</f>
        <v>0</v>
      </c>
      <c r="BL17" s="2732">
        <f>SUM(BM17:BT17)</f>
        <v>0</v>
      </c>
      <c r="BM17" s="2732">
        <f>IF($D17="是",AD17-AE17,0)</f>
        <v>0</v>
      </c>
      <c r="BN17" s="2732">
        <f>IF($D17="是",AF17-AG17,0)</f>
        <v>0</v>
      </c>
      <c r="BO17" s="2732">
        <f>IF($D17="是",AH17-AI17,0)</f>
        <v>0</v>
      </c>
      <c r="BP17" s="2732">
        <f>IF($D17="是",AJ17-AK17,0)</f>
        <v>0</v>
      </c>
      <c r="BQ17" s="2732">
        <f>IF($D17="是",AL17-AM17,0)</f>
        <v>0</v>
      </c>
      <c r="BR17" s="2732">
        <f>IF($D17="是",AN17-AO17,0)</f>
        <v>0</v>
      </c>
      <c r="BS17" s="2732">
        <f>IF($D17="是",AP17-AQ17,0)</f>
        <v>0</v>
      </c>
      <c r="BT17" s="2796">
        <f>IF($D17="是",AR17-AS17,0)</f>
        <v>0</v>
      </c>
    </row>
    <row r="18" spans="1:72">
      <c r="A18" s="1090"/>
      <c r="B18" s="1098"/>
      <c r="C18" s="1098"/>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5">
        <f t="shared" ref="AV18:AV112" si="11">A18</f>
        <v>0</v>
      </c>
      <c r="AW18" s="795">
        <f t="shared" ref="AW18:AW112" si="12">B18</f>
        <v>0</v>
      </c>
      <c r="AX18" s="795">
        <f t="shared" ref="AX18:AX112" si="13">C18</f>
        <v>0</v>
      </c>
      <c r="AY18" s="1025">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0"/>
      <c r="B19" s="1098"/>
      <c r="C19" s="1098"/>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5">
        <f t="shared" si="11"/>
        <v>0</v>
      </c>
      <c r="AW19" s="795">
        <f t="shared" si="12"/>
        <v>0</v>
      </c>
      <c r="AX19" s="795">
        <f t="shared" si="13"/>
        <v>0</v>
      </c>
      <c r="AY19" s="1025">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0"/>
      <c r="B20" s="1098"/>
      <c r="C20" s="1098"/>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5">
        <f t="shared" si="11"/>
        <v>0</v>
      </c>
      <c r="AW20" s="795">
        <f t="shared" si="12"/>
        <v>0</v>
      </c>
      <c r="AX20" s="795">
        <f t="shared" si="13"/>
        <v>0</v>
      </c>
      <c r="AY20" s="1025">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0"/>
      <c r="B21" s="1098"/>
      <c r="C21" s="1098"/>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5">
        <f t="shared" si="11"/>
        <v>0</v>
      </c>
      <c r="AW21" s="795">
        <f t="shared" si="12"/>
        <v>0</v>
      </c>
      <c r="AX21" s="795">
        <f t="shared" si="13"/>
        <v>0</v>
      </c>
      <c r="AY21" s="1025">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0"/>
      <c r="B22" s="1098"/>
      <c r="C22" s="1098"/>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5">
        <f t="shared" si="11"/>
        <v>0</v>
      </c>
      <c r="AW22" s="795">
        <f t="shared" si="12"/>
        <v>0</v>
      </c>
      <c r="AX22" s="795">
        <f t="shared" si="13"/>
        <v>0</v>
      </c>
      <c r="AY22" s="1025">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0"/>
      <c r="B23" s="1098"/>
      <c r="C23" s="1098"/>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5">
        <f t="shared" si="11"/>
        <v>0</v>
      </c>
      <c r="AW23" s="795">
        <f t="shared" si="12"/>
        <v>0</v>
      </c>
      <c r="AX23" s="795">
        <f t="shared" si="13"/>
        <v>0</v>
      </c>
      <c r="AY23" s="1025">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0"/>
      <c r="B24" s="1098"/>
      <c r="C24" s="1098"/>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5">
        <f t="shared" si="11"/>
        <v>0</v>
      </c>
      <c r="AW24" s="795">
        <f t="shared" si="12"/>
        <v>0</v>
      </c>
      <c r="AX24" s="795">
        <f t="shared" si="13"/>
        <v>0</v>
      </c>
      <c r="AY24" s="1025">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0"/>
      <c r="B25" s="1098"/>
      <c r="C25" s="1098"/>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5">
        <f t="shared" si="11"/>
        <v>0</v>
      </c>
      <c r="AW25" s="795">
        <f t="shared" si="12"/>
        <v>0</v>
      </c>
      <c r="AX25" s="795">
        <f t="shared" si="13"/>
        <v>0</v>
      </c>
      <c r="AY25" s="1025">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0"/>
      <c r="B26" s="1098"/>
      <c r="C26" s="1098"/>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5">
        <f t="shared" si="11"/>
        <v>0</v>
      </c>
      <c r="AW26" s="795">
        <f t="shared" si="12"/>
        <v>0</v>
      </c>
      <c r="AX26" s="795">
        <f t="shared" si="13"/>
        <v>0</v>
      </c>
      <c r="AY26" s="1025">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0"/>
      <c r="B27" s="1098"/>
      <c r="C27" s="1098"/>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5">
        <f t="shared" si="11"/>
        <v>0</v>
      </c>
      <c r="AW27" s="795">
        <f t="shared" si="12"/>
        <v>0</v>
      </c>
      <c r="AX27" s="795">
        <f t="shared" si="13"/>
        <v>0</v>
      </c>
      <c r="AY27" s="1025">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0"/>
      <c r="B28" s="1098"/>
      <c r="C28" s="1098"/>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5">
        <f t="shared" si="11"/>
        <v>0</v>
      </c>
      <c r="AW28" s="795">
        <f t="shared" si="12"/>
        <v>0</v>
      </c>
      <c r="AX28" s="795">
        <f t="shared" si="13"/>
        <v>0</v>
      </c>
      <c r="AY28" s="1025">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0"/>
      <c r="B29" s="1098"/>
      <c r="C29" s="1098"/>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5">
        <f t="shared" si="11"/>
        <v>0</v>
      </c>
      <c r="AW29" s="795">
        <f t="shared" si="12"/>
        <v>0</v>
      </c>
      <c r="AX29" s="795">
        <f t="shared" si="13"/>
        <v>0</v>
      </c>
      <c r="AY29" s="1025">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0"/>
      <c r="B30" s="1098"/>
      <c r="C30" s="1098"/>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5">
        <f t="shared" si="11"/>
        <v>0</v>
      </c>
      <c r="AW30" s="795">
        <f t="shared" si="12"/>
        <v>0</v>
      </c>
      <c r="AX30" s="795">
        <f t="shared" si="13"/>
        <v>0</v>
      </c>
      <c r="AY30" s="1025">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0"/>
      <c r="B31" s="1098"/>
      <c r="C31" s="1098"/>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5">
        <f t="shared" si="11"/>
        <v>0</v>
      </c>
      <c r="AW31" s="795">
        <f t="shared" si="12"/>
        <v>0</v>
      </c>
      <c r="AX31" s="795">
        <f t="shared" si="13"/>
        <v>0</v>
      </c>
      <c r="AY31" s="1025">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0"/>
      <c r="B32" s="1098"/>
      <c r="C32" s="1098"/>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5">
        <f t="shared" si="11"/>
        <v>0</v>
      </c>
      <c r="AW32" s="795">
        <f t="shared" si="12"/>
        <v>0</v>
      </c>
      <c r="AX32" s="795">
        <f t="shared" si="13"/>
        <v>0</v>
      </c>
      <c r="AY32" s="1025">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0"/>
      <c r="B33" s="1098"/>
      <c r="C33" s="1098"/>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5">
        <f t="shared" si="11"/>
        <v>0</v>
      </c>
      <c r="AW33" s="795">
        <f t="shared" si="12"/>
        <v>0</v>
      </c>
      <c r="AX33" s="795">
        <f t="shared" si="13"/>
        <v>0</v>
      </c>
      <c r="AY33" s="1025">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0"/>
      <c r="B34" s="1098"/>
      <c r="C34" s="1098"/>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5">
        <f t="shared" si="11"/>
        <v>0</v>
      </c>
      <c r="AW34" s="795">
        <f t="shared" si="12"/>
        <v>0</v>
      </c>
      <c r="AX34" s="795">
        <f t="shared" si="13"/>
        <v>0</v>
      </c>
      <c r="AY34" s="1025">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0"/>
      <c r="B35" s="1098"/>
      <c r="C35" s="1098"/>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5">
        <f t="shared" si="11"/>
        <v>0</v>
      </c>
      <c r="AW35" s="795">
        <f t="shared" si="12"/>
        <v>0</v>
      </c>
      <c r="AX35" s="795">
        <f t="shared" si="13"/>
        <v>0</v>
      </c>
      <c r="AY35" s="1025">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0"/>
      <c r="B36" s="1098"/>
      <c r="C36" s="1098"/>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5">
        <f t="shared" si="11"/>
        <v>0</v>
      </c>
      <c r="AW36" s="795">
        <f t="shared" si="12"/>
        <v>0</v>
      </c>
      <c r="AX36" s="795">
        <f t="shared" si="13"/>
        <v>0</v>
      </c>
      <c r="AY36" s="1025">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0"/>
      <c r="B37" s="1098"/>
      <c r="C37" s="1098"/>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5">
        <f t="shared" si="11"/>
        <v>0</v>
      </c>
      <c r="AW37" s="795">
        <f t="shared" si="12"/>
        <v>0</v>
      </c>
      <c r="AX37" s="795">
        <f t="shared" si="13"/>
        <v>0</v>
      </c>
      <c r="AY37" s="1025">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0"/>
      <c r="B38" s="1098"/>
      <c r="C38" s="1098"/>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5">
        <f t="shared" si="11"/>
        <v>0</v>
      </c>
      <c r="AW38" s="795">
        <f t="shared" si="12"/>
        <v>0</v>
      </c>
      <c r="AX38" s="795">
        <f t="shared" si="13"/>
        <v>0</v>
      </c>
      <c r="AY38" s="1025">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0"/>
      <c r="B39" s="1098"/>
      <c r="C39" s="1098"/>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5">
        <f t="shared" si="11"/>
        <v>0</v>
      </c>
      <c r="AW39" s="795">
        <f t="shared" si="12"/>
        <v>0</v>
      </c>
      <c r="AX39" s="795">
        <f t="shared" si="13"/>
        <v>0</v>
      </c>
      <c r="AY39" s="1025">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0"/>
      <c r="B40" s="1098"/>
      <c r="C40" s="1098"/>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5">
        <f t="shared" si="11"/>
        <v>0</v>
      </c>
      <c r="AW40" s="795">
        <f t="shared" si="12"/>
        <v>0</v>
      </c>
      <c r="AX40" s="795">
        <f t="shared" si="13"/>
        <v>0</v>
      </c>
      <c r="AY40" s="1025">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0"/>
      <c r="B41" s="1098"/>
      <c r="C41" s="1098"/>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5">
        <f t="shared" si="11"/>
        <v>0</v>
      </c>
      <c r="AW41" s="795">
        <f t="shared" si="12"/>
        <v>0</v>
      </c>
      <c r="AX41" s="795">
        <f t="shared" si="13"/>
        <v>0</v>
      </c>
      <c r="AY41" s="1025">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0"/>
      <c r="B42" s="1098"/>
      <c r="C42" s="1098"/>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5">
        <f t="shared" si="11"/>
        <v>0</v>
      </c>
      <c r="AW42" s="795">
        <f t="shared" si="12"/>
        <v>0</v>
      </c>
      <c r="AX42" s="795">
        <f t="shared" si="13"/>
        <v>0</v>
      </c>
      <c r="AY42" s="1025">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0"/>
      <c r="B43" s="1098"/>
      <c r="C43" s="1098"/>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5">
        <f t="shared" si="11"/>
        <v>0</v>
      </c>
      <c r="AW43" s="795">
        <f t="shared" si="12"/>
        <v>0</v>
      </c>
      <c r="AX43" s="795">
        <f t="shared" si="13"/>
        <v>0</v>
      </c>
      <c r="AY43" s="1025">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0"/>
      <c r="B44" s="1098"/>
      <c r="C44" s="1098"/>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5">
        <f t="shared" si="11"/>
        <v>0</v>
      </c>
      <c r="AW44" s="795">
        <f t="shared" si="12"/>
        <v>0</v>
      </c>
      <c r="AX44" s="795">
        <f t="shared" si="13"/>
        <v>0</v>
      </c>
      <c r="AY44" s="1025">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0"/>
      <c r="B45" s="1098"/>
      <c r="C45" s="1098"/>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5">
        <f t="shared" si="11"/>
        <v>0</v>
      </c>
      <c r="AW45" s="795">
        <f t="shared" si="12"/>
        <v>0</v>
      </c>
      <c r="AX45" s="795">
        <f t="shared" si="13"/>
        <v>0</v>
      </c>
      <c r="AY45" s="1025">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0"/>
      <c r="B46" s="1098"/>
      <c r="C46" s="1098"/>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5">
        <f t="shared" si="11"/>
        <v>0</v>
      </c>
      <c r="AW46" s="795">
        <f t="shared" si="12"/>
        <v>0</v>
      </c>
      <c r="AX46" s="795">
        <f t="shared" si="13"/>
        <v>0</v>
      </c>
      <c r="AY46" s="1025">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0"/>
      <c r="B47" s="1098"/>
      <c r="C47" s="1098"/>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5">
        <f t="shared" si="11"/>
        <v>0</v>
      </c>
      <c r="AW47" s="795">
        <f t="shared" si="12"/>
        <v>0</v>
      </c>
      <c r="AX47" s="795">
        <f t="shared" si="13"/>
        <v>0</v>
      </c>
      <c r="AY47" s="1025">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0"/>
      <c r="B48" s="1098"/>
      <c r="C48" s="1098"/>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5">
        <f t="shared" si="11"/>
        <v>0</v>
      </c>
      <c r="AW48" s="795">
        <f t="shared" si="12"/>
        <v>0</v>
      </c>
      <c r="AX48" s="795">
        <f t="shared" si="13"/>
        <v>0</v>
      </c>
      <c r="AY48" s="1025">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0"/>
      <c r="B49" s="1098"/>
      <c r="C49" s="1098"/>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5">
        <f t="shared" si="11"/>
        <v>0</v>
      </c>
      <c r="AW49" s="795">
        <f t="shared" si="12"/>
        <v>0</v>
      </c>
      <c r="AX49" s="795">
        <f t="shared" si="13"/>
        <v>0</v>
      </c>
      <c r="AY49" s="1025">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0"/>
      <c r="B50" s="1098"/>
      <c r="C50" s="1098"/>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5">
        <f t="shared" si="11"/>
        <v>0</v>
      </c>
      <c r="AW50" s="795">
        <f t="shared" si="12"/>
        <v>0</v>
      </c>
      <c r="AX50" s="795">
        <f t="shared" si="13"/>
        <v>0</v>
      </c>
      <c r="AY50" s="1025">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0"/>
      <c r="B51" s="1098"/>
      <c r="C51" s="1098"/>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5">
        <f t="shared" si="11"/>
        <v>0</v>
      </c>
      <c r="AW51" s="795">
        <f t="shared" si="12"/>
        <v>0</v>
      </c>
      <c r="AX51" s="795">
        <f t="shared" si="13"/>
        <v>0</v>
      </c>
      <c r="AY51" s="1025">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0"/>
      <c r="B52" s="1098"/>
      <c r="C52" s="1098"/>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5">
        <f t="shared" si="11"/>
        <v>0</v>
      </c>
      <c r="AW52" s="795">
        <f t="shared" si="12"/>
        <v>0</v>
      </c>
      <c r="AX52" s="795">
        <f t="shared" si="13"/>
        <v>0</v>
      </c>
      <c r="AY52" s="1025">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0"/>
      <c r="B53" s="1098"/>
      <c r="C53" s="1098"/>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5">
        <f t="shared" si="11"/>
        <v>0</v>
      </c>
      <c r="AW53" s="795">
        <f t="shared" si="12"/>
        <v>0</v>
      </c>
      <c r="AX53" s="795">
        <f t="shared" si="13"/>
        <v>0</v>
      </c>
      <c r="AY53" s="1025">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0"/>
      <c r="B54" s="1098"/>
      <c r="C54" s="1098"/>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5">
        <f t="shared" si="11"/>
        <v>0</v>
      </c>
      <c r="AW54" s="795">
        <f t="shared" si="12"/>
        <v>0</v>
      </c>
      <c r="AX54" s="795">
        <f t="shared" si="13"/>
        <v>0</v>
      </c>
      <c r="AY54" s="1025">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0"/>
      <c r="B55" s="1098"/>
      <c r="C55" s="1098"/>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5">
        <f t="shared" si="11"/>
        <v>0</v>
      </c>
      <c r="AW55" s="795">
        <f t="shared" si="12"/>
        <v>0</v>
      </c>
      <c r="AX55" s="795">
        <f t="shared" si="13"/>
        <v>0</v>
      </c>
      <c r="AY55" s="1025">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0"/>
      <c r="B56" s="1098"/>
      <c r="C56" s="1098"/>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5">
        <f t="shared" si="11"/>
        <v>0</v>
      </c>
      <c r="AW56" s="795">
        <f t="shared" si="12"/>
        <v>0</v>
      </c>
      <c r="AX56" s="795">
        <f t="shared" si="13"/>
        <v>0</v>
      </c>
      <c r="AY56" s="1025">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0"/>
      <c r="B57" s="1098"/>
      <c r="C57" s="1098"/>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5">
        <f t="shared" si="11"/>
        <v>0</v>
      </c>
      <c r="AW57" s="795">
        <f t="shared" si="12"/>
        <v>0</v>
      </c>
      <c r="AX57" s="795">
        <f t="shared" si="13"/>
        <v>0</v>
      </c>
      <c r="AY57" s="1025">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0"/>
      <c r="B58" s="1098"/>
      <c r="C58" s="1098"/>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5">
        <f t="shared" si="11"/>
        <v>0</v>
      </c>
      <c r="AW58" s="795">
        <f t="shared" si="12"/>
        <v>0</v>
      </c>
      <c r="AX58" s="795">
        <f t="shared" si="13"/>
        <v>0</v>
      </c>
      <c r="AY58" s="1025">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0"/>
      <c r="B59" s="1098"/>
      <c r="C59" s="1098"/>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5">
        <f t="shared" si="11"/>
        <v>0</v>
      </c>
      <c r="AW59" s="795">
        <f t="shared" si="12"/>
        <v>0</v>
      </c>
      <c r="AX59" s="795">
        <f t="shared" si="13"/>
        <v>0</v>
      </c>
      <c r="AY59" s="1025">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0"/>
      <c r="B60" s="1098"/>
      <c r="C60" s="1098"/>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5">
        <f t="shared" si="11"/>
        <v>0</v>
      </c>
      <c r="AW60" s="795">
        <f t="shared" si="12"/>
        <v>0</v>
      </c>
      <c r="AX60" s="795">
        <f t="shared" si="13"/>
        <v>0</v>
      </c>
      <c r="AY60" s="1025">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0"/>
      <c r="B61" s="1098"/>
      <c r="C61" s="1098"/>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5">
        <f t="shared" si="11"/>
        <v>0</v>
      </c>
      <c r="AW61" s="795">
        <f t="shared" si="12"/>
        <v>0</v>
      </c>
      <c r="AX61" s="795">
        <f t="shared" si="13"/>
        <v>0</v>
      </c>
      <c r="AY61" s="1025">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0"/>
      <c r="B62" s="1098"/>
      <c r="C62" s="1098"/>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5">
        <f t="shared" si="11"/>
        <v>0</v>
      </c>
      <c r="AW62" s="795">
        <f t="shared" si="12"/>
        <v>0</v>
      </c>
      <c r="AX62" s="795">
        <f t="shared" si="13"/>
        <v>0</v>
      </c>
      <c r="AY62" s="1025">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0"/>
      <c r="B63" s="1098"/>
      <c r="C63" s="1098"/>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5">
        <f t="shared" si="11"/>
        <v>0</v>
      </c>
      <c r="AW63" s="795">
        <f t="shared" si="12"/>
        <v>0</v>
      </c>
      <c r="AX63" s="795">
        <f t="shared" si="13"/>
        <v>0</v>
      </c>
      <c r="AY63" s="1025">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0"/>
      <c r="B64" s="1098"/>
      <c r="C64" s="1098"/>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5">
        <f t="shared" si="11"/>
        <v>0</v>
      </c>
      <c r="AW64" s="795">
        <f t="shared" si="12"/>
        <v>0</v>
      </c>
      <c r="AX64" s="795">
        <f t="shared" si="13"/>
        <v>0</v>
      </c>
      <c r="AY64" s="1025">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0"/>
      <c r="B65" s="1098"/>
      <c r="C65" s="1098"/>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5">
        <f t="shared" si="11"/>
        <v>0</v>
      </c>
      <c r="AW65" s="795">
        <f t="shared" si="12"/>
        <v>0</v>
      </c>
      <c r="AX65" s="795">
        <f t="shared" si="13"/>
        <v>0</v>
      </c>
      <c r="AY65" s="1025">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0"/>
      <c r="B66" s="1098"/>
      <c r="C66" s="1098"/>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5">
        <f t="shared" si="11"/>
        <v>0</v>
      </c>
      <c r="AW66" s="795">
        <f t="shared" si="12"/>
        <v>0</v>
      </c>
      <c r="AX66" s="795">
        <f t="shared" si="13"/>
        <v>0</v>
      </c>
      <c r="AY66" s="1025">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0"/>
      <c r="B67" s="1098"/>
      <c r="C67" s="1098"/>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5">
        <f t="shared" si="11"/>
        <v>0</v>
      </c>
      <c r="AW67" s="795">
        <f t="shared" si="12"/>
        <v>0</v>
      </c>
      <c r="AX67" s="795">
        <f t="shared" si="13"/>
        <v>0</v>
      </c>
      <c r="AY67" s="1025">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0"/>
      <c r="B68" s="1098"/>
      <c r="C68" s="1098"/>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5">
        <f t="shared" si="11"/>
        <v>0</v>
      </c>
      <c r="AW68" s="795">
        <f t="shared" si="12"/>
        <v>0</v>
      </c>
      <c r="AX68" s="795">
        <f t="shared" si="13"/>
        <v>0</v>
      </c>
      <c r="AY68" s="1025">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0"/>
      <c r="B69" s="1098"/>
      <c r="C69" s="1098"/>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5">
        <f t="shared" si="11"/>
        <v>0</v>
      </c>
      <c r="AW69" s="795">
        <f t="shared" si="12"/>
        <v>0</v>
      </c>
      <c r="AX69" s="795">
        <f t="shared" si="13"/>
        <v>0</v>
      </c>
      <c r="AY69" s="1025">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0"/>
      <c r="B70" s="1098"/>
      <c r="C70" s="1098"/>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5">
        <f t="shared" si="11"/>
        <v>0</v>
      </c>
      <c r="AW70" s="795">
        <f t="shared" si="12"/>
        <v>0</v>
      </c>
      <c r="AX70" s="795">
        <f t="shared" si="13"/>
        <v>0</v>
      </c>
      <c r="AY70" s="1025">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0"/>
      <c r="B71" s="1098"/>
      <c r="C71" s="1098"/>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5">
        <f t="shared" si="11"/>
        <v>0</v>
      </c>
      <c r="AW71" s="795">
        <f t="shared" si="12"/>
        <v>0</v>
      </c>
      <c r="AX71" s="795">
        <f t="shared" si="13"/>
        <v>0</v>
      </c>
      <c r="AY71" s="1025">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0"/>
      <c r="B72" s="1098"/>
      <c r="C72" s="1098"/>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5">
        <f t="shared" si="11"/>
        <v>0</v>
      </c>
      <c r="AW72" s="795">
        <f t="shared" si="12"/>
        <v>0</v>
      </c>
      <c r="AX72" s="795">
        <f t="shared" si="13"/>
        <v>0</v>
      </c>
      <c r="AY72" s="1025">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0"/>
      <c r="B73" s="1098"/>
      <c r="C73" s="1098"/>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5">
        <f t="shared" si="11"/>
        <v>0</v>
      </c>
      <c r="AW73" s="795">
        <f t="shared" si="12"/>
        <v>0</v>
      </c>
      <c r="AX73" s="795">
        <f t="shared" si="13"/>
        <v>0</v>
      </c>
      <c r="AY73" s="1025">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0"/>
      <c r="B74" s="1098"/>
      <c r="C74" s="1098"/>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5">
        <f t="shared" si="11"/>
        <v>0</v>
      </c>
      <c r="AW74" s="795">
        <f t="shared" si="12"/>
        <v>0</v>
      </c>
      <c r="AX74" s="795">
        <f t="shared" si="13"/>
        <v>0</v>
      </c>
      <c r="AY74" s="1025">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0"/>
      <c r="B75" s="1098"/>
      <c r="C75" s="1098"/>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5">
        <f t="shared" si="11"/>
        <v>0</v>
      </c>
      <c r="AW75" s="795">
        <f t="shared" si="12"/>
        <v>0</v>
      </c>
      <c r="AX75" s="795">
        <f t="shared" si="13"/>
        <v>0</v>
      </c>
      <c r="AY75" s="1025">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0"/>
      <c r="B76" s="1098"/>
      <c r="C76" s="1098"/>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5">
        <f t="shared" si="11"/>
        <v>0</v>
      </c>
      <c r="AW76" s="795">
        <f t="shared" si="12"/>
        <v>0</v>
      </c>
      <c r="AX76" s="795">
        <f t="shared" si="13"/>
        <v>0</v>
      </c>
      <c r="AY76" s="1025">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0"/>
      <c r="B77" s="1098"/>
      <c r="C77" s="1098"/>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5">
        <f t="shared" si="11"/>
        <v>0</v>
      </c>
      <c r="AW77" s="795">
        <f t="shared" si="12"/>
        <v>0</v>
      </c>
      <c r="AX77" s="795">
        <f t="shared" si="13"/>
        <v>0</v>
      </c>
      <c r="AY77" s="1025">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0"/>
      <c r="B78" s="1098"/>
      <c r="C78" s="1098"/>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5">
        <f t="shared" si="11"/>
        <v>0</v>
      </c>
      <c r="AW78" s="795">
        <f t="shared" si="12"/>
        <v>0</v>
      </c>
      <c r="AX78" s="795">
        <f t="shared" si="13"/>
        <v>0</v>
      </c>
      <c r="AY78" s="1025">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0"/>
      <c r="B79" s="1098"/>
      <c r="C79" s="1098"/>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5">
        <f t="shared" si="11"/>
        <v>0</v>
      </c>
      <c r="AW79" s="795">
        <f t="shared" si="12"/>
        <v>0</v>
      </c>
      <c r="AX79" s="795">
        <f t="shared" si="13"/>
        <v>0</v>
      </c>
      <c r="AY79" s="1025">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0"/>
      <c r="B80" s="1098"/>
      <c r="C80" s="1098"/>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5">
        <f t="shared" si="11"/>
        <v>0</v>
      </c>
      <c r="AW80" s="795">
        <f t="shared" si="12"/>
        <v>0</v>
      </c>
      <c r="AX80" s="795">
        <f t="shared" si="13"/>
        <v>0</v>
      </c>
      <c r="AY80" s="1025">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0"/>
      <c r="B81" s="1098"/>
      <c r="C81" s="1098"/>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5">
        <f t="shared" si="11"/>
        <v>0</v>
      </c>
      <c r="AW81" s="795">
        <f t="shared" si="12"/>
        <v>0</v>
      </c>
      <c r="AX81" s="795">
        <f t="shared" si="13"/>
        <v>0</v>
      </c>
      <c r="AY81" s="1025">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0"/>
      <c r="B82" s="1098"/>
      <c r="C82" s="1098"/>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5">
        <f t="shared" si="11"/>
        <v>0</v>
      </c>
      <c r="AW82" s="795">
        <f t="shared" si="12"/>
        <v>0</v>
      </c>
      <c r="AX82" s="795">
        <f t="shared" si="13"/>
        <v>0</v>
      </c>
      <c r="AY82" s="1025">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0"/>
      <c r="B83" s="1098"/>
      <c r="C83" s="1098"/>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5">
        <f t="shared" si="11"/>
        <v>0</v>
      </c>
      <c r="AW83" s="795">
        <f t="shared" si="12"/>
        <v>0</v>
      </c>
      <c r="AX83" s="795">
        <f t="shared" si="13"/>
        <v>0</v>
      </c>
      <c r="AY83" s="1025">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0"/>
      <c r="B84" s="1098"/>
      <c r="C84" s="1098"/>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5">
        <f t="shared" si="11"/>
        <v>0</v>
      </c>
      <c r="AW84" s="795">
        <f t="shared" si="12"/>
        <v>0</v>
      </c>
      <c r="AX84" s="795">
        <f t="shared" si="13"/>
        <v>0</v>
      </c>
      <c r="AY84" s="1025">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0"/>
      <c r="B85" s="1098"/>
      <c r="C85" s="1098"/>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5">
        <f t="shared" si="11"/>
        <v>0</v>
      </c>
      <c r="AW85" s="795">
        <f t="shared" si="12"/>
        <v>0</v>
      </c>
      <c r="AX85" s="795">
        <f t="shared" si="13"/>
        <v>0</v>
      </c>
      <c r="AY85" s="1025">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0"/>
      <c r="B86" s="1098"/>
      <c r="C86" s="1098"/>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5">
        <f t="shared" si="11"/>
        <v>0</v>
      </c>
      <c r="AW86" s="795">
        <f t="shared" si="12"/>
        <v>0</v>
      </c>
      <c r="AX86" s="795">
        <f t="shared" si="13"/>
        <v>0</v>
      </c>
      <c r="AY86" s="1025">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0"/>
      <c r="B87" s="1098"/>
      <c r="C87" s="1098"/>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5">
        <f t="shared" si="11"/>
        <v>0</v>
      </c>
      <c r="AW87" s="795">
        <f t="shared" si="12"/>
        <v>0</v>
      </c>
      <c r="AX87" s="795">
        <f t="shared" si="13"/>
        <v>0</v>
      </c>
      <c r="AY87" s="1025">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0"/>
      <c r="B88" s="1098"/>
      <c r="C88" s="1098"/>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5">
        <f t="shared" si="11"/>
        <v>0</v>
      </c>
      <c r="AW88" s="795">
        <f t="shared" si="12"/>
        <v>0</v>
      </c>
      <c r="AX88" s="795">
        <f t="shared" si="13"/>
        <v>0</v>
      </c>
      <c r="AY88" s="1025">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0"/>
      <c r="B89" s="1098"/>
      <c r="C89" s="1098"/>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5">
        <f t="shared" si="11"/>
        <v>0</v>
      </c>
      <c r="AW89" s="795">
        <f t="shared" si="12"/>
        <v>0</v>
      </c>
      <c r="AX89" s="795">
        <f t="shared" si="13"/>
        <v>0</v>
      </c>
      <c r="AY89" s="1025">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0"/>
      <c r="B90" s="1098"/>
      <c r="C90" s="1098"/>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5">
        <f t="shared" si="11"/>
        <v>0</v>
      </c>
      <c r="AW90" s="795">
        <f t="shared" si="12"/>
        <v>0</v>
      </c>
      <c r="AX90" s="795">
        <f t="shared" si="13"/>
        <v>0</v>
      </c>
      <c r="AY90" s="1025">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0"/>
      <c r="B91" s="1098"/>
      <c r="C91" s="1098"/>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5">
        <f t="shared" si="11"/>
        <v>0</v>
      </c>
      <c r="AW91" s="795">
        <f t="shared" si="12"/>
        <v>0</v>
      </c>
      <c r="AX91" s="795">
        <f t="shared" si="13"/>
        <v>0</v>
      </c>
      <c r="AY91" s="1025">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0"/>
      <c r="B92" s="1098"/>
      <c r="C92" s="1098"/>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5">
        <f t="shared" si="11"/>
        <v>0</v>
      </c>
      <c r="AW92" s="795">
        <f t="shared" si="12"/>
        <v>0</v>
      </c>
      <c r="AX92" s="795">
        <f t="shared" si="13"/>
        <v>0</v>
      </c>
      <c r="AY92" s="1025">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0"/>
      <c r="B93" s="1098"/>
      <c r="C93" s="1098"/>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5">
        <f t="shared" si="11"/>
        <v>0</v>
      </c>
      <c r="AW93" s="795">
        <f t="shared" si="12"/>
        <v>0</v>
      </c>
      <c r="AX93" s="795">
        <f t="shared" si="13"/>
        <v>0</v>
      </c>
      <c r="AY93" s="1025">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0"/>
      <c r="B94" s="1098"/>
      <c r="C94" s="1098"/>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5">
        <f t="shared" si="11"/>
        <v>0</v>
      </c>
      <c r="AW94" s="795">
        <f t="shared" si="12"/>
        <v>0</v>
      </c>
      <c r="AX94" s="795">
        <f t="shared" si="13"/>
        <v>0</v>
      </c>
      <c r="AY94" s="1025">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0"/>
      <c r="B95" s="1098"/>
      <c r="C95" s="1098"/>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5">
        <f t="shared" si="11"/>
        <v>0</v>
      </c>
      <c r="AW95" s="795">
        <f t="shared" si="12"/>
        <v>0</v>
      </c>
      <c r="AX95" s="795">
        <f t="shared" si="13"/>
        <v>0</v>
      </c>
      <c r="AY95" s="1025">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0"/>
      <c r="B96" s="1098"/>
      <c r="C96" s="1098"/>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5">
        <f t="shared" si="11"/>
        <v>0</v>
      </c>
      <c r="AW96" s="795">
        <f t="shared" si="12"/>
        <v>0</v>
      </c>
      <c r="AX96" s="795">
        <f t="shared" si="13"/>
        <v>0</v>
      </c>
      <c r="AY96" s="1025">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0"/>
      <c r="B97" s="1098"/>
      <c r="C97" s="1098"/>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5">
        <f t="shared" si="11"/>
        <v>0</v>
      </c>
      <c r="AW97" s="795">
        <f t="shared" si="12"/>
        <v>0</v>
      </c>
      <c r="AX97" s="795">
        <f t="shared" si="13"/>
        <v>0</v>
      </c>
      <c r="AY97" s="1025">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0"/>
      <c r="B98" s="1098"/>
      <c r="C98" s="1098"/>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5">
        <f t="shared" si="11"/>
        <v>0</v>
      </c>
      <c r="AW98" s="795">
        <f t="shared" si="12"/>
        <v>0</v>
      </c>
      <c r="AX98" s="795">
        <f t="shared" si="13"/>
        <v>0</v>
      </c>
      <c r="AY98" s="1025">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0"/>
      <c r="B99" s="1098"/>
      <c r="C99" s="1098"/>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5">
        <f t="shared" si="11"/>
        <v>0</v>
      </c>
      <c r="AW99" s="795">
        <f t="shared" si="12"/>
        <v>0</v>
      </c>
      <c r="AX99" s="795">
        <f t="shared" si="13"/>
        <v>0</v>
      </c>
      <c r="AY99" s="1025">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0"/>
      <c r="B100" s="1098"/>
      <c r="C100" s="1098"/>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5">
        <f t="shared" si="11"/>
        <v>0</v>
      </c>
      <c r="AW100" s="795">
        <f t="shared" si="12"/>
        <v>0</v>
      </c>
      <c r="AX100" s="795">
        <f t="shared" si="13"/>
        <v>0</v>
      </c>
      <c r="AY100" s="1025">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0"/>
      <c r="B101" s="1098"/>
      <c r="C101" s="1098"/>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5">
        <f t="shared" si="11"/>
        <v>0</v>
      </c>
      <c r="AW101" s="795">
        <f t="shared" si="12"/>
        <v>0</v>
      </c>
      <c r="AX101" s="795">
        <f t="shared" si="13"/>
        <v>0</v>
      </c>
      <c r="AY101" s="1025">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0"/>
      <c r="B102" s="1098"/>
      <c r="C102" s="1098"/>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5">
        <f t="shared" si="11"/>
        <v>0</v>
      </c>
      <c r="AW102" s="795">
        <f t="shared" si="12"/>
        <v>0</v>
      </c>
      <c r="AX102" s="795">
        <f t="shared" si="13"/>
        <v>0</v>
      </c>
      <c r="AY102" s="1025">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0"/>
      <c r="B103" s="1098"/>
      <c r="C103" s="1098"/>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5">
        <f t="shared" si="11"/>
        <v>0</v>
      </c>
      <c r="AW103" s="795">
        <f t="shared" si="12"/>
        <v>0</v>
      </c>
      <c r="AX103" s="795">
        <f t="shared" si="13"/>
        <v>0</v>
      </c>
      <c r="AY103" s="1025">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0"/>
      <c r="B104" s="1098"/>
      <c r="C104" s="1098"/>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5">
        <f t="shared" si="11"/>
        <v>0</v>
      </c>
      <c r="AW104" s="795">
        <f t="shared" si="12"/>
        <v>0</v>
      </c>
      <c r="AX104" s="795">
        <f t="shared" si="13"/>
        <v>0</v>
      </c>
      <c r="AY104" s="1025">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0"/>
      <c r="B105" s="1098"/>
      <c r="C105" s="1098"/>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5">
        <f t="shared" si="11"/>
        <v>0</v>
      </c>
      <c r="AW105" s="795">
        <f t="shared" si="12"/>
        <v>0</v>
      </c>
      <c r="AX105" s="795">
        <f t="shared" si="13"/>
        <v>0</v>
      </c>
      <c r="AY105" s="1025">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0"/>
      <c r="B106" s="1098"/>
      <c r="C106" s="1098"/>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5">
        <f t="shared" si="11"/>
        <v>0</v>
      </c>
      <c r="AW106" s="795">
        <f t="shared" si="12"/>
        <v>0</v>
      </c>
      <c r="AX106" s="795">
        <f t="shared" si="13"/>
        <v>0</v>
      </c>
      <c r="AY106" s="1025">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0"/>
      <c r="B107" s="1098"/>
      <c r="C107" s="1098"/>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5">
        <f t="shared" si="11"/>
        <v>0</v>
      </c>
      <c r="AW107" s="795">
        <f t="shared" si="12"/>
        <v>0</v>
      </c>
      <c r="AX107" s="795">
        <f t="shared" si="13"/>
        <v>0</v>
      </c>
      <c r="AY107" s="1025">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0"/>
      <c r="B108" s="1098"/>
      <c r="C108" s="1098"/>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5">
        <f t="shared" si="11"/>
        <v>0</v>
      </c>
      <c r="AW108" s="795">
        <f t="shared" si="12"/>
        <v>0</v>
      </c>
      <c r="AX108" s="795">
        <f t="shared" si="13"/>
        <v>0</v>
      </c>
      <c r="AY108" s="1025">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0"/>
      <c r="B109" s="1098"/>
      <c r="C109" s="1098"/>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5">
        <f t="shared" si="11"/>
        <v>0</v>
      </c>
      <c r="AW109" s="795">
        <f t="shared" si="12"/>
        <v>0</v>
      </c>
      <c r="AX109" s="795">
        <f t="shared" si="13"/>
        <v>0</v>
      </c>
      <c r="AY109" s="1025">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0"/>
      <c r="B110" s="1090"/>
      <c r="C110" s="1090"/>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3"/>
      <c r="AV110" s="795">
        <f t="shared" si="11"/>
        <v>0</v>
      </c>
      <c r="AW110" s="795">
        <f t="shared" si="12"/>
        <v>0</v>
      </c>
      <c r="AX110" s="795">
        <f t="shared" si="13"/>
        <v>0</v>
      </c>
      <c r="AY110" s="1025">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0"/>
      <c r="B111" s="1090"/>
      <c r="C111" s="1090"/>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3"/>
      <c r="AV111" s="795">
        <f t="shared" si="11"/>
        <v>0</v>
      </c>
      <c r="AW111" s="795">
        <f t="shared" si="12"/>
        <v>0</v>
      </c>
      <c r="AX111" s="795">
        <f t="shared" si="13"/>
        <v>0</v>
      </c>
      <c r="AY111" s="1025">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0"/>
      <c r="B112" s="1090"/>
      <c r="C112" s="1090"/>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3"/>
      <c r="AV112" s="795">
        <f t="shared" si="11"/>
        <v>0</v>
      </c>
      <c r="AW112" s="795">
        <f t="shared" si="12"/>
        <v>0</v>
      </c>
      <c r="AX112" s="795">
        <f t="shared" si="13"/>
        <v>0</v>
      </c>
      <c r="AY112" s="1025">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0"/>
      <c r="B113" s="1098"/>
      <c r="C113" s="1098"/>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5">
        <f t="shared" ref="AV113:AV144" si="62">A113</f>
        <v>0</v>
      </c>
      <c r="AW113" s="795">
        <f t="shared" ref="AW113:AW144" si="63">B113</f>
        <v>0</v>
      </c>
      <c r="AX113" s="795">
        <f t="shared" ref="AX113:AX144" si="64">C113</f>
        <v>0</v>
      </c>
      <c r="AY113" s="1025">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0"/>
      <c r="B114" s="1098"/>
      <c r="C114" s="1098"/>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5">
        <f t="shared" si="62"/>
        <v>0</v>
      </c>
      <c r="AW114" s="795">
        <f t="shared" si="63"/>
        <v>0</v>
      </c>
      <c r="AX114" s="795">
        <f t="shared" si="64"/>
        <v>0</v>
      </c>
      <c r="AY114" s="1025">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0"/>
      <c r="B115" s="1098"/>
      <c r="C115" s="1098"/>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5">
        <f t="shared" si="62"/>
        <v>0</v>
      </c>
      <c r="AW115" s="795">
        <f t="shared" si="63"/>
        <v>0</v>
      </c>
      <c r="AX115" s="795">
        <f t="shared" si="64"/>
        <v>0</v>
      </c>
      <c r="AY115" s="1025">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0"/>
      <c r="B116" s="1098"/>
      <c r="C116" s="1098"/>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5">
        <f t="shared" si="62"/>
        <v>0</v>
      </c>
      <c r="AW116" s="795">
        <f t="shared" si="63"/>
        <v>0</v>
      </c>
      <c r="AX116" s="795">
        <f t="shared" si="64"/>
        <v>0</v>
      </c>
      <c r="AY116" s="1025">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0"/>
      <c r="B117" s="1098"/>
      <c r="C117" s="1098"/>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5">
        <f t="shared" si="62"/>
        <v>0</v>
      </c>
      <c r="AW117" s="795">
        <f t="shared" si="63"/>
        <v>0</v>
      </c>
      <c r="AX117" s="795">
        <f t="shared" si="64"/>
        <v>0</v>
      </c>
      <c r="AY117" s="1025">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0"/>
      <c r="B118" s="1098"/>
      <c r="C118" s="1098"/>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5">
        <f t="shared" si="62"/>
        <v>0</v>
      </c>
      <c r="AW118" s="795">
        <f t="shared" si="63"/>
        <v>0</v>
      </c>
      <c r="AX118" s="795">
        <f t="shared" si="64"/>
        <v>0</v>
      </c>
      <c r="AY118" s="1025">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0"/>
      <c r="B119" s="1098"/>
      <c r="C119" s="1098"/>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5">
        <f t="shared" si="62"/>
        <v>0</v>
      </c>
      <c r="AW119" s="795">
        <f t="shared" si="63"/>
        <v>0</v>
      </c>
      <c r="AX119" s="795">
        <f t="shared" si="64"/>
        <v>0</v>
      </c>
      <c r="AY119" s="1025">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0"/>
      <c r="B120" s="1098"/>
      <c r="C120" s="1098"/>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5">
        <f t="shared" si="62"/>
        <v>0</v>
      </c>
      <c r="AW120" s="795">
        <f t="shared" si="63"/>
        <v>0</v>
      </c>
      <c r="AX120" s="795">
        <f t="shared" si="64"/>
        <v>0</v>
      </c>
      <c r="AY120" s="1025">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0"/>
      <c r="B121" s="1098"/>
      <c r="C121" s="1098"/>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5">
        <f t="shared" si="62"/>
        <v>0</v>
      </c>
      <c r="AW121" s="795">
        <f t="shared" si="63"/>
        <v>0</v>
      </c>
      <c r="AX121" s="795">
        <f t="shared" si="64"/>
        <v>0</v>
      </c>
      <c r="AY121" s="1025">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0"/>
      <c r="B122" s="1098"/>
      <c r="C122" s="1098"/>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5">
        <f t="shared" si="62"/>
        <v>0</v>
      </c>
      <c r="AW122" s="795">
        <f t="shared" si="63"/>
        <v>0</v>
      </c>
      <c r="AX122" s="795">
        <f t="shared" si="64"/>
        <v>0</v>
      </c>
      <c r="AY122" s="1025">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0"/>
      <c r="B123" s="1098"/>
      <c r="C123" s="1098"/>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5">
        <f t="shared" si="62"/>
        <v>0</v>
      </c>
      <c r="AW123" s="795">
        <f t="shared" si="63"/>
        <v>0</v>
      </c>
      <c r="AX123" s="795">
        <f t="shared" si="64"/>
        <v>0</v>
      </c>
      <c r="AY123" s="1025">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0"/>
      <c r="B124" s="1098"/>
      <c r="C124" s="1098"/>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5">
        <f t="shared" si="62"/>
        <v>0</v>
      </c>
      <c r="AW124" s="795">
        <f t="shared" si="63"/>
        <v>0</v>
      </c>
      <c r="AX124" s="795">
        <f t="shared" si="64"/>
        <v>0</v>
      </c>
      <c r="AY124" s="1025">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0"/>
      <c r="B125" s="1098"/>
      <c r="C125" s="1098"/>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5">
        <f t="shared" si="62"/>
        <v>0</v>
      </c>
      <c r="AW125" s="795">
        <f t="shared" si="63"/>
        <v>0</v>
      </c>
      <c r="AX125" s="795">
        <f t="shared" si="64"/>
        <v>0</v>
      </c>
      <c r="AY125" s="1025">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0"/>
      <c r="B126" s="1098"/>
      <c r="C126" s="1098"/>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5">
        <f t="shared" si="62"/>
        <v>0</v>
      </c>
      <c r="AW126" s="795">
        <f t="shared" si="63"/>
        <v>0</v>
      </c>
      <c r="AX126" s="795">
        <f t="shared" si="64"/>
        <v>0</v>
      </c>
      <c r="AY126" s="1025">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0"/>
      <c r="B127" s="1098"/>
      <c r="C127" s="1098"/>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5">
        <f t="shared" si="62"/>
        <v>0</v>
      </c>
      <c r="AW127" s="795">
        <f t="shared" si="63"/>
        <v>0</v>
      </c>
      <c r="AX127" s="795">
        <f t="shared" si="64"/>
        <v>0</v>
      </c>
      <c r="AY127" s="1025">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0"/>
      <c r="B128" s="1098"/>
      <c r="C128" s="1098"/>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5">
        <f t="shared" si="62"/>
        <v>0</v>
      </c>
      <c r="AW128" s="795">
        <f t="shared" si="63"/>
        <v>0</v>
      </c>
      <c r="AX128" s="795">
        <f t="shared" si="64"/>
        <v>0</v>
      </c>
      <c r="AY128" s="1025">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0"/>
      <c r="B129" s="1098"/>
      <c r="C129" s="1098"/>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5">
        <f t="shared" si="62"/>
        <v>0</v>
      </c>
      <c r="AW129" s="795">
        <f t="shared" si="63"/>
        <v>0</v>
      </c>
      <c r="AX129" s="795">
        <f t="shared" si="64"/>
        <v>0</v>
      </c>
      <c r="AY129" s="1025">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0"/>
      <c r="B130" s="1098"/>
      <c r="C130" s="1098"/>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5">
        <f t="shared" si="62"/>
        <v>0</v>
      </c>
      <c r="AW130" s="795">
        <f t="shared" si="63"/>
        <v>0</v>
      </c>
      <c r="AX130" s="795">
        <f t="shared" si="64"/>
        <v>0</v>
      </c>
      <c r="AY130" s="1025">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0"/>
      <c r="B131" s="1098"/>
      <c r="C131" s="1098"/>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5">
        <f t="shared" si="62"/>
        <v>0</v>
      </c>
      <c r="AW131" s="795">
        <f t="shared" si="63"/>
        <v>0</v>
      </c>
      <c r="AX131" s="795">
        <f t="shared" si="64"/>
        <v>0</v>
      </c>
      <c r="AY131" s="1025">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0"/>
      <c r="B132" s="1098"/>
      <c r="C132" s="1098"/>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5">
        <f t="shared" si="62"/>
        <v>0</v>
      </c>
      <c r="AW132" s="795">
        <f t="shared" si="63"/>
        <v>0</v>
      </c>
      <c r="AX132" s="795">
        <f t="shared" si="64"/>
        <v>0</v>
      </c>
      <c r="AY132" s="1025">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0"/>
      <c r="B133" s="1098"/>
      <c r="C133" s="1098"/>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5">
        <f t="shared" si="62"/>
        <v>0</v>
      </c>
      <c r="AW133" s="795">
        <f t="shared" si="63"/>
        <v>0</v>
      </c>
      <c r="AX133" s="795">
        <f t="shared" si="64"/>
        <v>0</v>
      </c>
      <c r="AY133" s="1025">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0"/>
      <c r="B134" s="1098"/>
      <c r="C134" s="1098"/>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5">
        <f t="shared" si="62"/>
        <v>0</v>
      </c>
      <c r="AW134" s="795">
        <f t="shared" si="63"/>
        <v>0</v>
      </c>
      <c r="AX134" s="795">
        <f t="shared" si="64"/>
        <v>0</v>
      </c>
      <c r="AY134" s="1025">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0"/>
      <c r="B135" s="1098"/>
      <c r="C135" s="1098"/>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5">
        <f t="shared" si="62"/>
        <v>0</v>
      </c>
      <c r="AW135" s="795">
        <f t="shared" si="63"/>
        <v>0</v>
      </c>
      <c r="AX135" s="795">
        <f t="shared" si="64"/>
        <v>0</v>
      </c>
      <c r="AY135" s="1025">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0"/>
      <c r="B136" s="1098"/>
      <c r="C136" s="1098"/>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5">
        <f t="shared" si="62"/>
        <v>0</v>
      </c>
      <c r="AW136" s="795">
        <f t="shared" si="63"/>
        <v>0</v>
      </c>
      <c r="AX136" s="795">
        <f t="shared" si="64"/>
        <v>0</v>
      </c>
      <c r="AY136" s="1025">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0"/>
      <c r="B137" s="1098"/>
      <c r="C137" s="1098"/>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5">
        <f t="shared" si="62"/>
        <v>0</v>
      </c>
      <c r="AW137" s="795">
        <f t="shared" si="63"/>
        <v>0</v>
      </c>
      <c r="AX137" s="795">
        <f t="shared" si="64"/>
        <v>0</v>
      </c>
      <c r="AY137" s="1025">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0"/>
      <c r="B138" s="1098"/>
      <c r="C138" s="1098"/>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5">
        <f t="shared" si="62"/>
        <v>0</v>
      </c>
      <c r="AW138" s="795">
        <f t="shared" si="63"/>
        <v>0</v>
      </c>
      <c r="AX138" s="795">
        <f t="shared" si="64"/>
        <v>0</v>
      </c>
      <c r="AY138" s="1025">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0"/>
      <c r="B139" s="1098"/>
      <c r="C139" s="1098"/>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5">
        <f t="shared" si="62"/>
        <v>0</v>
      </c>
      <c r="AW139" s="795">
        <f t="shared" si="63"/>
        <v>0</v>
      </c>
      <c r="AX139" s="795">
        <f t="shared" si="64"/>
        <v>0</v>
      </c>
      <c r="AY139" s="1025">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0"/>
      <c r="B140" s="1098"/>
      <c r="C140" s="1098"/>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5">
        <f t="shared" si="62"/>
        <v>0</v>
      </c>
      <c r="AW140" s="795">
        <f t="shared" si="63"/>
        <v>0</v>
      </c>
      <c r="AX140" s="795">
        <f t="shared" si="64"/>
        <v>0</v>
      </c>
      <c r="AY140" s="1025">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0"/>
      <c r="B141" s="1098"/>
      <c r="C141" s="1098"/>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5">
        <f t="shared" si="62"/>
        <v>0</v>
      </c>
      <c r="AW141" s="795">
        <f t="shared" si="63"/>
        <v>0</v>
      </c>
      <c r="AX141" s="795">
        <f t="shared" si="64"/>
        <v>0</v>
      </c>
      <c r="AY141" s="1025">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0"/>
      <c r="B142" s="1098"/>
      <c r="C142" s="1098"/>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5">
        <f t="shared" si="62"/>
        <v>0</v>
      </c>
      <c r="AW142" s="795">
        <f t="shared" si="63"/>
        <v>0</v>
      </c>
      <c r="AX142" s="795">
        <f t="shared" si="64"/>
        <v>0</v>
      </c>
      <c r="AY142" s="1025">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0"/>
      <c r="B143" s="1098"/>
      <c r="C143" s="1098"/>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5">
        <f t="shared" si="62"/>
        <v>0</v>
      </c>
      <c r="AW143" s="795">
        <f t="shared" si="63"/>
        <v>0</v>
      </c>
      <c r="AX143" s="795">
        <f t="shared" si="64"/>
        <v>0</v>
      </c>
      <c r="AY143" s="1025">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0"/>
      <c r="B144" s="1098"/>
      <c r="C144" s="1098"/>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5">
        <f t="shared" si="62"/>
        <v>0</v>
      </c>
      <c r="AW144" s="795">
        <f t="shared" si="63"/>
        <v>0</v>
      </c>
      <c r="AX144" s="795">
        <f t="shared" si="64"/>
        <v>0</v>
      </c>
      <c r="AY144" s="1025">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0"/>
      <c r="B145" s="1098"/>
      <c r="C145" s="1098"/>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5">
        <f t="shared" ref="AV145:AV176" si="91">A145</f>
        <v>0</v>
      </c>
      <c r="AW145" s="795">
        <f t="shared" ref="AW145:AW176" si="92">B145</f>
        <v>0</v>
      </c>
      <c r="AX145" s="795">
        <f t="shared" ref="AX145:AX176" si="93">C145</f>
        <v>0</v>
      </c>
      <c r="AY145" s="1025">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0"/>
      <c r="B146" s="1098"/>
      <c r="C146" s="1098"/>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5">
        <f t="shared" si="91"/>
        <v>0</v>
      </c>
      <c r="AW146" s="795">
        <f t="shared" si="92"/>
        <v>0</v>
      </c>
      <c r="AX146" s="795">
        <f t="shared" si="93"/>
        <v>0</v>
      </c>
      <c r="AY146" s="1025">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0"/>
      <c r="B147" s="1098"/>
      <c r="C147" s="1098"/>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5">
        <f t="shared" si="91"/>
        <v>0</v>
      </c>
      <c r="AW147" s="795">
        <f t="shared" si="92"/>
        <v>0</v>
      </c>
      <c r="AX147" s="795">
        <f t="shared" si="93"/>
        <v>0</v>
      </c>
      <c r="AY147" s="1025">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0"/>
      <c r="B148" s="1098"/>
      <c r="C148" s="1098"/>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5">
        <f t="shared" si="91"/>
        <v>0</v>
      </c>
      <c r="AW148" s="795">
        <f t="shared" si="92"/>
        <v>0</v>
      </c>
      <c r="AX148" s="795">
        <f t="shared" si="93"/>
        <v>0</v>
      </c>
      <c r="AY148" s="1025">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0"/>
      <c r="B149" s="1098"/>
      <c r="C149" s="1098"/>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5">
        <f t="shared" si="91"/>
        <v>0</v>
      </c>
      <c r="AW149" s="795">
        <f t="shared" si="92"/>
        <v>0</v>
      </c>
      <c r="AX149" s="795">
        <f t="shared" si="93"/>
        <v>0</v>
      </c>
      <c r="AY149" s="1025">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0"/>
      <c r="B150" s="1098"/>
      <c r="C150" s="1098"/>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5">
        <f t="shared" si="91"/>
        <v>0</v>
      </c>
      <c r="AW150" s="795">
        <f t="shared" si="92"/>
        <v>0</v>
      </c>
      <c r="AX150" s="795">
        <f t="shared" si="93"/>
        <v>0</v>
      </c>
      <c r="AY150" s="1025">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0"/>
      <c r="B151" s="1098"/>
      <c r="C151" s="1098"/>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5">
        <f t="shared" si="91"/>
        <v>0</v>
      </c>
      <c r="AW151" s="795">
        <f t="shared" si="92"/>
        <v>0</v>
      </c>
      <c r="AX151" s="795">
        <f t="shared" si="93"/>
        <v>0</v>
      </c>
      <c r="AY151" s="1025">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0"/>
      <c r="B152" s="1098"/>
      <c r="C152" s="1098"/>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5">
        <f t="shared" si="91"/>
        <v>0</v>
      </c>
      <c r="AW152" s="795">
        <f t="shared" si="92"/>
        <v>0</v>
      </c>
      <c r="AX152" s="795">
        <f t="shared" si="93"/>
        <v>0</v>
      </c>
      <c r="AY152" s="1025">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0"/>
      <c r="B153" s="1098"/>
      <c r="C153" s="1098"/>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5">
        <f t="shared" si="91"/>
        <v>0</v>
      </c>
      <c r="AW153" s="795">
        <f t="shared" si="92"/>
        <v>0</v>
      </c>
      <c r="AX153" s="795">
        <f t="shared" si="93"/>
        <v>0</v>
      </c>
      <c r="AY153" s="1025">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0"/>
      <c r="B154" s="1098"/>
      <c r="C154" s="1098"/>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5">
        <f t="shared" si="91"/>
        <v>0</v>
      </c>
      <c r="AW154" s="795">
        <f t="shared" si="92"/>
        <v>0</v>
      </c>
      <c r="AX154" s="795">
        <f t="shared" si="93"/>
        <v>0</v>
      </c>
      <c r="AY154" s="1025">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0"/>
      <c r="B155" s="1098"/>
      <c r="C155" s="1098"/>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5">
        <f t="shared" si="91"/>
        <v>0</v>
      </c>
      <c r="AW155" s="795">
        <f t="shared" si="92"/>
        <v>0</v>
      </c>
      <c r="AX155" s="795">
        <f t="shared" si="93"/>
        <v>0</v>
      </c>
      <c r="AY155" s="1025">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0"/>
      <c r="B156" s="1098"/>
      <c r="C156" s="1098"/>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5">
        <f t="shared" si="91"/>
        <v>0</v>
      </c>
      <c r="AW156" s="795">
        <f t="shared" si="92"/>
        <v>0</v>
      </c>
      <c r="AX156" s="795">
        <f t="shared" si="93"/>
        <v>0</v>
      </c>
      <c r="AY156" s="1025">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0"/>
      <c r="B157" s="1098"/>
      <c r="C157" s="1098"/>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5">
        <f t="shared" si="91"/>
        <v>0</v>
      </c>
      <c r="AW157" s="795">
        <f t="shared" si="92"/>
        <v>0</v>
      </c>
      <c r="AX157" s="795">
        <f t="shared" si="93"/>
        <v>0</v>
      </c>
      <c r="AY157" s="1025">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0"/>
      <c r="B158" s="1098"/>
      <c r="C158" s="1098"/>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5">
        <f t="shared" si="91"/>
        <v>0</v>
      </c>
      <c r="AW158" s="795">
        <f t="shared" si="92"/>
        <v>0</v>
      </c>
      <c r="AX158" s="795">
        <f t="shared" si="93"/>
        <v>0</v>
      </c>
      <c r="AY158" s="1025">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0"/>
      <c r="B159" s="1098"/>
      <c r="C159" s="1098"/>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5">
        <f t="shared" si="91"/>
        <v>0</v>
      </c>
      <c r="AW159" s="795">
        <f t="shared" si="92"/>
        <v>0</v>
      </c>
      <c r="AX159" s="795">
        <f t="shared" si="93"/>
        <v>0</v>
      </c>
      <c r="AY159" s="1025">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0"/>
      <c r="B160" s="1098"/>
      <c r="C160" s="1098"/>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5">
        <f t="shared" si="91"/>
        <v>0</v>
      </c>
      <c r="AW160" s="795">
        <f t="shared" si="92"/>
        <v>0</v>
      </c>
      <c r="AX160" s="795">
        <f t="shared" si="93"/>
        <v>0</v>
      </c>
      <c r="AY160" s="1025">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0"/>
      <c r="B161" s="1098"/>
      <c r="C161" s="1098"/>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5">
        <f t="shared" si="91"/>
        <v>0</v>
      </c>
      <c r="AW161" s="795">
        <f t="shared" si="92"/>
        <v>0</v>
      </c>
      <c r="AX161" s="795">
        <f t="shared" si="93"/>
        <v>0</v>
      </c>
      <c r="AY161" s="1025">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0"/>
      <c r="B162" s="1098"/>
      <c r="C162" s="1098"/>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5">
        <f t="shared" si="91"/>
        <v>0</v>
      </c>
      <c r="AW162" s="795">
        <f t="shared" si="92"/>
        <v>0</v>
      </c>
      <c r="AX162" s="795">
        <f t="shared" si="93"/>
        <v>0</v>
      </c>
      <c r="AY162" s="1025">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0"/>
      <c r="B163" s="1098"/>
      <c r="C163" s="1098"/>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5">
        <f t="shared" si="91"/>
        <v>0</v>
      </c>
      <c r="AW163" s="795">
        <f t="shared" si="92"/>
        <v>0</v>
      </c>
      <c r="AX163" s="795">
        <f t="shared" si="93"/>
        <v>0</v>
      </c>
      <c r="AY163" s="1025">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0"/>
      <c r="B164" s="1098"/>
      <c r="C164" s="1098"/>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5">
        <f t="shared" si="91"/>
        <v>0</v>
      </c>
      <c r="AW164" s="795">
        <f t="shared" si="92"/>
        <v>0</v>
      </c>
      <c r="AX164" s="795">
        <f t="shared" si="93"/>
        <v>0</v>
      </c>
      <c r="AY164" s="1025">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0"/>
      <c r="B165" s="1098"/>
      <c r="C165" s="1098"/>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5">
        <f t="shared" si="91"/>
        <v>0</v>
      </c>
      <c r="AW165" s="795">
        <f t="shared" si="92"/>
        <v>0</v>
      </c>
      <c r="AX165" s="795">
        <f t="shared" si="93"/>
        <v>0</v>
      </c>
      <c r="AY165" s="1025">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0"/>
      <c r="B166" s="1098"/>
      <c r="C166" s="1098"/>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5">
        <f t="shared" si="91"/>
        <v>0</v>
      </c>
      <c r="AW166" s="795">
        <f t="shared" si="92"/>
        <v>0</v>
      </c>
      <c r="AX166" s="795">
        <f t="shared" si="93"/>
        <v>0</v>
      </c>
      <c r="AY166" s="1025">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0"/>
      <c r="B167" s="1098"/>
      <c r="C167" s="1098"/>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5">
        <f t="shared" si="91"/>
        <v>0</v>
      </c>
      <c r="AW167" s="795">
        <f t="shared" si="92"/>
        <v>0</v>
      </c>
      <c r="AX167" s="795">
        <f t="shared" si="93"/>
        <v>0</v>
      </c>
      <c r="AY167" s="1025">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0"/>
      <c r="B168" s="1098"/>
      <c r="C168" s="1098"/>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5">
        <f t="shared" si="91"/>
        <v>0</v>
      </c>
      <c r="AW168" s="795">
        <f t="shared" si="92"/>
        <v>0</v>
      </c>
      <c r="AX168" s="795">
        <f t="shared" si="93"/>
        <v>0</v>
      </c>
      <c r="AY168" s="1025">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0"/>
      <c r="B169" s="1098"/>
      <c r="C169" s="1098"/>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5">
        <f t="shared" si="91"/>
        <v>0</v>
      </c>
      <c r="AW169" s="795">
        <f t="shared" si="92"/>
        <v>0</v>
      </c>
      <c r="AX169" s="795">
        <f t="shared" si="93"/>
        <v>0</v>
      </c>
      <c r="AY169" s="1025">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0"/>
      <c r="B170" s="1098"/>
      <c r="C170" s="1098"/>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5">
        <f t="shared" si="91"/>
        <v>0</v>
      </c>
      <c r="AW170" s="795">
        <f t="shared" si="92"/>
        <v>0</v>
      </c>
      <c r="AX170" s="795">
        <f t="shared" si="93"/>
        <v>0</v>
      </c>
      <c r="AY170" s="1025">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0"/>
      <c r="B171" s="1098"/>
      <c r="C171" s="1098"/>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5">
        <f t="shared" si="91"/>
        <v>0</v>
      </c>
      <c r="AW171" s="795">
        <f t="shared" si="92"/>
        <v>0</v>
      </c>
      <c r="AX171" s="795">
        <f t="shared" si="93"/>
        <v>0</v>
      </c>
      <c r="AY171" s="1025">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0"/>
      <c r="B172" s="1098"/>
      <c r="C172" s="1098"/>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5">
        <f t="shared" si="91"/>
        <v>0</v>
      </c>
      <c r="AW172" s="795">
        <f t="shared" si="92"/>
        <v>0</v>
      </c>
      <c r="AX172" s="795">
        <f t="shared" si="93"/>
        <v>0</v>
      </c>
      <c r="AY172" s="1025">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0"/>
      <c r="B173" s="1098"/>
      <c r="C173" s="1098"/>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5">
        <f t="shared" si="91"/>
        <v>0</v>
      </c>
      <c r="AW173" s="795">
        <f t="shared" si="92"/>
        <v>0</v>
      </c>
      <c r="AX173" s="795">
        <f t="shared" si="93"/>
        <v>0</v>
      </c>
      <c r="AY173" s="1025">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0"/>
      <c r="B174" s="1098"/>
      <c r="C174" s="1098"/>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5">
        <f t="shared" si="91"/>
        <v>0</v>
      </c>
      <c r="AW174" s="795">
        <f t="shared" si="92"/>
        <v>0</v>
      </c>
      <c r="AX174" s="795">
        <f t="shared" si="93"/>
        <v>0</v>
      </c>
      <c r="AY174" s="1025">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0"/>
      <c r="B175" s="1098"/>
      <c r="C175" s="1098"/>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5">
        <f t="shared" si="91"/>
        <v>0</v>
      </c>
      <c r="AW175" s="795">
        <f t="shared" si="92"/>
        <v>0</v>
      </c>
      <c r="AX175" s="795">
        <f t="shared" si="93"/>
        <v>0</v>
      </c>
      <c r="AY175" s="1025">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0"/>
      <c r="B176" s="1098"/>
      <c r="C176" s="1098"/>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5">
        <f t="shared" si="91"/>
        <v>0</v>
      </c>
      <c r="AW176" s="795">
        <f t="shared" si="92"/>
        <v>0</v>
      </c>
      <c r="AX176" s="795">
        <f t="shared" si="93"/>
        <v>0</v>
      </c>
      <c r="AY176" s="1025">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0"/>
      <c r="B177" s="1098"/>
      <c r="C177" s="1098"/>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5">
        <f t="shared" ref="AV177:AV207" si="120">A177</f>
        <v>0</v>
      </c>
      <c r="AW177" s="795">
        <f t="shared" ref="AW177:AW207" si="121">B177</f>
        <v>0</v>
      </c>
      <c r="AX177" s="795">
        <f t="shared" ref="AX177:AX207" si="122">C177</f>
        <v>0</v>
      </c>
      <c r="AY177" s="1025">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0"/>
      <c r="B178" s="1098"/>
      <c r="C178" s="1098"/>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5">
        <f t="shared" si="120"/>
        <v>0</v>
      </c>
      <c r="AW178" s="795">
        <f t="shared" si="121"/>
        <v>0</v>
      </c>
      <c r="AX178" s="795">
        <f t="shared" si="122"/>
        <v>0</v>
      </c>
      <c r="AY178" s="1025">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0"/>
      <c r="B179" s="1098"/>
      <c r="C179" s="1098"/>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5">
        <f t="shared" si="120"/>
        <v>0</v>
      </c>
      <c r="AW179" s="795">
        <f t="shared" si="121"/>
        <v>0</v>
      </c>
      <c r="AX179" s="795">
        <f t="shared" si="122"/>
        <v>0</v>
      </c>
      <c r="AY179" s="1025">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0"/>
      <c r="B180" s="1098"/>
      <c r="C180" s="1098"/>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5">
        <f t="shared" si="120"/>
        <v>0</v>
      </c>
      <c r="AW180" s="795">
        <f t="shared" si="121"/>
        <v>0</v>
      </c>
      <c r="AX180" s="795">
        <f t="shared" si="122"/>
        <v>0</v>
      </c>
      <c r="AY180" s="1025">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0"/>
      <c r="B181" s="1098"/>
      <c r="C181" s="1098"/>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5">
        <f t="shared" si="120"/>
        <v>0</v>
      </c>
      <c r="AW181" s="795">
        <f t="shared" si="121"/>
        <v>0</v>
      </c>
      <c r="AX181" s="795">
        <f t="shared" si="122"/>
        <v>0</v>
      </c>
      <c r="AY181" s="1025">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0"/>
      <c r="B182" s="1098"/>
      <c r="C182" s="1098"/>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5">
        <f t="shared" si="120"/>
        <v>0</v>
      </c>
      <c r="AW182" s="795">
        <f t="shared" si="121"/>
        <v>0</v>
      </c>
      <c r="AX182" s="795">
        <f t="shared" si="122"/>
        <v>0</v>
      </c>
      <c r="AY182" s="1025">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0"/>
      <c r="B183" s="1098"/>
      <c r="C183" s="1098"/>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5">
        <f t="shared" si="120"/>
        <v>0</v>
      </c>
      <c r="AW183" s="795">
        <f t="shared" si="121"/>
        <v>0</v>
      </c>
      <c r="AX183" s="795">
        <f t="shared" si="122"/>
        <v>0</v>
      </c>
      <c r="AY183" s="1025">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0"/>
      <c r="B184" s="1098"/>
      <c r="C184" s="1098"/>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5">
        <f t="shared" si="120"/>
        <v>0</v>
      </c>
      <c r="AW184" s="795">
        <f t="shared" si="121"/>
        <v>0</v>
      </c>
      <c r="AX184" s="795">
        <f t="shared" si="122"/>
        <v>0</v>
      </c>
      <c r="AY184" s="1025">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0"/>
      <c r="B185" s="1098"/>
      <c r="C185" s="1098"/>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5">
        <f t="shared" si="120"/>
        <v>0</v>
      </c>
      <c r="AW185" s="795">
        <f t="shared" si="121"/>
        <v>0</v>
      </c>
      <c r="AX185" s="795">
        <f t="shared" si="122"/>
        <v>0</v>
      </c>
      <c r="AY185" s="1025">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0"/>
      <c r="B186" s="1098"/>
      <c r="C186" s="1098"/>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5">
        <f t="shared" si="120"/>
        <v>0</v>
      </c>
      <c r="AW186" s="795">
        <f t="shared" si="121"/>
        <v>0</v>
      </c>
      <c r="AX186" s="795">
        <f t="shared" si="122"/>
        <v>0</v>
      </c>
      <c r="AY186" s="1025">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0"/>
      <c r="B187" s="1098"/>
      <c r="C187" s="1098"/>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5">
        <f t="shared" si="120"/>
        <v>0</v>
      </c>
      <c r="AW187" s="795">
        <f t="shared" si="121"/>
        <v>0</v>
      </c>
      <c r="AX187" s="795">
        <f t="shared" si="122"/>
        <v>0</v>
      </c>
      <c r="AY187" s="1025">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0"/>
      <c r="B188" s="1098"/>
      <c r="C188" s="1098"/>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5">
        <f t="shared" si="120"/>
        <v>0</v>
      </c>
      <c r="AW188" s="795">
        <f t="shared" si="121"/>
        <v>0</v>
      </c>
      <c r="AX188" s="795">
        <f t="shared" si="122"/>
        <v>0</v>
      </c>
      <c r="AY188" s="1025">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0"/>
      <c r="B189" s="1098"/>
      <c r="C189" s="1098"/>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5">
        <f t="shared" si="120"/>
        <v>0</v>
      </c>
      <c r="AW189" s="795">
        <f t="shared" si="121"/>
        <v>0</v>
      </c>
      <c r="AX189" s="795">
        <f t="shared" si="122"/>
        <v>0</v>
      </c>
      <c r="AY189" s="1025">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0"/>
      <c r="B190" s="1098"/>
      <c r="C190" s="1098"/>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5">
        <f t="shared" si="120"/>
        <v>0</v>
      </c>
      <c r="AW190" s="795">
        <f t="shared" si="121"/>
        <v>0</v>
      </c>
      <c r="AX190" s="795">
        <f t="shared" si="122"/>
        <v>0</v>
      </c>
      <c r="AY190" s="1025">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0"/>
      <c r="B191" s="1098"/>
      <c r="C191" s="1098"/>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5">
        <f t="shared" si="120"/>
        <v>0</v>
      </c>
      <c r="AW191" s="795">
        <f t="shared" si="121"/>
        <v>0</v>
      </c>
      <c r="AX191" s="795">
        <f t="shared" si="122"/>
        <v>0</v>
      </c>
      <c r="AY191" s="1025">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0"/>
      <c r="B192" s="1098"/>
      <c r="C192" s="1098"/>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5">
        <f t="shared" si="120"/>
        <v>0</v>
      </c>
      <c r="AW192" s="795">
        <f t="shared" si="121"/>
        <v>0</v>
      </c>
      <c r="AX192" s="795">
        <f t="shared" si="122"/>
        <v>0</v>
      </c>
      <c r="AY192" s="1025">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0"/>
      <c r="B193" s="1098"/>
      <c r="C193" s="1098"/>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5">
        <f t="shared" si="120"/>
        <v>0</v>
      </c>
      <c r="AW193" s="795">
        <f t="shared" si="121"/>
        <v>0</v>
      </c>
      <c r="AX193" s="795">
        <f t="shared" si="122"/>
        <v>0</v>
      </c>
      <c r="AY193" s="1025">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0"/>
      <c r="B194" s="1098"/>
      <c r="C194" s="1098"/>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5">
        <f t="shared" si="120"/>
        <v>0</v>
      </c>
      <c r="AW194" s="795">
        <f t="shared" si="121"/>
        <v>0</v>
      </c>
      <c r="AX194" s="795">
        <f t="shared" si="122"/>
        <v>0</v>
      </c>
      <c r="AY194" s="1025">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0"/>
      <c r="B195" s="1098"/>
      <c r="C195" s="1098"/>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5">
        <f t="shared" si="120"/>
        <v>0</v>
      </c>
      <c r="AW195" s="795">
        <f t="shared" si="121"/>
        <v>0</v>
      </c>
      <c r="AX195" s="795">
        <f t="shared" si="122"/>
        <v>0</v>
      </c>
      <c r="AY195" s="1025">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0"/>
      <c r="B196" s="1098"/>
      <c r="C196" s="1098"/>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5">
        <f t="shared" si="120"/>
        <v>0</v>
      </c>
      <c r="AW196" s="795">
        <f t="shared" si="121"/>
        <v>0</v>
      </c>
      <c r="AX196" s="795">
        <f t="shared" si="122"/>
        <v>0</v>
      </c>
      <c r="AY196" s="1025">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0"/>
      <c r="B197" s="1098"/>
      <c r="C197" s="1098"/>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5">
        <f t="shared" si="120"/>
        <v>0</v>
      </c>
      <c r="AW197" s="795">
        <f t="shared" si="121"/>
        <v>0</v>
      </c>
      <c r="AX197" s="795">
        <f t="shared" si="122"/>
        <v>0</v>
      </c>
      <c r="AY197" s="1025">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0"/>
      <c r="B198" s="1098"/>
      <c r="C198" s="1098"/>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5">
        <f t="shared" si="120"/>
        <v>0</v>
      </c>
      <c r="AW198" s="795">
        <f t="shared" si="121"/>
        <v>0</v>
      </c>
      <c r="AX198" s="795">
        <f t="shared" si="122"/>
        <v>0</v>
      </c>
      <c r="AY198" s="1025">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0"/>
      <c r="B199" s="1098"/>
      <c r="C199" s="1098"/>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5">
        <f t="shared" si="120"/>
        <v>0</v>
      </c>
      <c r="AW199" s="795">
        <f t="shared" si="121"/>
        <v>0</v>
      </c>
      <c r="AX199" s="795">
        <f t="shared" si="122"/>
        <v>0</v>
      </c>
      <c r="AY199" s="1025">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0"/>
      <c r="B200" s="1098"/>
      <c r="C200" s="1098"/>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5">
        <f t="shared" si="120"/>
        <v>0</v>
      </c>
      <c r="AW200" s="795">
        <f t="shared" si="121"/>
        <v>0</v>
      </c>
      <c r="AX200" s="795">
        <f t="shared" si="122"/>
        <v>0</v>
      </c>
      <c r="AY200" s="1025">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0"/>
      <c r="B201" s="1098"/>
      <c r="C201" s="1098"/>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5">
        <f t="shared" si="120"/>
        <v>0</v>
      </c>
      <c r="AW201" s="795">
        <f t="shared" si="121"/>
        <v>0</v>
      </c>
      <c r="AX201" s="795">
        <f t="shared" si="122"/>
        <v>0</v>
      </c>
      <c r="AY201" s="1025">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0"/>
      <c r="B202" s="1098"/>
      <c r="C202" s="1098"/>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5">
        <f t="shared" si="120"/>
        <v>0</v>
      </c>
      <c r="AW202" s="795">
        <f t="shared" si="121"/>
        <v>0</v>
      </c>
      <c r="AX202" s="795">
        <f t="shared" si="122"/>
        <v>0</v>
      </c>
      <c r="AY202" s="1025">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0"/>
      <c r="B203" s="1098"/>
      <c r="C203" s="1098"/>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5">
        <f t="shared" si="120"/>
        <v>0</v>
      </c>
      <c r="AW203" s="795">
        <f t="shared" si="121"/>
        <v>0</v>
      </c>
      <c r="AX203" s="795">
        <f t="shared" si="122"/>
        <v>0</v>
      </c>
      <c r="AY203" s="1025">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0"/>
      <c r="B204" s="1098"/>
      <c r="C204" s="1098"/>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5">
        <f t="shared" si="120"/>
        <v>0</v>
      </c>
      <c r="AW204" s="795">
        <f t="shared" si="121"/>
        <v>0</v>
      </c>
      <c r="AX204" s="795">
        <f t="shared" si="122"/>
        <v>0</v>
      </c>
      <c r="AY204" s="1025">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0"/>
      <c r="B205" s="1090"/>
      <c r="C205" s="1090"/>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3"/>
      <c r="AV205" s="795">
        <f t="shared" si="120"/>
        <v>0</v>
      </c>
      <c r="AW205" s="795">
        <f t="shared" si="121"/>
        <v>0</v>
      </c>
      <c r="AX205" s="795">
        <f t="shared" si="122"/>
        <v>0</v>
      </c>
      <c r="AY205" s="1025">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0"/>
      <c r="B206" s="1090"/>
      <c r="C206" s="1090"/>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3"/>
      <c r="AV206" s="795">
        <f t="shared" si="120"/>
        <v>0</v>
      </c>
      <c r="AW206" s="795">
        <f t="shared" si="121"/>
        <v>0</v>
      </c>
      <c r="AX206" s="795">
        <f t="shared" si="122"/>
        <v>0</v>
      </c>
      <c r="AY206" s="1025">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0"/>
      <c r="B207" s="1090"/>
      <c r="C207" s="1090"/>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3"/>
      <c r="AV207" s="795">
        <f t="shared" si="120"/>
        <v>0</v>
      </c>
      <c r="AW207" s="795">
        <f t="shared" si="121"/>
        <v>0</v>
      </c>
      <c r="AX207" s="795">
        <f t="shared" si="122"/>
        <v>0</v>
      </c>
      <c r="AY207" s="1025">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0"/>
      <c r="B208" s="1098"/>
      <c r="C208" s="1098"/>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5">
        <f t="shared" ref="AV208:AV302" si="127">A208</f>
        <v>0</v>
      </c>
      <c r="AW208" s="795">
        <f t="shared" ref="AW208:AW302" si="128">B208</f>
        <v>0</v>
      </c>
      <c r="AX208" s="795">
        <f t="shared" ref="AX208:AX302" si="129">C208</f>
        <v>0</v>
      </c>
      <c r="AY208" s="1025">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0"/>
      <c r="B209" s="1098"/>
      <c r="C209" s="1098"/>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5">
        <f t="shared" si="127"/>
        <v>0</v>
      </c>
      <c r="AW209" s="795">
        <f t="shared" si="128"/>
        <v>0</v>
      </c>
      <c r="AX209" s="795">
        <f t="shared" si="129"/>
        <v>0</v>
      </c>
      <c r="AY209" s="1025">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0"/>
      <c r="B210" s="1098"/>
      <c r="C210" s="1098"/>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5">
        <f t="shared" si="127"/>
        <v>0</v>
      </c>
      <c r="AW210" s="795">
        <f t="shared" si="128"/>
        <v>0</v>
      </c>
      <c r="AX210" s="795">
        <f t="shared" si="129"/>
        <v>0</v>
      </c>
      <c r="AY210" s="1025">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0"/>
      <c r="B211" s="1098"/>
      <c r="C211" s="1098"/>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5">
        <f t="shared" si="127"/>
        <v>0</v>
      </c>
      <c r="AW211" s="795">
        <f t="shared" si="128"/>
        <v>0</v>
      </c>
      <c r="AX211" s="795">
        <f t="shared" si="129"/>
        <v>0</v>
      </c>
      <c r="AY211" s="1025">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0"/>
      <c r="B212" s="1098"/>
      <c r="C212" s="1098"/>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5">
        <f t="shared" si="127"/>
        <v>0</v>
      </c>
      <c r="AW212" s="795">
        <f t="shared" si="128"/>
        <v>0</v>
      </c>
      <c r="AX212" s="795">
        <f t="shared" si="129"/>
        <v>0</v>
      </c>
      <c r="AY212" s="1025">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0"/>
      <c r="B213" s="1098"/>
      <c r="C213" s="1098"/>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5">
        <f t="shared" si="127"/>
        <v>0</v>
      </c>
      <c r="AW213" s="795">
        <f t="shared" si="128"/>
        <v>0</v>
      </c>
      <c r="AX213" s="795">
        <f t="shared" si="129"/>
        <v>0</v>
      </c>
      <c r="AY213" s="1025">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0"/>
      <c r="B214" s="1098"/>
      <c r="C214" s="1098"/>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5">
        <f t="shared" si="127"/>
        <v>0</v>
      </c>
      <c r="AW214" s="795">
        <f t="shared" si="128"/>
        <v>0</v>
      </c>
      <c r="AX214" s="795">
        <f t="shared" si="129"/>
        <v>0</v>
      </c>
      <c r="AY214" s="1025">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0"/>
      <c r="B215" s="1098"/>
      <c r="C215" s="1098"/>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5">
        <f t="shared" si="127"/>
        <v>0</v>
      </c>
      <c r="AW215" s="795">
        <f t="shared" si="128"/>
        <v>0</v>
      </c>
      <c r="AX215" s="795">
        <f t="shared" si="129"/>
        <v>0</v>
      </c>
      <c r="AY215" s="1025">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0"/>
      <c r="B216" s="1098"/>
      <c r="C216" s="1098"/>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5">
        <f t="shared" si="127"/>
        <v>0</v>
      </c>
      <c r="AW216" s="795">
        <f t="shared" si="128"/>
        <v>0</v>
      </c>
      <c r="AX216" s="795">
        <f t="shared" si="129"/>
        <v>0</v>
      </c>
      <c r="AY216" s="1025">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0"/>
      <c r="B217" s="1098"/>
      <c r="C217" s="1098"/>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5">
        <f t="shared" si="127"/>
        <v>0</v>
      </c>
      <c r="AW217" s="795">
        <f t="shared" si="128"/>
        <v>0</v>
      </c>
      <c r="AX217" s="795">
        <f t="shared" si="129"/>
        <v>0</v>
      </c>
      <c r="AY217" s="1025">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0"/>
      <c r="B218" s="1098"/>
      <c r="C218" s="1098"/>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5">
        <f t="shared" si="127"/>
        <v>0</v>
      </c>
      <c r="AW218" s="795">
        <f t="shared" si="128"/>
        <v>0</v>
      </c>
      <c r="AX218" s="795">
        <f t="shared" si="129"/>
        <v>0</v>
      </c>
      <c r="AY218" s="1025">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0"/>
      <c r="B219" s="1098"/>
      <c r="C219" s="1098"/>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5">
        <f t="shared" si="127"/>
        <v>0</v>
      </c>
      <c r="AW219" s="795">
        <f t="shared" si="128"/>
        <v>0</v>
      </c>
      <c r="AX219" s="795">
        <f t="shared" si="129"/>
        <v>0</v>
      </c>
      <c r="AY219" s="1025">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0"/>
      <c r="B220" s="1098"/>
      <c r="C220" s="1098"/>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5">
        <f t="shared" si="127"/>
        <v>0</v>
      </c>
      <c r="AW220" s="795">
        <f t="shared" si="128"/>
        <v>0</v>
      </c>
      <c r="AX220" s="795">
        <f t="shared" si="129"/>
        <v>0</v>
      </c>
      <c r="AY220" s="1025">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0"/>
      <c r="B221" s="1098"/>
      <c r="C221" s="1098"/>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5">
        <f t="shared" si="127"/>
        <v>0</v>
      </c>
      <c r="AW221" s="795">
        <f t="shared" si="128"/>
        <v>0</v>
      </c>
      <c r="AX221" s="795">
        <f t="shared" si="129"/>
        <v>0</v>
      </c>
      <c r="AY221" s="1025">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0"/>
      <c r="B222" s="1098"/>
      <c r="C222" s="1098"/>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5">
        <f t="shared" si="127"/>
        <v>0</v>
      </c>
      <c r="AW222" s="795">
        <f t="shared" si="128"/>
        <v>0</v>
      </c>
      <c r="AX222" s="795">
        <f t="shared" si="129"/>
        <v>0</v>
      </c>
      <c r="AY222" s="1025">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0"/>
      <c r="B223" s="1098"/>
      <c r="C223" s="1098"/>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5">
        <f t="shared" si="127"/>
        <v>0</v>
      </c>
      <c r="AW223" s="795">
        <f t="shared" si="128"/>
        <v>0</v>
      </c>
      <c r="AX223" s="795">
        <f t="shared" si="129"/>
        <v>0</v>
      </c>
      <c r="AY223" s="1025">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0"/>
      <c r="B224" s="1098"/>
      <c r="C224" s="1098"/>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5">
        <f t="shared" si="127"/>
        <v>0</v>
      </c>
      <c r="AW224" s="795">
        <f t="shared" si="128"/>
        <v>0</v>
      </c>
      <c r="AX224" s="795">
        <f t="shared" si="129"/>
        <v>0</v>
      </c>
      <c r="AY224" s="1025">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0"/>
      <c r="B225" s="1098"/>
      <c r="C225" s="1098"/>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5">
        <f t="shared" si="127"/>
        <v>0</v>
      </c>
      <c r="AW225" s="795">
        <f t="shared" si="128"/>
        <v>0</v>
      </c>
      <c r="AX225" s="795">
        <f t="shared" si="129"/>
        <v>0</v>
      </c>
      <c r="AY225" s="1025">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0"/>
      <c r="B226" s="1098"/>
      <c r="C226" s="1098"/>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5">
        <f t="shared" si="127"/>
        <v>0</v>
      </c>
      <c r="AW226" s="795">
        <f t="shared" si="128"/>
        <v>0</v>
      </c>
      <c r="AX226" s="795">
        <f t="shared" si="129"/>
        <v>0</v>
      </c>
      <c r="AY226" s="1025">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0"/>
      <c r="B227" s="1098"/>
      <c r="C227" s="1098"/>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5">
        <f t="shared" si="127"/>
        <v>0</v>
      </c>
      <c r="AW227" s="795">
        <f t="shared" si="128"/>
        <v>0</v>
      </c>
      <c r="AX227" s="795">
        <f t="shared" si="129"/>
        <v>0</v>
      </c>
      <c r="AY227" s="1025">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0"/>
      <c r="B228" s="1098"/>
      <c r="C228" s="1098"/>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5">
        <f t="shared" si="127"/>
        <v>0</v>
      </c>
      <c r="AW228" s="795">
        <f t="shared" si="128"/>
        <v>0</v>
      </c>
      <c r="AX228" s="795">
        <f t="shared" si="129"/>
        <v>0</v>
      </c>
      <c r="AY228" s="1025">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0"/>
      <c r="B229" s="1098"/>
      <c r="C229" s="1098"/>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5">
        <f t="shared" si="127"/>
        <v>0</v>
      </c>
      <c r="AW229" s="795">
        <f t="shared" si="128"/>
        <v>0</v>
      </c>
      <c r="AX229" s="795">
        <f t="shared" si="129"/>
        <v>0</v>
      </c>
      <c r="AY229" s="1025">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0"/>
      <c r="B230" s="1098"/>
      <c r="C230" s="1098"/>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5">
        <f t="shared" si="127"/>
        <v>0</v>
      </c>
      <c r="AW230" s="795">
        <f t="shared" si="128"/>
        <v>0</v>
      </c>
      <c r="AX230" s="795">
        <f t="shared" si="129"/>
        <v>0</v>
      </c>
      <c r="AY230" s="1025">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0"/>
      <c r="B231" s="1098"/>
      <c r="C231" s="1098"/>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5">
        <f t="shared" si="127"/>
        <v>0</v>
      </c>
      <c r="AW231" s="795">
        <f t="shared" si="128"/>
        <v>0</v>
      </c>
      <c r="AX231" s="795">
        <f t="shared" si="129"/>
        <v>0</v>
      </c>
      <c r="AY231" s="1025">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0"/>
      <c r="B232" s="1098"/>
      <c r="C232" s="1098"/>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5">
        <f t="shared" si="127"/>
        <v>0</v>
      </c>
      <c r="AW232" s="795">
        <f t="shared" si="128"/>
        <v>0</v>
      </c>
      <c r="AX232" s="795">
        <f t="shared" si="129"/>
        <v>0</v>
      </c>
      <c r="AY232" s="1025">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0"/>
      <c r="B233" s="1098"/>
      <c r="C233" s="1098"/>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5">
        <f t="shared" si="127"/>
        <v>0</v>
      </c>
      <c r="AW233" s="795">
        <f t="shared" si="128"/>
        <v>0</v>
      </c>
      <c r="AX233" s="795">
        <f t="shared" si="129"/>
        <v>0</v>
      </c>
      <c r="AY233" s="1025">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0"/>
      <c r="B234" s="1098"/>
      <c r="C234" s="1098"/>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5">
        <f t="shared" si="127"/>
        <v>0</v>
      </c>
      <c r="AW234" s="795">
        <f t="shared" si="128"/>
        <v>0</v>
      </c>
      <c r="AX234" s="795">
        <f t="shared" si="129"/>
        <v>0</v>
      </c>
      <c r="AY234" s="1025">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0"/>
      <c r="B235" s="1098"/>
      <c r="C235" s="1098"/>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5">
        <f t="shared" si="127"/>
        <v>0</v>
      </c>
      <c r="AW235" s="795">
        <f t="shared" si="128"/>
        <v>0</v>
      </c>
      <c r="AX235" s="795">
        <f t="shared" si="129"/>
        <v>0</v>
      </c>
      <c r="AY235" s="1025">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0"/>
      <c r="B236" s="1098"/>
      <c r="C236" s="1098"/>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5">
        <f t="shared" si="127"/>
        <v>0</v>
      </c>
      <c r="AW236" s="795">
        <f t="shared" si="128"/>
        <v>0</v>
      </c>
      <c r="AX236" s="795">
        <f t="shared" si="129"/>
        <v>0</v>
      </c>
      <c r="AY236" s="1025">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0"/>
      <c r="B237" s="1098"/>
      <c r="C237" s="1098"/>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5">
        <f t="shared" si="127"/>
        <v>0</v>
      </c>
      <c r="AW237" s="795">
        <f t="shared" si="128"/>
        <v>0</v>
      </c>
      <c r="AX237" s="795">
        <f t="shared" si="129"/>
        <v>0</v>
      </c>
      <c r="AY237" s="1025">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0"/>
      <c r="B238" s="1098"/>
      <c r="C238" s="1098"/>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5">
        <f t="shared" si="127"/>
        <v>0</v>
      </c>
      <c r="AW238" s="795">
        <f t="shared" si="128"/>
        <v>0</v>
      </c>
      <c r="AX238" s="795">
        <f t="shared" si="129"/>
        <v>0</v>
      </c>
      <c r="AY238" s="1025">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0"/>
      <c r="B239" s="1098"/>
      <c r="C239" s="1098"/>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5">
        <f t="shared" si="127"/>
        <v>0</v>
      </c>
      <c r="AW239" s="795">
        <f t="shared" si="128"/>
        <v>0</v>
      </c>
      <c r="AX239" s="795">
        <f t="shared" si="129"/>
        <v>0</v>
      </c>
      <c r="AY239" s="1025">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0"/>
      <c r="B240" s="1098"/>
      <c r="C240" s="1098"/>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5">
        <f t="shared" si="127"/>
        <v>0</v>
      </c>
      <c r="AW240" s="795">
        <f t="shared" si="128"/>
        <v>0</v>
      </c>
      <c r="AX240" s="795">
        <f t="shared" si="129"/>
        <v>0</v>
      </c>
      <c r="AY240" s="1025">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0"/>
      <c r="B241" s="1098"/>
      <c r="C241" s="1098"/>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5">
        <f t="shared" si="127"/>
        <v>0</v>
      </c>
      <c r="AW241" s="795">
        <f t="shared" si="128"/>
        <v>0</v>
      </c>
      <c r="AX241" s="795">
        <f t="shared" si="129"/>
        <v>0</v>
      </c>
      <c r="AY241" s="1025">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0"/>
      <c r="B242" s="1098"/>
      <c r="C242" s="1098"/>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5">
        <f t="shared" si="127"/>
        <v>0</v>
      </c>
      <c r="AW242" s="795">
        <f t="shared" si="128"/>
        <v>0</v>
      </c>
      <c r="AX242" s="795">
        <f t="shared" si="129"/>
        <v>0</v>
      </c>
      <c r="AY242" s="1025">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0"/>
      <c r="B243" s="1098"/>
      <c r="C243" s="1098"/>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5">
        <f t="shared" si="127"/>
        <v>0</v>
      </c>
      <c r="AW243" s="795">
        <f t="shared" si="128"/>
        <v>0</v>
      </c>
      <c r="AX243" s="795">
        <f t="shared" si="129"/>
        <v>0</v>
      </c>
      <c r="AY243" s="1025">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0"/>
      <c r="B244" s="1098"/>
      <c r="C244" s="1098"/>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5">
        <f t="shared" si="127"/>
        <v>0</v>
      </c>
      <c r="AW244" s="795">
        <f t="shared" si="128"/>
        <v>0</v>
      </c>
      <c r="AX244" s="795">
        <f t="shared" si="129"/>
        <v>0</v>
      </c>
      <c r="AY244" s="1025">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0"/>
      <c r="B245" s="1098"/>
      <c r="C245" s="1098"/>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5">
        <f t="shared" si="127"/>
        <v>0</v>
      </c>
      <c r="AW245" s="795">
        <f t="shared" si="128"/>
        <v>0</v>
      </c>
      <c r="AX245" s="795">
        <f t="shared" si="129"/>
        <v>0</v>
      </c>
      <c r="AY245" s="1025">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0"/>
      <c r="B246" s="1098"/>
      <c r="C246" s="1098"/>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5">
        <f t="shared" si="127"/>
        <v>0</v>
      </c>
      <c r="AW246" s="795">
        <f t="shared" si="128"/>
        <v>0</v>
      </c>
      <c r="AX246" s="795">
        <f t="shared" si="129"/>
        <v>0</v>
      </c>
      <c r="AY246" s="1025">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0"/>
      <c r="B247" s="1098"/>
      <c r="C247" s="1098"/>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5">
        <f t="shared" si="127"/>
        <v>0</v>
      </c>
      <c r="AW247" s="795">
        <f t="shared" si="128"/>
        <v>0</v>
      </c>
      <c r="AX247" s="795">
        <f t="shared" si="129"/>
        <v>0</v>
      </c>
      <c r="AY247" s="1025">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0"/>
      <c r="B248" s="1098"/>
      <c r="C248" s="1098"/>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5">
        <f t="shared" si="127"/>
        <v>0</v>
      </c>
      <c r="AW248" s="795">
        <f t="shared" si="128"/>
        <v>0</v>
      </c>
      <c r="AX248" s="795">
        <f t="shared" si="129"/>
        <v>0</v>
      </c>
      <c r="AY248" s="1025">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0"/>
      <c r="B249" s="1098"/>
      <c r="C249" s="1098"/>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5">
        <f t="shared" si="127"/>
        <v>0</v>
      </c>
      <c r="AW249" s="795">
        <f t="shared" si="128"/>
        <v>0</v>
      </c>
      <c r="AX249" s="795">
        <f t="shared" si="129"/>
        <v>0</v>
      </c>
      <c r="AY249" s="1025">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0"/>
      <c r="B250" s="1098"/>
      <c r="C250" s="1098"/>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5">
        <f t="shared" si="127"/>
        <v>0</v>
      </c>
      <c r="AW250" s="795">
        <f t="shared" si="128"/>
        <v>0</v>
      </c>
      <c r="AX250" s="795">
        <f t="shared" si="129"/>
        <v>0</v>
      </c>
      <c r="AY250" s="1025">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0"/>
      <c r="B251" s="1098"/>
      <c r="C251" s="1098"/>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5">
        <f t="shared" si="127"/>
        <v>0</v>
      </c>
      <c r="AW251" s="795">
        <f t="shared" si="128"/>
        <v>0</v>
      </c>
      <c r="AX251" s="795">
        <f t="shared" si="129"/>
        <v>0</v>
      </c>
      <c r="AY251" s="1025">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0"/>
      <c r="B252" s="1098"/>
      <c r="C252" s="1098"/>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5">
        <f t="shared" si="127"/>
        <v>0</v>
      </c>
      <c r="AW252" s="795">
        <f t="shared" si="128"/>
        <v>0</v>
      </c>
      <c r="AX252" s="795">
        <f t="shared" si="129"/>
        <v>0</v>
      </c>
      <c r="AY252" s="1025">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0"/>
      <c r="B253" s="1098"/>
      <c r="C253" s="1098"/>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5">
        <f t="shared" si="127"/>
        <v>0</v>
      </c>
      <c r="AW253" s="795">
        <f t="shared" si="128"/>
        <v>0</v>
      </c>
      <c r="AX253" s="795">
        <f t="shared" si="129"/>
        <v>0</v>
      </c>
      <c r="AY253" s="1025">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0"/>
      <c r="B254" s="1098"/>
      <c r="C254" s="1098"/>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5">
        <f t="shared" si="127"/>
        <v>0</v>
      </c>
      <c r="AW254" s="795">
        <f t="shared" si="128"/>
        <v>0</v>
      </c>
      <c r="AX254" s="795">
        <f t="shared" si="129"/>
        <v>0</v>
      </c>
      <c r="AY254" s="1025">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0"/>
      <c r="B255" s="1098"/>
      <c r="C255" s="1098"/>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5">
        <f t="shared" si="127"/>
        <v>0</v>
      </c>
      <c r="AW255" s="795">
        <f t="shared" si="128"/>
        <v>0</v>
      </c>
      <c r="AX255" s="795">
        <f t="shared" si="129"/>
        <v>0</v>
      </c>
      <c r="AY255" s="1025">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0"/>
      <c r="B256" s="1098"/>
      <c r="C256" s="1098"/>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5">
        <f t="shared" si="127"/>
        <v>0</v>
      </c>
      <c r="AW256" s="795">
        <f t="shared" si="128"/>
        <v>0</v>
      </c>
      <c r="AX256" s="795">
        <f t="shared" si="129"/>
        <v>0</v>
      </c>
      <c r="AY256" s="1025">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0"/>
      <c r="B257" s="1098"/>
      <c r="C257" s="1098"/>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5">
        <f t="shared" si="127"/>
        <v>0</v>
      </c>
      <c r="AW257" s="795">
        <f t="shared" si="128"/>
        <v>0</v>
      </c>
      <c r="AX257" s="795">
        <f t="shared" si="129"/>
        <v>0</v>
      </c>
      <c r="AY257" s="1025">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0"/>
      <c r="B258" s="1098"/>
      <c r="C258" s="1098"/>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5">
        <f t="shared" si="127"/>
        <v>0</v>
      </c>
      <c r="AW258" s="795">
        <f t="shared" si="128"/>
        <v>0</v>
      </c>
      <c r="AX258" s="795">
        <f t="shared" si="129"/>
        <v>0</v>
      </c>
      <c r="AY258" s="1025">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0"/>
      <c r="B259" s="1098"/>
      <c r="C259" s="1098"/>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5">
        <f t="shared" si="127"/>
        <v>0</v>
      </c>
      <c r="AW259" s="795">
        <f t="shared" si="128"/>
        <v>0</v>
      </c>
      <c r="AX259" s="795">
        <f t="shared" si="129"/>
        <v>0</v>
      </c>
      <c r="AY259" s="1025">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0"/>
      <c r="B260" s="1098"/>
      <c r="C260" s="1098"/>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5">
        <f t="shared" si="127"/>
        <v>0</v>
      </c>
      <c r="AW260" s="795">
        <f t="shared" si="128"/>
        <v>0</v>
      </c>
      <c r="AX260" s="795">
        <f t="shared" si="129"/>
        <v>0</v>
      </c>
      <c r="AY260" s="1025">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0"/>
      <c r="B261" s="1098"/>
      <c r="C261" s="1098"/>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5">
        <f t="shared" si="127"/>
        <v>0</v>
      </c>
      <c r="AW261" s="795">
        <f t="shared" si="128"/>
        <v>0</v>
      </c>
      <c r="AX261" s="795">
        <f t="shared" si="129"/>
        <v>0</v>
      </c>
      <c r="AY261" s="1025">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0"/>
      <c r="B262" s="1098"/>
      <c r="C262" s="1098"/>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5">
        <f t="shared" si="127"/>
        <v>0</v>
      </c>
      <c r="AW262" s="795">
        <f t="shared" si="128"/>
        <v>0</v>
      </c>
      <c r="AX262" s="795">
        <f t="shared" si="129"/>
        <v>0</v>
      </c>
      <c r="AY262" s="1025">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0"/>
      <c r="B263" s="1098"/>
      <c r="C263" s="1098"/>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5">
        <f t="shared" si="127"/>
        <v>0</v>
      </c>
      <c r="AW263" s="795">
        <f t="shared" si="128"/>
        <v>0</v>
      </c>
      <c r="AX263" s="795">
        <f t="shared" si="129"/>
        <v>0</v>
      </c>
      <c r="AY263" s="1025">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0"/>
      <c r="B264" s="1098"/>
      <c r="C264" s="1098"/>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5">
        <f t="shared" si="127"/>
        <v>0</v>
      </c>
      <c r="AW264" s="795">
        <f t="shared" si="128"/>
        <v>0</v>
      </c>
      <c r="AX264" s="795">
        <f t="shared" si="129"/>
        <v>0</v>
      </c>
      <c r="AY264" s="1025">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0"/>
      <c r="B265" s="1098"/>
      <c r="C265" s="1098"/>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5">
        <f t="shared" si="127"/>
        <v>0</v>
      </c>
      <c r="AW265" s="795">
        <f t="shared" si="128"/>
        <v>0</v>
      </c>
      <c r="AX265" s="795">
        <f t="shared" si="129"/>
        <v>0</v>
      </c>
      <c r="AY265" s="1025">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0"/>
      <c r="B266" s="1098"/>
      <c r="C266" s="1098"/>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5">
        <f t="shared" si="127"/>
        <v>0</v>
      </c>
      <c r="AW266" s="795">
        <f t="shared" si="128"/>
        <v>0</v>
      </c>
      <c r="AX266" s="795">
        <f t="shared" si="129"/>
        <v>0</v>
      </c>
      <c r="AY266" s="1025">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0"/>
      <c r="B267" s="1098"/>
      <c r="C267" s="1098"/>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5">
        <f t="shared" si="127"/>
        <v>0</v>
      </c>
      <c r="AW267" s="795">
        <f t="shared" si="128"/>
        <v>0</v>
      </c>
      <c r="AX267" s="795">
        <f t="shared" si="129"/>
        <v>0</v>
      </c>
      <c r="AY267" s="1025">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0"/>
      <c r="B268" s="1098"/>
      <c r="C268" s="1098"/>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5">
        <f t="shared" si="127"/>
        <v>0</v>
      </c>
      <c r="AW268" s="795">
        <f t="shared" si="128"/>
        <v>0</v>
      </c>
      <c r="AX268" s="795">
        <f t="shared" si="129"/>
        <v>0</v>
      </c>
      <c r="AY268" s="1025">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0"/>
      <c r="B269" s="1098"/>
      <c r="C269" s="1098"/>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5">
        <f t="shared" si="127"/>
        <v>0</v>
      </c>
      <c r="AW269" s="795">
        <f t="shared" si="128"/>
        <v>0</v>
      </c>
      <c r="AX269" s="795">
        <f t="shared" si="129"/>
        <v>0</v>
      </c>
      <c r="AY269" s="1025">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0"/>
      <c r="B270" s="1098"/>
      <c r="C270" s="1098"/>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5">
        <f t="shared" si="127"/>
        <v>0</v>
      </c>
      <c r="AW270" s="795">
        <f t="shared" si="128"/>
        <v>0</v>
      </c>
      <c r="AX270" s="795">
        <f t="shared" si="129"/>
        <v>0</v>
      </c>
      <c r="AY270" s="1025">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0"/>
      <c r="B271" s="1098"/>
      <c r="C271" s="1098"/>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5">
        <f t="shared" si="127"/>
        <v>0</v>
      </c>
      <c r="AW271" s="795">
        <f t="shared" si="128"/>
        <v>0</v>
      </c>
      <c r="AX271" s="795">
        <f t="shared" si="129"/>
        <v>0</v>
      </c>
      <c r="AY271" s="1025">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0"/>
      <c r="B272" s="1098"/>
      <c r="C272" s="1098"/>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5">
        <f t="shared" si="127"/>
        <v>0</v>
      </c>
      <c r="AW272" s="795">
        <f t="shared" si="128"/>
        <v>0</v>
      </c>
      <c r="AX272" s="795">
        <f t="shared" si="129"/>
        <v>0</v>
      </c>
      <c r="AY272" s="1025">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0"/>
      <c r="B273" s="1098"/>
      <c r="C273" s="1098"/>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5">
        <f t="shared" si="127"/>
        <v>0</v>
      </c>
      <c r="AW273" s="795">
        <f t="shared" si="128"/>
        <v>0</v>
      </c>
      <c r="AX273" s="795">
        <f t="shared" si="129"/>
        <v>0</v>
      </c>
      <c r="AY273" s="1025">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0"/>
      <c r="B274" s="1098"/>
      <c r="C274" s="1098"/>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5">
        <f t="shared" si="127"/>
        <v>0</v>
      </c>
      <c r="AW274" s="795">
        <f t="shared" si="128"/>
        <v>0</v>
      </c>
      <c r="AX274" s="795">
        <f t="shared" si="129"/>
        <v>0</v>
      </c>
      <c r="AY274" s="1025">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0"/>
      <c r="B275" s="1098"/>
      <c r="C275" s="1098"/>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5">
        <f t="shared" si="127"/>
        <v>0</v>
      </c>
      <c r="AW275" s="795">
        <f t="shared" si="128"/>
        <v>0</v>
      </c>
      <c r="AX275" s="795">
        <f t="shared" si="129"/>
        <v>0</v>
      </c>
      <c r="AY275" s="1025">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0"/>
      <c r="B276" s="1098"/>
      <c r="C276" s="1098"/>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5">
        <f t="shared" si="127"/>
        <v>0</v>
      </c>
      <c r="AW276" s="795">
        <f t="shared" si="128"/>
        <v>0</v>
      </c>
      <c r="AX276" s="795">
        <f t="shared" si="129"/>
        <v>0</v>
      </c>
      <c r="AY276" s="1025">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0"/>
      <c r="B277" s="1098"/>
      <c r="C277" s="1098"/>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5">
        <f t="shared" si="127"/>
        <v>0</v>
      </c>
      <c r="AW277" s="795">
        <f t="shared" si="128"/>
        <v>0</v>
      </c>
      <c r="AX277" s="795">
        <f t="shared" si="129"/>
        <v>0</v>
      </c>
      <c r="AY277" s="1025">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0"/>
      <c r="B278" s="1098"/>
      <c r="C278" s="1098"/>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5">
        <f t="shared" si="127"/>
        <v>0</v>
      </c>
      <c r="AW278" s="795">
        <f t="shared" si="128"/>
        <v>0</v>
      </c>
      <c r="AX278" s="795">
        <f t="shared" si="129"/>
        <v>0</v>
      </c>
      <c r="AY278" s="1025">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0"/>
      <c r="B279" s="1098"/>
      <c r="C279" s="1098"/>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5">
        <f t="shared" si="127"/>
        <v>0</v>
      </c>
      <c r="AW279" s="795">
        <f t="shared" si="128"/>
        <v>0</v>
      </c>
      <c r="AX279" s="795">
        <f t="shared" si="129"/>
        <v>0</v>
      </c>
      <c r="AY279" s="1025">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0"/>
      <c r="B280" s="1098"/>
      <c r="C280" s="1098"/>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5">
        <f t="shared" si="127"/>
        <v>0</v>
      </c>
      <c r="AW280" s="795">
        <f t="shared" si="128"/>
        <v>0</v>
      </c>
      <c r="AX280" s="795">
        <f t="shared" si="129"/>
        <v>0</v>
      </c>
      <c r="AY280" s="1025">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0"/>
      <c r="B281" s="1098"/>
      <c r="C281" s="1098"/>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5">
        <f t="shared" si="127"/>
        <v>0</v>
      </c>
      <c r="AW281" s="795">
        <f t="shared" si="128"/>
        <v>0</v>
      </c>
      <c r="AX281" s="795">
        <f t="shared" si="129"/>
        <v>0</v>
      </c>
      <c r="AY281" s="1025">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0"/>
      <c r="B282" s="1098"/>
      <c r="C282" s="1098"/>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5">
        <f t="shared" si="127"/>
        <v>0</v>
      </c>
      <c r="AW282" s="795">
        <f t="shared" si="128"/>
        <v>0</v>
      </c>
      <c r="AX282" s="795">
        <f t="shared" si="129"/>
        <v>0</v>
      </c>
      <c r="AY282" s="1025">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0"/>
      <c r="B283" s="1098"/>
      <c r="C283" s="1098"/>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5">
        <f t="shared" si="127"/>
        <v>0</v>
      </c>
      <c r="AW283" s="795">
        <f t="shared" si="128"/>
        <v>0</v>
      </c>
      <c r="AX283" s="795">
        <f t="shared" si="129"/>
        <v>0</v>
      </c>
      <c r="AY283" s="1025">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0"/>
      <c r="B284" s="1098"/>
      <c r="C284" s="1098"/>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5">
        <f t="shared" si="127"/>
        <v>0</v>
      </c>
      <c r="AW284" s="795">
        <f t="shared" si="128"/>
        <v>0</v>
      </c>
      <c r="AX284" s="795">
        <f t="shared" si="129"/>
        <v>0</v>
      </c>
      <c r="AY284" s="1025">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0"/>
      <c r="B285" s="1098"/>
      <c r="C285" s="1098"/>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5">
        <f t="shared" si="127"/>
        <v>0</v>
      </c>
      <c r="AW285" s="795">
        <f t="shared" si="128"/>
        <v>0</v>
      </c>
      <c r="AX285" s="795">
        <f t="shared" si="129"/>
        <v>0</v>
      </c>
      <c r="AY285" s="1025">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0"/>
      <c r="B286" s="1098"/>
      <c r="C286" s="1098"/>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5">
        <f t="shared" si="127"/>
        <v>0</v>
      </c>
      <c r="AW286" s="795">
        <f t="shared" si="128"/>
        <v>0</v>
      </c>
      <c r="AX286" s="795">
        <f t="shared" si="129"/>
        <v>0</v>
      </c>
      <c r="AY286" s="1025">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0"/>
      <c r="B287" s="1098"/>
      <c r="C287" s="1098"/>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5">
        <f t="shared" si="127"/>
        <v>0</v>
      </c>
      <c r="AW287" s="795">
        <f t="shared" si="128"/>
        <v>0</v>
      </c>
      <c r="AX287" s="795">
        <f t="shared" si="129"/>
        <v>0</v>
      </c>
      <c r="AY287" s="1025">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0"/>
      <c r="B288" s="1098"/>
      <c r="C288" s="1098"/>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5">
        <f t="shared" si="127"/>
        <v>0</v>
      </c>
      <c r="AW288" s="795">
        <f t="shared" si="128"/>
        <v>0</v>
      </c>
      <c r="AX288" s="795">
        <f t="shared" si="129"/>
        <v>0</v>
      </c>
      <c r="AY288" s="1025">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0"/>
      <c r="B289" s="1098"/>
      <c r="C289" s="1098"/>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5">
        <f t="shared" si="127"/>
        <v>0</v>
      </c>
      <c r="AW289" s="795">
        <f t="shared" si="128"/>
        <v>0</v>
      </c>
      <c r="AX289" s="795">
        <f t="shared" si="129"/>
        <v>0</v>
      </c>
      <c r="AY289" s="1025">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0"/>
      <c r="B290" s="1098"/>
      <c r="C290" s="1098"/>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5">
        <f t="shared" si="127"/>
        <v>0</v>
      </c>
      <c r="AW290" s="795">
        <f t="shared" si="128"/>
        <v>0</v>
      </c>
      <c r="AX290" s="795">
        <f t="shared" si="129"/>
        <v>0</v>
      </c>
      <c r="AY290" s="1025">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0"/>
      <c r="B291" s="1098"/>
      <c r="C291" s="1098"/>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5">
        <f t="shared" si="127"/>
        <v>0</v>
      </c>
      <c r="AW291" s="795">
        <f t="shared" si="128"/>
        <v>0</v>
      </c>
      <c r="AX291" s="795">
        <f t="shared" si="129"/>
        <v>0</v>
      </c>
      <c r="AY291" s="1025">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0"/>
      <c r="B292" s="1098"/>
      <c r="C292" s="1098"/>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5">
        <f t="shared" si="127"/>
        <v>0</v>
      </c>
      <c r="AW292" s="795">
        <f t="shared" si="128"/>
        <v>0</v>
      </c>
      <c r="AX292" s="795">
        <f t="shared" si="129"/>
        <v>0</v>
      </c>
      <c r="AY292" s="1025">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0"/>
      <c r="B293" s="1098"/>
      <c r="C293" s="1098"/>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5">
        <f t="shared" si="127"/>
        <v>0</v>
      </c>
      <c r="AW293" s="795">
        <f t="shared" si="128"/>
        <v>0</v>
      </c>
      <c r="AX293" s="795">
        <f t="shared" si="129"/>
        <v>0</v>
      </c>
      <c r="AY293" s="1025">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0"/>
      <c r="B294" s="1098"/>
      <c r="C294" s="1098"/>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5">
        <f t="shared" si="127"/>
        <v>0</v>
      </c>
      <c r="AW294" s="795">
        <f t="shared" si="128"/>
        <v>0</v>
      </c>
      <c r="AX294" s="795">
        <f t="shared" si="129"/>
        <v>0</v>
      </c>
      <c r="AY294" s="1025">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0"/>
      <c r="B295" s="1098"/>
      <c r="C295" s="1098"/>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5">
        <f t="shared" si="127"/>
        <v>0</v>
      </c>
      <c r="AW295" s="795">
        <f t="shared" si="128"/>
        <v>0</v>
      </c>
      <c r="AX295" s="795">
        <f t="shared" si="129"/>
        <v>0</v>
      </c>
      <c r="AY295" s="1025">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0"/>
      <c r="B296" s="1098"/>
      <c r="C296" s="1098"/>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5">
        <f t="shared" si="127"/>
        <v>0</v>
      </c>
      <c r="AW296" s="795">
        <f t="shared" si="128"/>
        <v>0</v>
      </c>
      <c r="AX296" s="795">
        <f t="shared" si="129"/>
        <v>0</v>
      </c>
      <c r="AY296" s="1025">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0"/>
      <c r="B297" s="1098"/>
      <c r="C297" s="1098"/>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5">
        <f t="shared" si="127"/>
        <v>0</v>
      </c>
      <c r="AW297" s="795">
        <f t="shared" si="128"/>
        <v>0</v>
      </c>
      <c r="AX297" s="795">
        <f t="shared" si="129"/>
        <v>0</v>
      </c>
      <c r="AY297" s="1025">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0"/>
      <c r="B298" s="1098"/>
      <c r="C298" s="1098"/>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5">
        <f t="shared" si="127"/>
        <v>0</v>
      </c>
      <c r="AW298" s="795">
        <f t="shared" si="128"/>
        <v>0</v>
      </c>
      <c r="AX298" s="795">
        <f t="shared" si="129"/>
        <v>0</v>
      </c>
      <c r="AY298" s="1025">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0"/>
      <c r="B299" s="1098"/>
      <c r="C299" s="1098"/>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5">
        <f t="shared" si="127"/>
        <v>0</v>
      </c>
      <c r="AW299" s="795">
        <f t="shared" si="128"/>
        <v>0</v>
      </c>
      <c r="AX299" s="795">
        <f t="shared" si="129"/>
        <v>0</v>
      </c>
      <c r="AY299" s="1025">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0"/>
      <c r="B300" s="1090"/>
      <c r="C300" s="1090"/>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3"/>
      <c r="AV300" s="795">
        <f t="shared" si="127"/>
        <v>0</v>
      </c>
      <c r="AW300" s="795">
        <f t="shared" si="128"/>
        <v>0</v>
      </c>
      <c r="AX300" s="795">
        <f t="shared" si="129"/>
        <v>0</v>
      </c>
      <c r="AY300" s="1025">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0"/>
      <c r="B301" s="1090"/>
      <c r="C301" s="1090"/>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3"/>
      <c r="AV301" s="795">
        <f t="shared" si="127"/>
        <v>0</v>
      </c>
      <c r="AW301" s="795">
        <f t="shared" si="128"/>
        <v>0</v>
      </c>
      <c r="AX301" s="795">
        <f t="shared" si="129"/>
        <v>0</v>
      </c>
      <c r="AY301" s="1025">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0"/>
      <c r="B302" s="1090"/>
      <c r="C302" s="1090"/>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3"/>
      <c r="AV302" s="795">
        <f t="shared" si="127"/>
        <v>0</v>
      </c>
      <c r="AW302" s="795">
        <f t="shared" si="128"/>
        <v>0</v>
      </c>
      <c r="AX302" s="795">
        <f t="shared" si="129"/>
        <v>0</v>
      </c>
      <c r="AY302" s="1025">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0"/>
      <c r="B303" s="1098"/>
      <c r="C303" s="1098"/>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5">
        <f t="shared" ref="AV303:AV334" si="178">A303</f>
        <v>0</v>
      </c>
      <c r="AW303" s="795">
        <f t="shared" ref="AW303:AW334" si="179">B303</f>
        <v>0</v>
      </c>
      <c r="AX303" s="795">
        <f t="shared" ref="AX303:AX334" si="180">C303</f>
        <v>0</v>
      </c>
      <c r="AY303" s="1025">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0"/>
      <c r="B304" s="1098"/>
      <c r="C304" s="1098"/>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5">
        <f t="shared" si="178"/>
        <v>0</v>
      </c>
      <c r="AW304" s="795">
        <f t="shared" si="179"/>
        <v>0</v>
      </c>
      <c r="AX304" s="795">
        <f t="shared" si="180"/>
        <v>0</v>
      </c>
      <c r="AY304" s="1025">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0"/>
      <c r="B305" s="1098"/>
      <c r="C305" s="1098"/>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5">
        <f t="shared" si="178"/>
        <v>0</v>
      </c>
      <c r="AW305" s="795">
        <f t="shared" si="179"/>
        <v>0</v>
      </c>
      <c r="AX305" s="795">
        <f t="shared" si="180"/>
        <v>0</v>
      </c>
      <c r="AY305" s="1025">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0"/>
      <c r="B306" s="1098"/>
      <c r="C306" s="1098"/>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5">
        <f t="shared" si="178"/>
        <v>0</v>
      </c>
      <c r="AW306" s="795">
        <f t="shared" si="179"/>
        <v>0</v>
      </c>
      <c r="AX306" s="795">
        <f t="shared" si="180"/>
        <v>0</v>
      </c>
      <c r="AY306" s="1025">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0"/>
      <c r="B307" s="1098"/>
      <c r="C307" s="1098"/>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5">
        <f t="shared" si="178"/>
        <v>0</v>
      </c>
      <c r="AW307" s="795">
        <f t="shared" si="179"/>
        <v>0</v>
      </c>
      <c r="AX307" s="795">
        <f t="shared" si="180"/>
        <v>0</v>
      </c>
      <c r="AY307" s="1025">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0"/>
      <c r="B308" s="1098"/>
      <c r="C308" s="1098"/>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5">
        <f t="shared" si="178"/>
        <v>0</v>
      </c>
      <c r="AW308" s="795">
        <f t="shared" si="179"/>
        <v>0</v>
      </c>
      <c r="AX308" s="795">
        <f t="shared" si="180"/>
        <v>0</v>
      </c>
      <c r="AY308" s="1025">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0"/>
      <c r="B309" s="1098"/>
      <c r="C309" s="1098"/>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5">
        <f t="shared" si="178"/>
        <v>0</v>
      </c>
      <c r="AW309" s="795">
        <f t="shared" si="179"/>
        <v>0</v>
      </c>
      <c r="AX309" s="795">
        <f t="shared" si="180"/>
        <v>0</v>
      </c>
      <c r="AY309" s="1025">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0"/>
      <c r="B310" s="1098"/>
      <c r="C310" s="1098"/>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5">
        <f t="shared" si="178"/>
        <v>0</v>
      </c>
      <c r="AW310" s="795">
        <f t="shared" si="179"/>
        <v>0</v>
      </c>
      <c r="AX310" s="795">
        <f t="shared" si="180"/>
        <v>0</v>
      </c>
      <c r="AY310" s="1025">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0"/>
      <c r="B311" s="1098"/>
      <c r="C311" s="1098"/>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5">
        <f t="shared" si="178"/>
        <v>0</v>
      </c>
      <c r="AW311" s="795">
        <f t="shared" si="179"/>
        <v>0</v>
      </c>
      <c r="AX311" s="795">
        <f t="shared" si="180"/>
        <v>0</v>
      </c>
      <c r="AY311" s="1025">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0"/>
      <c r="B312" s="1098"/>
      <c r="C312" s="1098"/>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5">
        <f t="shared" si="178"/>
        <v>0</v>
      </c>
      <c r="AW312" s="795">
        <f t="shared" si="179"/>
        <v>0</v>
      </c>
      <c r="AX312" s="795">
        <f t="shared" si="180"/>
        <v>0</v>
      </c>
      <c r="AY312" s="1025">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0"/>
      <c r="B313" s="1098"/>
      <c r="C313" s="1098"/>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5">
        <f t="shared" si="178"/>
        <v>0</v>
      </c>
      <c r="AW313" s="795">
        <f t="shared" si="179"/>
        <v>0</v>
      </c>
      <c r="AX313" s="795">
        <f t="shared" si="180"/>
        <v>0</v>
      </c>
      <c r="AY313" s="1025">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0"/>
      <c r="B314" s="1098"/>
      <c r="C314" s="1098"/>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5">
        <f t="shared" si="178"/>
        <v>0</v>
      </c>
      <c r="AW314" s="795">
        <f t="shared" si="179"/>
        <v>0</v>
      </c>
      <c r="AX314" s="795">
        <f t="shared" si="180"/>
        <v>0</v>
      </c>
      <c r="AY314" s="1025">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0"/>
      <c r="B315" s="1098"/>
      <c r="C315" s="1098"/>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5">
        <f t="shared" si="178"/>
        <v>0</v>
      </c>
      <c r="AW315" s="795">
        <f t="shared" si="179"/>
        <v>0</v>
      </c>
      <c r="AX315" s="795">
        <f t="shared" si="180"/>
        <v>0</v>
      </c>
      <c r="AY315" s="1025">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0"/>
      <c r="B316" s="1098"/>
      <c r="C316" s="1098"/>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5">
        <f t="shared" si="178"/>
        <v>0</v>
      </c>
      <c r="AW316" s="795">
        <f t="shared" si="179"/>
        <v>0</v>
      </c>
      <c r="AX316" s="795">
        <f t="shared" si="180"/>
        <v>0</v>
      </c>
      <c r="AY316" s="1025">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0"/>
      <c r="B317" s="1098"/>
      <c r="C317" s="1098"/>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5">
        <f t="shared" si="178"/>
        <v>0</v>
      </c>
      <c r="AW317" s="795">
        <f t="shared" si="179"/>
        <v>0</v>
      </c>
      <c r="AX317" s="795">
        <f t="shared" si="180"/>
        <v>0</v>
      </c>
      <c r="AY317" s="1025">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0"/>
      <c r="B318" s="1098"/>
      <c r="C318" s="1098"/>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5">
        <f t="shared" si="178"/>
        <v>0</v>
      </c>
      <c r="AW318" s="795">
        <f t="shared" si="179"/>
        <v>0</v>
      </c>
      <c r="AX318" s="795">
        <f t="shared" si="180"/>
        <v>0</v>
      </c>
      <c r="AY318" s="1025">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0"/>
      <c r="B319" s="1098"/>
      <c r="C319" s="1098"/>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5">
        <f t="shared" si="178"/>
        <v>0</v>
      </c>
      <c r="AW319" s="795">
        <f t="shared" si="179"/>
        <v>0</v>
      </c>
      <c r="AX319" s="795">
        <f t="shared" si="180"/>
        <v>0</v>
      </c>
      <c r="AY319" s="1025">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0"/>
      <c r="B320" s="1098"/>
      <c r="C320" s="1098"/>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5">
        <f t="shared" si="178"/>
        <v>0</v>
      </c>
      <c r="AW320" s="795">
        <f t="shared" si="179"/>
        <v>0</v>
      </c>
      <c r="AX320" s="795">
        <f t="shared" si="180"/>
        <v>0</v>
      </c>
      <c r="AY320" s="1025">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0"/>
      <c r="B321" s="1098"/>
      <c r="C321" s="1098"/>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5">
        <f t="shared" si="178"/>
        <v>0</v>
      </c>
      <c r="AW321" s="795">
        <f t="shared" si="179"/>
        <v>0</v>
      </c>
      <c r="AX321" s="795">
        <f t="shared" si="180"/>
        <v>0</v>
      </c>
      <c r="AY321" s="1025">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0"/>
      <c r="B322" s="1098"/>
      <c r="C322" s="1098"/>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5">
        <f t="shared" si="178"/>
        <v>0</v>
      </c>
      <c r="AW322" s="795">
        <f t="shared" si="179"/>
        <v>0</v>
      </c>
      <c r="AX322" s="795">
        <f t="shared" si="180"/>
        <v>0</v>
      </c>
      <c r="AY322" s="1025">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0"/>
      <c r="B323" s="1098"/>
      <c r="C323" s="1098"/>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5">
        <f t="shared" si="178"/>
        <v>0</v>
      </c>
      <c r="AW323" s="795">
        <f t="shared" si="179"/>
        <v>0</v>
      </c>
      <c r="AX323" s="795">
        <f t="shared" si="180"/>
        <v>0</v>
      </c>
      <c r="AY323" s="1025">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0"/>
      <c r="B324" s="1098"/>
      <c r="C324" s="1098"/>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5">
        <f t="shared" si="178"/>
        <v>0</v>
      </c>
      <c r="AW324" s="795">
        <f t="shared" si="179"/>
        <v>0</v>
      </c>
      <c r="AX324" s="795">
        <f t="shared" si="180"/>
        <v>0</v>
      </c>
      <c r="AY324" s="1025">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0"/>
      <c r="B325" s="1098"/>
      <c r="C325" s="1098"/>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5">
        <f t="shared" si="178"/>
        <v>0</v>
      </c>
      <c r="AW325" s="795">
        <f t="shared" si="179"/>
        <v>0</v>
      </c>
      <c r="AX325" s="795">
        <f t="shared" si="180"/>
        <v>0</v>
      </c>
      <c r="AY325" s="1025">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0"/>
      <c r="B326" s="1098"/>
      <c r="C326" s="1098"/>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5">
        <f t="shared" si="178"/>
        <v>0</v>
      </c>
      <c r="AW326" s="795">
        <f t="shared" si="179"/>
        <v>0</v>
      </c>
      <c r="AX326" s="795">
        <f t="shared" si="180"/>
        <v>0</v>
      </c>
      <c r="AY326" s="1025">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0"/>
      <c r="B327" s="1098"/>
      <c r="C327" s="1098"/>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5">
        <f t="shared" si="178"/>
        <v>0</v>
      </c>
      <c r="AW327" s="795">
        <f t="shared" si="179"/>
        <v>0</v>
      </c>
      <c r="AX327" s="795">
        <f t="shared" si="180"/>
        <v>0</v>
      </c>
      <c r="AY327" s="1025">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0"/>
      <c r="B328" s="1098"/>
      <c r="C328" s="1098"/>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5">
        <f t="shared" si="178"/>
        <v>0</v>
      </c>
      <c r="AW328" s="795">
        <f t="shared" si="179"/>
        <v>0</v>
      </c>
      <c r="AX328" s="795">
        <f t="shared" si="180"/>
        <v>0</v>
      </c>
      <c r="AY328" s="1025">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0"/>
      <c r="B329" s="1098"/>
      <c r="C329" s="1098"/>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5">
        <f t="shared" si="178"/>
        <v>0</v>
      </c>
      <c r="AW329" s="795">
        <f t="shared" si="179"/>
        <v>0</v>
      </c>
      <c r="AX329" s="795">
        <f t="shared" si="180"/>
        <v>0</v>
      </c>
      <c r="AY329" s="1025">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0"/>
      <c r="B330" s="1098"/>
      <c r="C330" s="1098"/>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5">
        <f t="shared" si="178"/>
        <v>0</v>
      </c>
      <c r="AW330" s="795">
        <f t="shared" si="179"/>
        <v>0</v>
      </c>
      <c r="AX330" s="795">
        <f t="shared" si="180"/>
        <v>0</v>
      </c>
      <c r="AY330" s="1025">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0"/>
      <c r="B331" s="1098"/>
      <c r="C331" s="1098"/>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5">
        <f t="shared" si="178"/>
        <v>0</v>
      </c>
      <c r="AW331" s="795">
        <f t="shared" si="179"/>
        <v>0</v>
      </c>
      <c r="AX331" s="795">
        <f t="shared" si="180"/>
        <v>0</v>
      </c>
      <c r="AY331" s="1025">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0"/>
      <c r="B332" s="1098"/>
      <c r="C332" s="1098"/>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5">
        <f t="shared" si="178"/>
        <v>0</v>
      </c>
      <c r="AW332" s="795">
        <f t="shared" si="179"/>
        <v>0</v>
      </c>
      <c r="AX332" s="795">
        <f t="shared" si="180"/>
        <v>0</v>
      </c>
      <c r="AY332" s="1025">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0"/>
      <c r="B333" s="1098"/>
      <c r="C333" s="1098"/>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5">
        <f t="shared" si="178"/>
        <v>0</v>
      </c>
      <c r="AW333" s="795">
        <f t="shared" si="179"/>
        <v>0</v>
      </c>
      <c r="AX333" s="795">
        <f t="shared" si="180"/>
        <v>0</v>
      </c>
      <c r="AY333" s="1025">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0"/>
      <c r="B334" s="1098"/>
      <c r="C334" s="1098"/>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5">
        <f t="shared" si="178"/>
        <v>0</v>
      </c>
      <c r="AW334" s="795">
        <f t="shared" si="179"/>
        <v>0</v>
      </c>
      <c r="AX334" s="795">
        <f t="shared" si="180"/>
        <v>0</v>
      </c>
      <c r="AY334" s="1025">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0"/>
      <c r="B335" s="1098"/>
      <c r="C335" s="1098"/>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5">
        <f t="shared" ref="AV335:AV366" si="207">A335</f>
        <v>0</v>
      </c>
      <c r="AW335" s="795">
        <f t="shared" ref="AW335:AW366" si="208">B335</f>
        <v>0</v>
      </c>
      <c r="AX335" s="795">
        <f t="shared" ref="AX335:AX366" si="209">C335</f>
        <v>0</v>
      </c>
      <c r="AY335" s="1025">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0"/>
      <c r="B336" s="1098"/>
      <c r="C336" s="1098"/>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5">
        <f t="shared" si="207"/>
        <v>0</v>
      </c>
      <c r="AW336" s="795">
        <f t="shared" si="208"/>
        <v>0</v>
      </c>
      <c r="AX336" s="795">
        <f t="shared" si="209"/>
        <v>0</v>
      </c>
      <c r="AY336" s="1025">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0"/>
      <c r="B337" s="1098"/>
      <c r="C337" s="1098"/>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5">
        <f t="shared" si="207"/>
        <v>0</v>
      </c>
      <c r="AW337" s="795">
        <f t="shared" si="208"/>
        <v>0</v>
      </c>
      <c r="AX337" s="795">
        <f t="shared" si="209"/>
        <v>0</v>
      </c>
      <c r="AY337" s="1025">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0"/>
      <c r="B338" s="1098"/>
      <c r="C338" s="1098"/>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5">
        <f t="shared" si="207"/>
        <v>0</v>
      </c>
      <c r="AW338" s="795">
        <f t="shared" si="208"/>
        <v>0</v>
      </c>
      <c r="AX338" s="795">
        <f t="shared" si="209"/>
        <v>0</v>
      </c>
      <c r="AY338" s="1025">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0"/>
      <c r="B339" s="1098"/>
      <c r="C339" s="1098"/>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5">
        <f t="shared" si="207"/>
        <v>0</v>
      </c>
      <c r="AW339" s="795">
        <f t="shared" si="208"/>
        <v>0</v>
      </c>
      <c r="AX339" s="795">
        <f t="shared" si="209"/>
        <v>0</v>
      </c>
      <c r="AY339" s="1025">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0"/>
      <c r="B340" s="1098"/>
      <c r="C340" s="1098"/>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5">
        <f t="shared" si="207"/>
        <v>0</v>
      </c>
      <c r="AW340" s="795">
        <f t="shared" si="208"/>
        <v>0</v>
      </c>
      <c r="AX340" s="795">
        <f t="shared" si="209"/>
        <v>0</v>
      </c>
      <c r="AY340" s="1025">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0"/>
      <c r="B341" s="1098"/>
      <c r="C341" s="1098"/>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5">
        <f t="shared" si="207"/>
        <v>0</v>
      </c>
      <c r="AW341" s="795">
        <f t="shared" si="208"/>
        <v>0</v>
      </c>
      <c r="AX341" s="795">
        <f t="shared" si="209"/>
        <v>0</v>
      </c>
      <c r="AY341" s="1025">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0"/>
      <c r="B342" s="1098"/>
      <c r="C342" s="1098"/>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5">
        <f t="shared" si="207"/>
        <v>0</v>
      </c>
      <c r="AW342" s="795">
        <f t="shared" si="208"/>
        <v>0</v>
      </c>
      <c r="AX342" s="795">
        <f t="shared" si="209"/>
        <v>0</v>
      </c>
      <c r="AY342" s="1025">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0"/>
      <c r="B343" s="1098"/>
      <c r="C343" s="1098"/>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5">
        <f t="shared" si="207"/>
        <v>0</v>
      </c>
      <c r="AW343" s="795">
        <f t="shared" si="208"/>
        <v>0</v>
      </c>
      <c r="AX343" s="795">
        <f t="shared" si="209"/>
        <v>0</v>
      </c>
      <c r="AY343" s="1025">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0"/>
      <c r="B344" s="1098"/>
      <c r="C344" s="1098"/>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5">
        <f t="shared" si="207"/>
        <v>0</v>
      </c>
      <c r="AW344" s="795">
        <f t="shared" si="208"/>
        <v>0</v>
      </c>
      <c r="AX344" s="795">
        <f t="shared" si="209"/>
        <v>0</v>
      </c>
      <c r="AY344" s="1025">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0"/>
      <c r="B345" s="1098"/>
      <c r="C345" s="1098"/>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5">
        <f t="shared" si="207"/>
        <v>0</v>
      </c>
      <c r="AW345" s="795">
        <f t="shared" si="208"/>
        <v>0</v>
      </c>
      <c r="AX345" s="795">
        <f t="shared" si="209"/>
        <v>0</v>
      </c>
      <c r="AY345" s="1025">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0"/>
      <c r="B346" s="1098"/>
      <c r="C346" s="1098"/>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5">
        <f t="shared" si="207"/>
        <v>0</v>
      </c>
      <c r="AW346" s="795">
        <f t="shared" si="208"/>
        <v>0</v>
      </c>
      <c r="AX346" s="795">
        <f t="shared" si="209"/>
        <v>0</v>
      </c>
      <c r="AY346" s="1025">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0"/>
      <c r="B347" s="1098"/>
      <c r="C347" s="1098"/>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5">
        <f t="shared" si="207"/>
        <v>0</v>
      </c>
      <c r="AW347" s="795">
        <f t="shared" si="208"/>
        <v>0</v>
      </c>
      <c r="AX347" s="795">
        <f t="shared" si="209"/>
        <v>0</v>
      </c>
      <c r="AY347" s="1025">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0"/>
      <c r="B348" s="1098"/>
      <c r="C348" s="1098"/>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5">
        <f t="shared" si="207"/>
        <v>0</v>
      </c>
      <c r="AW348" s="795">
        <f t="shared" si="208"/>
        <v>0</v>
      </c>
      <c r="AX348" s="795">
        <f t="shared" si="209"/>
        <v>0</v>
      </c>
      <c r="AY348" s="1025">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0"/>
      <c r="B349" s="1098"/>
      <c r="C349" s="1098"/>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5">
        <f t="shared" si="207"/>
        <v>0</v>
      </c>
      <c r="AW349" s="795">
        <f t="shared" si="208"/>
        <v>0</v>
      </c>
      <c r="AX349" s="795">
        <f t="shared" si="209"/>
        <v>0</v>
      </c>
      <c r="AY349" s="1025">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0"/>
      <c r="B350" s="1098"/>
      <c r="C350" s="1098"/>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5">
        <f t="shared" si="207"/>
        <v>0</v>
      </c>
      <c r="AW350" s="795">
        <f t="shared" si="208"/>
        <v>0</v>
      </c>
      <c r="AX350" s="795">
        <f t="shared" si="209"/>
        <v>0</v>
      </c>
      <c r="AY350" s="1025">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0"/>
      <c r="B351" s="1098"/>
      <c r="C351" s="1098"/>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5">
        <f t="shared" si="207"/>
        <v>0</v>
      </c>
      <c r="AW351" s="795">
        <f t="shared" si="208"/>
        <v>0</v>
      </c>
      <c r="AX351" s="795">
        <f t="shared" si="209"/>
        <v>0</v>
      </c>
      <c r="AY351" s="1025">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0"/>
      <c r="B352" s="1098"/>
      <c r="C352" s="1098"/>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5">
        <f t="shared" si="207"/>
        <v>0</v>
      </c>
      <c r="AW352" s="795">
        <f t="shared" si="208"/>
        <v>0</v>
      </c>
      <c r="AX352" s="795">
        <f t="shared" si="209"/>
        <v>0</v>
      </c>
      <c r="AY352" s="1025">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0"/>
      <c r="B353" s="1098"/>
      <c r="C353" s="1098"/>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5">
        <f t="shared" si="207"/>
        <v>0</v>
      </c>
      <c r="AW353" s="795">
        <f t="shared" si="208"/>
        <v>0</v>
      </c>
      <c r="AX353" s="795">
        <f t="shared" si="209"/>
        <v>0</v>
      </c>
      <c r="AY353" s="1025">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0"/>
      <c r="B354" s="1098"/>
      <c r="C354" s="1098"/>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5">
        <f t="shared" si="207"/>
        <v>0</v>
      </c>
      <c r="AW354" s="795">
        <f t="shared" si="208"/>
        <v>0</v>
      </c>
      <c r="AX354" s="795">
        <f t="shared" si="209"/>
        <v>0</v>
      </c>
      <c r="AY354" s="1025">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0"/>
      <c r="B355" s="1098"/>
      <c r="C355" s="1098"/>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5">
        <f t="shared" si="207"/>
        <v>0</v>
      </c>
      <c r="AW355" s="795">
        <f t="shared" si="208"/>
        <v>0</v>
      </c>
      <c r="AX355" s="795">
        <f t="shared" si="209"/>
        <v>0</v>
      </c>
      <c r="AY355" s="1025">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0"/>
      <c r="B356" s="1098"/>
      <c r="C356" s="1098"/>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5">
        <f t="shared" si="207"/>
        <v>0</v>
      </c>
      <c r="AW356" s="795">
        <f t="shared" si="208"/>
        <v>0</v>
      </c>
      <c r="AX356" s="795">
        <f t="shared" si="209"/>
        <v>0</v>
      </c>
      <c r="AY356" s="1025">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0"/>
      <c r="B357" s="1098"/>
      <c r="C357" s="1098"/>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5">
        <f t="shared" si="207"/>
        <v>0</v>
      </c>
      <c r="AW357" s="795">
        <f t="shared" si="208"/>
        <v>0</v>
      </c>
      <c r="AX357" s="795">
        <f t="shared" si="209"/>
        <v>0</v>
      </c>
      <c r="AY357" s="1025">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0"/>
      <c r="B358" s="1098"/>
      <c r="C358" s="1098"/>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5">
        <f t="shared" si="207"/>
        <v>0</v>
      </c>
      <c r="AW358" s="795">
        <f t="shared" si="208"/>
        <v>0</v>
      </c>
      <c r="AX358" s="795">
        <f t="shared" si="209"/>
        <v>0</v>
      </c>
      <c r="AY358" s="1025">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0"/>
      <c r="B359" s="1098"/>
      <c r="C359" s="1098"/>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5">
        <f t="shared" si="207"/>
        <v>0</v>
      </c>
      <c r="AW359" s="795">
        <f t="shared" si="208"/>
        <v>0</v>
      </c>
      <c r="AX359" s="795">
        <f t="shared" si="209"/>
        <v>0</v>
      </c>
      <c r="AY359" s="1025">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0"/>
      <c r="B360" s="1098"/>
      <c r="C360" s="1098"/>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5">
        <f t="shared" si="207"/>
        <v>0</v>
      </c>
      <c r="AW360" s="795">
        <f t="shared" si="208"/>
        <v>0</v>
      </c>
      <c r="AX360" s="795">
        <f t="shared" si="209"/>
        <v>0</v>
      </c>
      <c r="AY360" s="1025">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0"/>
      <c r="B361" s="1098"/>
      <c r="C361" s="1098"/>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5">
        <f t="shared" si="207"/>
        <v>0</v>
      </c>
      <c r="AW361" s="795">
        <f t="shared" si="208"/>
        <v>0</v>
      </c>
      <c r="AX361" s="795">
        <f t="shared" si="209"/>
        <v>0</v>
      </c>
      <c r="AY361" s="1025">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0"/>
      <c r="B362" s="1098"/>
      <c r="C362" s="1098"/>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5">
        <f t="shared" si="207"/>
        <v>0</v>
      </c>
      <c r="AW362" s="795">
        <f t="shared" si="208"/>
        <v>0</v>
      </c>
      <c r="AX362" s="795">
        <f t="shared" si="209"/>
        <v>0</v>
      </c>
      <c r="AY362" s="1025">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0"/>
      <c r="B363" s="1098"/>
      <c r="C363" s="1098"/>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5">
        <f t="shared" si="207"/>
        <v>0</v>
      </c>
      <c r="AW363" s="795">
        <f t="shared" si="208"/>
        <v>0</v>
      </c>
      <c r="AX363" s="795">
        <f t="shared" si="209"/>
        <v>0</v>
      </c>
      <c r="AY363" s="1025">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0"/>
      <c r="B364" s="1098"/>
      <c r="C364" s="1098"/>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5">
        <f t="shared" si="207"/>
        <v>0</v>
      </c>
      <c r="AW364" s="795">
        <f t="shared" si="208"/>
        <v>0</v>
      </c>
      <c r="AX364" s="795">
        <f t="shared" si="209"/>
        <v>0</v>
      </c>
      <c r="AY364" s="1025">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0"/>
      <c r="B365" s="1098"/>
      <c r="C365" s="1098"/>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5">
        <f t="shared" si="207"/>
        <v>0</v>
      </c>
      <c r="AW365" s="795">
        <f t="shared" si="208"/>
        <v>0</v>
      </c>
      <c r="AX365" s="795">
        <f t="shared" si="209"/>
        <v>0</v>
      </c>
      <c r="AY365" s="1025">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0"/>
      <c r="B366" s="1098"/>
      <c r="C366" s="1098"/>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5">
        <f t="shared" si="207"/>
        <v>0</v>
      </c>
      <c r="AW366" s="795">
        <f t="shared" si="208"/>
        <v>0</v>
      </c>
      <c r="AX366" s="795">
        <f t="shared" si="209"/>
        <v>0</v>
      </c>
      <c r="AY366" s="1025">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0"/>
      <c r="B367" s="1098"/>
      <c r="C367" s="1098"/>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5">
        <f t="shared" ref="AV367:AV397" si="236">A367</f>
        <v>0</v>
      </c>
      <c r="AW367" s="795">
        <f t="shared" ref="AW367:AW397" si="237">B367</f>
        <v>0</v>
      </c>
      <c r="AX367" s="795">
        <f t="shared" ref="AX367:AX397" si="238">C367</f>
        <v>0</v>
      </c>
      <c r="AY367" s="1025">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0"/>
      <c r="B368" s="1098"/>
      <c r="C368" s="1098"/>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5">
        <f t="shared" si="236"/>
        <v>0</v>
      </c>
      <c r="AW368" s="795">
        <f t="shared" si="237"/>
        <v>0</v>
      </c>
      <c r="AX368" s="795">
        <f t="shared" si="238"/>
        <v>0</v>
      </c>
      <c r="AY368" s="1025">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0"/>
      <c r="B369" s="1098"/>
      <c r="C369" s="1098"/>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5">
        <f t="shared" si="236"/>
        <v>0</v>
      </c>
      <c r="AW369" s="795">
        <f t="shared" si="237"/>
        <v>0</v>
      </c>
      <c r="AX369" s="795">
        <f t="shared" si="238"/>
        <v>0</v>
      </c>
      <c r="AY369" s="1025">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0"/>
      <c r="B370" s="1098"/>
      <c r="C370" s="1098"/>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5">
        <f t="shared" si="236"/>
        <v>0</v>
      </c>
      <c r="AW370" s="795">
        <f t="shared" si="237"/>
        <v>0</v>
      </c>
      <c r="AX370" s="795">
        <f t="shared" si="238"/>
        <v>0</v>
      </c>
      <c r="AY370" s="1025">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0"/>
      <c r="B371" s="1098"/>
      <c r="C371" s="1098"/>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5">
        <f t="shared" si="236"/>
        <v>0</v>
      </c>
      <c r="AW371" s="795">
        <f t="shared" si="237"/>
        <v>0</v>
      </c>
      <c r="AX371" s="795">
        <f t="shared" si="238"/>
        <v>0</v>
      </c>
      <c r="AY371" s="1025">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0"/>
      <c r="B372" s="1098"/>
      <c r="C372" s="1098"/>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5">
        <f t="shared" si="236"/>
        <v>0</v>
      </c>
      <c r="AW372" s="795">
        <f t="shared" si="237"/>
        <v>0</v>
      </c>
      <c r="AX372" s="795">
        <f t="shared" si="238"/>
        <v>0</v>
      </c>
      <c r="AY372" s="1025">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0"/>
      <c r="B373" s="1098"/>
      <c r="C373" s="1098"/>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5">
        <f t="shared" si="236"/>
        <v>0</v>
      </c>
      <c r="AW373" s="795">
        <f t="shared" si="237"/>
        <v>0</v>
      </c>
      <c r="AX373" s="795">
        <f t="shared" si="238"/>
        <v>0</v>
      </c>
      <c r="AY373" s="1025">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0"/>
      <c r="B374" s="1098"/>
      <c r="C374" s="1098"/>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5">
        <f t="shared" si="236"/>
        <v>0</v>
      </c>
      <c r="AW374" s="795">
        <f t="shared" si="237"/>
        <v>0</v>
      </c>
      <c r="AX374" s="795">
        <f t="shared" si="238"/>
        <v>0</v>
      </c>
      <c r="AY374" s="1025">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0"/>
      <c r="B375" s="1098"/>
      <c r="C375" s="1098"/>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5">
        <f t="shared" si="236"/>
        <v>0</v>
      </c>
      <c r="AW375" s="795">
        <f t="shared" si="237"/>
        <v>0</v>
      </c>
      <c r="AX375" s="795">
        <f t="shared" si="238"/>
        <v>0</v>
      </c>
      <c r="AY375" s="1025">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0"/>
      <c r="B376" s="1098"/>
      <c r="C376" s="1098"/>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5">
        <f t="shared" si="236"/>
        <v>0</v>
      </c>
      <c r="AW376" s="795">
        <f t="shared" si="237"/>
        <v>0</v>
      </c>
      <c r="AX376" s="795">
        <f t="shared" si="238"/>
        <v>0</v>
      </c>
      <c r="AY376" s="1025">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0"/>
      <c r="B377" s="1098"/>
      <c r="C377" s="1098"/>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5">
        <f t="shared" si="236"/>
        <v>0</v>
      </c>
      <c r="AW377" s="795">
        <f t="shared" si="237"/>
        <v>0</v>
      </c>
      <c r="AX377" s="795">
        <f t="shared" si="238"/>
        <v>0</v>
      </c>
      <c r="AY377" s="1025">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0"/>
      <c r="B378" s="1098"/>
      <c r="C378" s="1098"/>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5">
        <f t="shared" si="236"/>
        <v>0</v>
      </c>
      <c r="AW378" s="795">
        <f t="shared" si="237"/>
        <v>0</v>
      </c>
      <c r="AX378" s="795">
        <f t="shared" si="238"/>
        <v>0</v>
      </c>
      <c r="AY378" s="1025">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0"/>
      <c r="B379" s="1098"/>
      <c r="C379" s="1098"/>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5">
        <f t="shared" si="236"/>
        <v>0</v>
      </c>
      <c r="AW379" s="795">
        <f t="shared" si="237"/>
        <v>0</v>
      </c>
      <c r="AX379" s="795">
        <f t="shared" si="238"/>
        <v>0</v>
      </c>
      <c r="AY379" s="1025">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0"/>
      <c r="B380" s="1098"/>
      <c r="C380" s="1098"/>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5">
        <f t="shared" si="236"/>
        <v>0</v>
      </c>
      <c r="AW380" s="795">
        <f t="shared" si="237"/>
        <v>0</v>
      </c>
      <c r="AX380" s="795">
        <f t="shared" si="238"/>
        <v>0</v>
      </c>
      <c r="AY380" s="1025">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0"/>
      <c r="B381" s="1098"/>
      <c r="C381" s="1098"/>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5">
        <f t="shared" si="236"/>
        <v>0</v>
      </c>
      <c r="AW381" s="795">
        <f t="shared" si="237"/>
        <v>0</v>
      </c>
      <c r="AX381" s="795">
        <f t="shared" si="238"/>
        <v>0</v>
      </c>
      <c r="AY381" s="1025">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0"/>
      <c r="B382" s="1098"/>
      <c r="C382" s="1098"/>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5">
        <f t="shared" si="236"/>
        <v>0</v>
      </c>
      <c r="AW382" s="795">
        <f t="shared" si="237"/>
        <v>0</v>
      </c>
      <c r="AX382" s="795">
        <f t="shared" si="238"/>
        <v>0</v>
      </c>
      <c r="AY382" s="1025">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0"/>
      <c r="B383" s="1098"/>
      <c r="C383" s="1098"/>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5">
        <f t="shared" si="236"/>
        <v>0</v>
      </c>
      <c r="AW383" s="795">
        <f t="shared" si="237"/>
        <v>0</v>
      </c>
      <c r="AX383" s="795">
        <f t="shared" si="238"/>
        <v>0</v>
      </c>
      <c r="AY383" s="1025">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0"/>
      <c r="B384" s="1098"/>
      <c r="C384" s="1098"/>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5">
        <f t="shared" si="236"/>
        <v>0</v>
      </c>
      <c r="AW384" s="795">
        <f t="shared" si="237"/>
        <v>0</v>
      </c>
      <c r="AX384" s="795">
        <f t="shared" si="238"/>
        <v>0</v>
      </c>
      <c r="AY384" s="1025">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0"/>
      <c r="B385" s="1098"/>
      <c r="C385" s="1098"/>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5">
        <f t="shared" si="236"/>
        <v>0</v>
      </c>
      <c r="AW385" s="795">
        <f t="shared" si="237"/>
        <v>0</v>
      </c>
      <c r="AX385" s="795">
        <f t="shared" si="238"/>
        <v>0</v>
      </c>
      <c r="AY385" s="1025">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0"/>
      <c r="B386" s="1098"/>
      <c r="C386" s="1098"/>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5">
        <f t="shared" si="236"/>
        <v>0</v>
      </c>
      <c r="AW386" s="795">
        <f t="shared" si="237"/>
        <v>0</v>
      </c>
      <c r="AX386" s="795">
        <f t="shared" si="238"/>
        <v>0</v>
      </c>
      <c r="AY386" s="1025">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0"/>
      <c r="B387" s="1098"/>
      <c r="C387" s="1098"/>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5">
        <f t="shared" si="236"/>
        <v>0</v>
      </c>
      <c r="AW387" s="795">
        <f t="shared" si="237"/>
        <v>0</v>
      </c>
      <c r="AX387" s="795">
        <f t="shared" si="238"/>
        <v>0</v>
      </c>
      <c r="AY387" s="1025">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0"/>
      <c r="B388" s="1098"/>
      <c r="C388" s="1098"/>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5">
        <f t="shared" si="236"/>
        <v>0</v>
      </c>
      <c r="AW388" s="795">
        <f t="shared" si="237"/>
        <v>0</v>
      </c>
      <c r="AX388" s="795">
        <f t="shared" si="238"/>
        <v>0</v>
      </c>
      <c r="AY388" s="1025">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0"/>
      <c r="B389" s="1098"/>
      <c r="C389" s="1098"/>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5">
        <f t="shared" si="236"/>
        <v>0</v>
      </c>
      <c r="AW389" s="795">
        <f t="shared" si="237"/>
        <v>0</v>
      </c>
      <c r="AX389" s="795">
        <f t="shared" si="238"/>
        <v>0</v>
      </c>
      <c r="AY389" s="1025">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0"/>
      <c r="B390" s="1098"/>
      <c r="C390" s="1098"/>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5">
        <f t="shared" si="236"/>
        <v>0</v>
      </c>
      <c r="AW390" s="795">
        <f t="shared" si="237"/>
        <v>0</v>
      </c>
      <c r="AX390" s="795">
        <f t="shared" si="238"/>
        <v>0</v>
      </c>
      <c r="AY390" s="1025">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0"/>
      <c r="B391" s="1098"/>
      <c r="C391" s="1098"/>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5">
        <f t="shared" si="236"/>
        <v>0</v>
      </c>
      <c r="AW391" s="795">
        <f t="shared" si="237"/>
        <v>0</v>
      </c>
      <c r="AX391" s="795">
        <f t="shared" si="238"/>
        <v>0</v>
      </c>
      <c r="AY391" s="1025">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0"/>
      <c r="B392" s="1098"/>
      <c r="C392" s="1098"/>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5">
        <f t="shared" si="236"/>
        <v>0</v>
      </c>
      <c r="AW392" s="795">
        <f t="shared" si="237"/>
        <v>0</v>
      </c>
      <c r="AX392" s="795">
        <f t="shared" si="238"/>
        <v>0</v>
      </c>
      <c r="AY392" s="1025">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0"/>
      <c r="B393" s="1098"/>
      <c r="C393" s="1098"/>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5">
        <f t="shared" si="236"/>
        <v>0</v>
      </c>
      <c r="AW393" s="795">
        <f t="shared" si="237"/>
        <v>0</v>
      </c>
      <c r="AX393" s="795">
        <f t="shared" si="238"/>
        <v>0</v>
      </c>
      <c r="AY393" s="1025">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0"/>
      <c r="B394" s="1098"/>
      <c r="C394" s="1098"/>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5">
        <f t="shared" si="236"/>
        <v>0</v>
      </c>
      <c r="AW394" s="795">
        <f t="shared" si="237"/>
        <v>0</v>
      </c>
      <c r="AX394" s="795">
        <f t="shared" si="238"/>
        <v>0</v>
      </c>
      <c r="AY394" s="1025">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0"/>
      <c r="B395" s="1090"/>
      <c r="C395" s="1090"/>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3"/>
      <c r="AV395" s="795">
        <f t="shared" si="236"/>
        <v>0</v>
      </c>
      <c r="AW395" s="795">
        <f t="shared" si="237"/>
        <v>0</v>
      </c>
      <c r="AX395" s="795">
        <f t="shared" si="238"/>
        <v>0</v>
      </c>
      <c r="AY395" s="1025">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0"/>
      <c r="B396" s="1090"/>
      <c r="C396" s="1090"/>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3"/>
      <c r="AV396" s="795">
        <f t="shared" si="236"/>
        <v>0</v>
      </c>
      <c r="AW396" s="795">
        <f t="shared" si="237"/>
        <v>0</v>
      </c>
      <c r="AX396" s="795">
        <f t="shared" si="238"/>
        <v>0</v>
      </c>
      <c r="AY396" s="1025">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0"/>
      <c r="B397" s="1090"/>
      <c r="C397" s="1090"/>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3"/>
      <c r="AV397" s="795">
        <f t="shared" si="236"/>
        <v>0</v>
      </c>
      <c r="AW397" s="795">
        <f t="shared" si="237"/>
        <v>0</v>
      </c>
      <c r="AX397" s="795">
        <f t="shared" si="238"/>
        <v>0</v>
      </c>
      <c r="AY397" s="1025">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0"/>
      <c r="B398" s="1098"/>
      <c r="C398" s="1098"/>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5">
        <f t="shared" ref="AV398:AV492" si="243">A398</f>
        <v>0</v>
      </c>
      <c r="AW398" s="795">
        <f t="shared" ref="AW398:AW492" si="244">B398</f>
        <v>0</v>
      </c>
      <c r="AX398" s="795">
        <f t="shared" ref="AX398:AX492" si="245">C398</f>
        <v>0</v>
      </c>
      <c r="AY398" s="1025">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0"/>
      <c r="B399" s="1098"/>
      <c r="C399" s="1098"/>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5">
        <f t="shared" si="243"/>
        <v>0</v>
      </c>
      <c r="AW399" s="795">
        <f t="shared" si="244"/>
        <v>0</v>
      </c>
      <c r="AX399" s="795">
        <f t="shared" si="245"/>
        <v>0</v>
      </c>
      <c r="AY399" s="1025">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0"/>
      <c r="B400" s="1098"/>
      <c r="C400" s="1098"/>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5">
        <f t="shared" si="243"/>
        <v>0</v>
      </c>
      <c r="AW400" s="795">
        <f t="shared" si="244"/>
        <v>0</v>
      </c>
      <c r="AX400" s="795">
        <f t="shared" si="245"/>
        <v>0</v>
      </c>
      <c r="AY400" s="1025">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0"/>
      <c r="B401" s="1098"/>
      <c r="C401" s="1098"/>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5">
        <f t="shared" si="243"/>
        <v>0</v>
      </c>
      <c r="AW401" s="795">
        <f t="shared" si="244"/>
        <v>0</v>
      </c>
      <c r="AX401" s="795">
        <f t="shared" si="245"/>
        <v>0</v>
      </c>
      <c r="AY401" s="1025">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0"/>
      <c r="B402" s="1098"/>
      <c r="C402" s="1098"/>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5">
        <f t="shared" si="243"/>
        <v>0</v>
      </c>
      <c r="AW402" s="795">
        <f t="shared" si="244"/>
        <v>0</v>
      </c>
      <c r="AX402" s="795">
        <f t="shared" si="245"/>
        <v>0</v>
      </c>
      <c r="AY402" s="1025">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0"/>
      <c r="B403" s="1098"/>
      <c r="C403" s="1098"/>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5">
        <f t="shared" si="243"/>
        <v>0</v>
      </c>
      <c r="AW403" s="795">
        <f t="shared" si="244"/>
        <v>0</v>
      </c>
      <c r="AX403" s="795">
        <f t="shared" si="245"/>
        <v>0</v>
      </c>
      <c r="AY403" s="1025">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0"/>
      <c r="B404" s="1098"/>
      <c r="C404" s="1098"/>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5">
        <f t="shared" si="243"/>
        <v>0</v>
      </c>
      <c r="AW404" s="795">
        <f t="shared" si="244"/>
        <v>0</v>
      </c>
      <c r="AX404" s="795">
        <f t="shared" si="245"/>
        <v>0</v>
      </c>
      <c r="AY404" s="1025">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0"/>
      <c r="B405" s="1098"/>
      <c r="C405" s="1098"/>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5">
        <f t="shared" si="243"/>
        <v>0</v>
      </c>
      <c r="AW405" s="795">
        <f t="shared" si="244"/>
        <v>0</v>
      </c>
      <c r="AX405" s="795">
        <f t="shared" si="245"/>
        <v>0</v>
      </c>
      <c r="AY405" s="1025">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0"/>
      <c r="B406" s="1098"/>
      <c r="C406" s="1098"/>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5">
        <f t="shared" si="243"/>
        <v>0</v>
      </c>
      <c r="AW406" s="795">
        <f t="shared" si="244"/>
        <v>0</v>
      </c>
      <c r="AX406" s="795">
        <f t="shared" si="245"/>
        <v>0</v>
      </c>
      <c r="AY406" s="1025">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0"/>
      <c r="B407" s="1098"/>
      <c r="C407" s="1098"/>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5">
        <f t="shared" si="243"/>
        <v>0</v>
      </c>
      <c r="AW407" s="795">
        <f t="shared" si="244"/>
        <v>0</v>
      </c>
      <c r="AX407" s="795">
        <f t="shared" si="245"/>
        <v>0</v>
      </c>
      <c r="AY407" s="1025">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0"/>
      <c r="B408" s="1098"/>
      <c r="C408" s="1098"/>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5">
        <f t="shared" si="243"/>
        <v>0</v>
      </c>
      <c r="AW408" s="795">
        <f t="shared" si="244"/>
        <v>0</v>
      </c>
      <c r="AX408" s="795">
        <f t="shared" si="245"/>
        <v>0</v>
      </c>
      <c r="AY408" s="1025">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0"/>
      <c r="B409" s="1098"/>
      <c r="C409" s="1098"/>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5">
        <f t="shared" si="243"/>
        <v>0</v>
      </c>
      <c r="AW409" s="795">
        <f t="shared" si="244"/>
        <v>0</v>
      </c>
      <c r="AX409" s="795">
        <f t="shared" si="245"/>
        <v>0</v>
      </c>
      <c r="AY409" s="1025">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0"/>
      <c r="B410" s="1098"/>
      <c r="C410" s="1098"/>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5">
        <f t="shared" si="243"/>
        <v>0</v>
      </c>
      <c r="AW410" s="795">
        <f t="shared" si="244"/>
        <v>0</v>
      </c>
      <c r="AX410" s="795">
        <f t="shared" si="245"/>
        <v>0</v>
      </c>
      <c r="AY410" s="1025">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0"/>
      <c r="B411" s="1098"/>
      <c r="C411" s="1098"/>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5">
        <f t="shared" si="243"/>
        <v>0</v>
      </c>
      <c r="AW411" s="795">
        <f t="shared" si="244"/>
        <v>0</v>
      </c>
      <c r="AX411" s="795">
        <f t="shared" si="245"/>
        <v>0</v>
      </c>
      <c r="AY411" s="1025">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0"/>
      <c r="B412" s="1098"/>
      <c r="C412" s="1098"/>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5">
        <f t="shared" si="243"/>
        <v>0</v>
      </c>
      <c r="AW412" s="795">
        <f t="shared" si="244"/>
        <v>0</v>
      </c>
      <c r="AX412" s="795">
        <f t="shared" si="245"/>
        <v>0</v>
      </c>
      <c r="AY412" s="1025">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0"/>
      <c r="B413" s="1098"/>
      <c r="C413" s="1098"/>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5">
        <f t="shared" si="243"/>
        <v>0</v>
      </c>
      <c r="AW413" s="795">
        <f t="shared" si="244"/>
        <v>0</v>
      </c>
      <c r="AX413" s="795">
        <f t="shared" si="245"/>
        <v>0</v>
      </c>
      <c r="AY413" s="1025">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0"/>
      <c r="B414" s="1098"/>
      <c r="C414" s="1098"/>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5">
        <f t="shared" si="243"/>
        <v>0</v>
      </c>
      <c r="AW414" s="795">
        <f t="shared" si="244"/>
        <v>0</v>
      </c>
      <c r="AX414" s="795">
        <f t="shared" si="245"/>
        <v>0</v>
      </c>
      <c r="AY414" s="1025">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0"/>
      <c r="B415" s="1098"/>
      <c r="C415" s="1098"/>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5">
        <f t="shared" si="243"/>
        <v>0</v>
      </c>
      <c r="AW415" s="795">
        <f t="shared" si="244"/>
        <v>0</v>
      </c>
      <c r="AX415" s="795">
        <f t="shared" si="245"/>
        <v>0</v>
      </c>
      <c r="AY415" s="1025">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0"/>
      <c r="B416" s="1098"/>
      <c r="C416" s="1098"/>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5">
        <f t="shared" si="243"/>
        <v>0</v>
      </c>
      <c r="AW416" s="795">
        <f t="shared" si="244"/>
        <v>0</v>
      </c>
      <c r="AX416" s="795">
        <f t="shared" si="245"/>
        <v>0</v>
      </c>
      <c r="AY416" s="1025">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0"/>
      <c r="B417" s="1098"/>
      <c r="C417" s="1098"/>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5">
        <f t="shared" si="243"/>
        <v>0</v>
      </c>
      <c r="AW417" s="795">
        <f t="shared" si="244"/>
        <v>0</v>
      </c>
      <c r="AX417" s="795">
        <f t="shared" si="245"/>
        <v>0</v>
      </c>
      <c r="AY417" s="1025">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0"/>
      <c r="B418" s="1098"/>
      <c r="C418" s="1098"/>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5">
        <f t="shared" si="243"/>
        <v>0</v>
      </c>
      <c r="AW418" s="795">
        <f t="shared" si="244"/>
        <v>0</v>
      </c>
      <c r="AX418" s="795">
        <f t="shared" si="245"/>
        <v>0</v>
      </c>
      <c r="AY418" s="1025">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0"/>
      <c r="B419" s="1098"/>
      <c r="C419" s="1098"/>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5">
        <f t="shared" si="243"/>
        <v>0</v>
      </c>
      <c r="AW419" s="795">
        <f t="shared" si="244"/>
        <v>0</v>
      </c>
      <c r="AX419" s="795">
        <f t="shared" si="245"/>
        <v>0</v>
      </c>
      <c r="AY419" s="1025">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0"/>
      <c r="B420" s="1098"/>
      <c r="C420" s="1098"/>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5">
        <f t="shared" si="243"/>
        <v>0</v>
      </c>
      <c r="AW420" s="795">
        <f t="shared" si="244"/>
        <v>0</v>
      </c>
      <c r="AX420" s="795">
        <f t="shared" si="245"/>
        <v>0</v>
      </c>
      <c r="AY420" s="1025">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0"/>
      <c r="B421" s="1098"/>
      <c r="C421" s="1098"/>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5">
        <f t="shared" si="243"/>
        <v>0</v>
      </c>
      <c r="AW421" s="795">
        <f t="shared" si="244"/>
        <v>0</v>
      </c>
      <c r="AX421" s="795">
        <f t="shared" si="245"/>
        <v>0</v>
      </c>
      <c r="AY421" s="1025">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0"/>
      <c r="B422" s="1098"/>
      <c r="C422" s="1098"/>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5">
        <f t="shared" si="243"/>
        <v>0</v>
      </c>
      <c r="AW422" s="795">
        <f t="shared" si="244"/>
        <v>0</v>
      </c>
      <c r="AX422" s="795">
        <f t="shared" si="245"/>
        <v>0</v>
      </c>
      <c r="AY422" s="1025">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0"/>
      <c r="B423" s="1098"/>
      <c r="C423" s="1098"/>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5">
        <f t="shared" si="243"/>
        <v>0</v>
      </c>
      <c r="AW423" s="795">
        <f t="shared" si="244"/>
        <v>0</v>
      </c>
      <c r="AX423" s="795">
        <f t="shared" si="245"/>
        <v>0</v>
      </c>
      <c r="AY423" s="1025">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0"/>
      <c r="B424" s="1098"/>
      <c r="C424" s="1098"/>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5">
        <f t="shared" si="243"/>
        <v>0</v>
      </c>
      <c r="AW424" s="795">
        <f t="shared" si="244"/>
        <v>0</v>
      </c>
      <c r="AX424" s="795">
        <f t="shared" si="245"/>
        <v>0</v>
      </c>
      <c r="AY424" s="1025">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0"/>
      <c r="B425" s="1098"/>
      <c r="C425" s="1098"/>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5">
        <f t="shared" si="243"/>
        <v>0</v>
      </c>
      <c r="AW425" s="795">
        <f t="shared" si="244"/>
        <v>0</v>
      </c>
      <c r="AX425" s="795">
        <f t="shared" si="245"/>
        <v>0</v>
      </c>
      <c r="AY425" s="1025">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0"/>
      <c r="B426" s="1098"/>
      <c r="C426" s="1098"/>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5">
        <f t="shared" si="243"/>
        <v>0</v>
      </c>
      <c r="AW426" s="795">
        <f t="shared" si="244"/>
        <v>0</v>
      </c>
      <c r="AX426" s="795">
        <f t="shared" si="245"/>
        <v>0</v>
      </c>
      <c r="AY426" s="1025">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0"/>
      <c r="B427" s="1098"/>
      <c r="C427" s="1098"/>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5">
        <f t="shared" si="243"/>
        <v>0</v>
      </c>
      <c r="AW427" s="795">
        <f t="shared" si="244"/>
        <v>0</v>
      </c>
      <c r="AX427" s="795">
        <f t="shared" si="245"/>
        <v>0</v>
      </c>
      <c r="AY427" s="1025">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0"/>
      <c r="B428" s="1098"/>
      <c r="C428" s="1098"/>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5">
        <f t="shared" si="243"/>
        <v>0</v>
      </c>
      <c r="AW428" s="795">
        <f t="shared" si="244"/>
        <v>0</v>
      </c>
      <c r="AX428" s="795">
        <f t="shared" si="245"/>
        <v>0</v>
      </c>
      <c r="AY428" s="1025">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0"/>
      <c r="B429" s="1098"/>
      <c r="C429" s="1098"/>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5">
        <f t="shared" si="243"/>
        <v>0</v>
      </c>
      <c r="AW429" s="795">
        <f t="shared" si="244"/>
        <v>0</v>
      </c>
      <c r="AX429" s="795">
        <f t="shared" si="245"/>
        <v>0</v>
      </c>
      <c r="AY429" s="1025">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0"/>
      <c r="B430" s="1098"/>
      <c r="C430" s="1098"/>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5">
        <f t="shared" si="243"/>
        <v>0</v>
      </c>
      <c r="AW430" s="795">
        <f t="shared" si="244"/>
        <v>0</v>
      </c>
      <c r="AX430" s="795">
        <f t="shared" si="245"/>
        <v>0</v>
      </c>
      <c r="AY430" s="1025">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0"/>
      <c r="B431" s="1098"/>
      <c r="C431" s="1098"/>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5">
        <f t="shared" si="243"/>
        <v>0</v>
      </c>
      <c r="AW431" s="795">
        <f t="shared" si="244"/>
        <v>0</v>
      </c>
      <c r="AX431" s="795">
        <f t="shared" si="245"/>
        <v>0</v>
      </c>
      <c r="AY431" s="1025">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0"/>
      <c r="B432" s="1098"/>
      <c r="C432" s="1098"/>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5">
        <f t="shared" si="243"/>
        <v>0</v>
      </c>
      <c r="AW432" s="795">
        <f t="shared" si="244"/>
        <v>0</v>
      </c>
      <c r="AX432" s="795">
        <f t="shared" si="245"/>
        <v>0</v>
      </c>
      <c r="AY432" s="1025">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0"/>
      <c r="B433" s="1098"/>
      <c r="C433" s="1098"/>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5">
        <f t="shared" si="243"/>
        <v>0</v>
      </c>
      <c r="AW433" s="795">
        <f t="shared" si="244"/>
        <v>0</v>
      </c>
      <c r="AX433" s="795">
        <f t="shared" si="245"/>
        <v>0</v>
      </c>
      <c r="AY433" s="1025">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0"/>
      <c r="B434" s="1098"/>
      <c r="C434" s="1098"/>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5">
        <f t="shared" si="243"/>
        <v>0</v>
      </c>
      <c r="AW434" s="795">
        <f t="shared" si="244"/>
        <v>0</v>
      </c>
      <c r="AX434" s="795">
        <f t="shared" si="245"/>
        <v>0</v>
      </c>
      <c r="AY434" s="1025">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0"/>
      <c r="B435" s="1098"/>
      <c r="C435" s="1098"/>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5">
        <f t="shared" si="243"/>
        <v>0</v>
      </c>
      <c r="AW435" s="795">
        <f t="shared" si="244"/>
        <v>0</v>
      </c>
      <c r="AX435" s="795">
        <f t="shared" si="245"/>
        <v>0</v>
      </c>
      <c r="AY435" s="1025">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0"/>
      <c r="B436" s="1098"/>
      <c r="C436" s="1098"/>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5">
        <f t="shared" si="243"/>
        <v>0</v>
      </c>
      <c r="AW436" s="795">
        <f t="shared" si="244"/>
        <v>0</v>
      </c>
      <c r="AX436" s="795">
        <f t="shared" si="245"/>
        <v>0</v>
      </c>
      <c r="AY436" s="1025">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0"/>
      <c r="B437" s="1098"/>
      <c r="C437" s="1098"/>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5">
        <f t="shared" si="243"/>
        <v>0</v>
      </c>
      <c r="AW437" s="795">
        <f t="shared" si="244"/>
        <v>0</v>
      </c>
      <c r="AX437" s="795">
        <f t="shared" si="245"/>
        <v>0</v>
      </c>
      <c r="AY437" s="1025">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0"/>
      <c r="B438" s="1098"/>
      <c r="C438" s="1098"/>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5">
        <f t="shared" si="243"/>
        <v>0</v>
      </c>
      <c r="AW438" s="795">
        <f t="shared" si="244"/>
        <v>0</v>
      </c>
      <c r="AX438" s="795">
        <f t="shared" si="245"/>
        <v>0</v>
      </c>
      <c r="AY438" s="1025">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0"/>
      <c r="B439" s="1098"/>
      <c r="C439" s="1098"/>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5">
        <f t="shared" si="243"/>
        <v>0</v>
      </c>
      <c r="AW439" s="795">
        <f t="shared" si="244"/>
        <v>0</v>
      </c>
      <c r="AX439" s="795">
        <f t="shared" si="245"/>
        <v>0</v>
      </c>
      <c r="AY439" s="1025">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0"/>
      <c r="B440" s="1098"/>
      <c r="C440" s="1098"/>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5">
        <f t="shared" si="243"/>
        <v>0</v>
      </c>
      <c r="AW440" s="795">
        <f t="shared" si="244"/>
        <v>0</v>
      </c>
      <c r="AX440" s="795">
        <f t="shared" si="245"/>
        <v>0</v>
      </c>
      <c r="AY440" s="1025">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0"/>
      <c r="B441" s="1098"/>
      <c r="C441" s="1098"/>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5">
        <f t="shared" si="243"/>
        <v>0</v>
      </c>
      <c r="AW441" s="795">
        <f t="shared" si="244"/>
        <v>0</v>
      </c>
      <c r="AX441" s="795">
        <f t="shared" si="245"/>
        <v>0</v>
      </c>
      <c r="AY441" s="1025">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0"/>
      <c r="B442" s="1098"/>
      <c r="C442" s="1098"/>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5">
        <f t="shared" si="243"/>
        <v>0</v>
      </c>
      <c r="AW442" s="795">
        <f t="shared" si="244"/>
        <v>0</v>
      </c>
      <c r="AX442" s="795">
        <f t="shared" si="245"/>
        <v>0</v>
      </c>
      <c r="AY442" s="1025">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0"/>
      <c r="B443" s="1098"/>
      <c r="C443" s="1098"/>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5">
        <f t="shared" si="243"/>
        <v>0</v>
      </c>
      <c r="AW443" s="795">
        <f t="shared" si="244"/>
        <v>0</v>
      </c>
      <c r="AX443" s="795">
        <f t="shared" si="245"/>
        <v>0</v>
      </c>
      <c r="AY443" s="1025">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0"/>
      <c r="B444" s="1098"/>
      <c r="C444" s="1098"/>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5">
        <f t="shared" si="243"/>
        <v>0</v>
      </c>
      <c r="AW444" s="795">
        <f t="shared" si="244"/>
        <v>0</v>
      </c>
      <c r="AX444" s="795">
        <f t="shared" si="245"/>
        <v>0</v>
      </c>
      <c r="AY444" s="1025">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0"/>
      <c r="B445" s="1098"/>
      <c r="C445" s="1098"/>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5">
        <f t="shared" si="243"/>
        <v>0</v>
      </c>
      <c r="AW445" s="795">
        <f t="shared" si="244"/>
        <v>0</v>
      </c>
      <c r="AX445" s="795">
        <f t="shared" si="245"/>
        <v>0</v>
      </c>
      <c r="AY445" s="1025">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0"/>
      <c r="B446" s="1098"/>
      <c r="C446" s="1098"/>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5">
        <f t="shared" si="243"/>
        <v>0</v>
      </c>
      <c r="AW446" s="795">
        <f t="shared" si="244"/>
        <v>0</v>
      </c>
      <c r="AX446" s="795">
        <f t="shared" si="245"/>
        <v>0</v>
      </c>
      <c r="AY446" s="1025">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0"/>
      <c r="B447" s="1098"/>
      <c r="C447" s="1098"/>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5">
        <f t="shared" si="243"/>
        <v>0</v>
      </c>
      <c r="AW447" s="795">
        <f t="shared" si="244"/>
        <v>0</v>
      </c>
      <c r="AX447" s="795">
        <f t="shared" si="245"/>
        <v>0</v>
      </c>
      <c r="AY447" s="1025">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0"/>
      <c r="B448" s="1098"/>
      <c r="C448" s="1098"/>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5">
        <f t="shared" si="243"/>
        <v>0</v>
      </c>
      <c r="AW448" s="795">
        <f t="shared" si="244"/>
        <v>0</v>
      </c>
      <c r="AX448" s="795">
        <f t="shared" si="245"/>
        <v>0</v>
      </c>
      <c r="AY448" s="1025">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0"/>
      <c r="B449" s="1098"/>
      <c r="C449" s="1098"/>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5">
        <f t="shared" si="243"/>
        <v>0</v>
      </c>
      <c r="AW449" s="795">
        <f t="shared" si="244"/>
        <v>0</v>
      </c>
      <c r="AX449" s="795">
        <f t="shared" si="245"/>
        <v>0</v>
      </c>
      <c r="AY449" s="1025">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0"/>
      <c r="B450" s="1098"/>
      <c r="C450" s="1098"/>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5">
        <f t="shared" si="243"/>
        <v>0</v>
      </c>
      <c r="AW450" s="795">
        <f t="shared" si="244"/>
        <v>0</v>
      </c>
      <c r="AX450" s="795">
        <f t="shared" si="245"/>
        <v>0</v>
      </c>
      <c r="AY450" s="1025">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0"/>
      <c r="B451" s="1098"/>
      <c r="C451" s="1098"/>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5">
        <f t="shared" si="243"/>
        <v>0</v>
      </c>
      <c r="AW451" s="795">
        <f t="shared" si="244"/>
        <v>0</v>
      </c>
      <c r="AX451" s="795">
        <f t="shared" si="245"/>
        <v>0</v>
      </c>
      <c r="AY451" s="1025">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0"/>
      <c r="B452" s="1098"/>
      <c r="C452" s="1098"/>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5">
        <f t="shared" si="243"/>
        <v>0</v>
      </c>
      <c r="AW452" s="795">
        <f t="shared" si="244"/>
        <v>0</v>
      </c>
      <c r="AX452" s="795">
        <f t="shared" si="245"/>
        <v>0</v>
      </c>
      <c r="AY452" s="1025">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0"/>
      <c r="B453" s="1098"/>
      <c r="C453" s="1098"/>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5">
        <f t="shared" si="243"/>
        <v>0</v>
      </c>
      <c r="AW453" s="795">
        <f t="shared" si="244"/>
        <v>0</v>
      </c>
      <c r="AX453" s="795">
        <f t="shared" si="245"/>
        <v>0</v>
      </c>
      <c r="AY453" s="1025">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0"/>
      <c r="B454" s="1098"/>
      <c r="C454" s="1098"/>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5">
        <f t="shared" si="243"/>
        <v>0</v>
      </c>
      <c r="AW454" s="795">
        <f t="shared" si="244"/>
        <v>0</v>
      </c>
      <c r="AX454" s="795">
        <f t="shared" si="245"/>
        <v>0</v>
      </c>
      <c r="AY454" s="1025">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0"/>
      <c r="B455" s="1098"/>
      <c r="C455" s="1098"/>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5">
        <f t="shared" si="243"/>
        <v>0</v>
      </c>
      <c r="AW455" s="795">
        <f t="shared" si="244"/>
        <v>0</v>
      </c>
      <c r="AX455" s="795">
        <f t="shared" si="245"/>
        <v>0</v>
      </c>
      <c r="AY455" s="1025">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0"/>
      <c r="B456" s="1098"/>
      <c r="C456" s="1098"/>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5">
        <f t="shared" si="243"/>
        <v>0</v>
      </c>
      <c r="AW456" s="795">
        <f t="shared" si="244"/>
        <v>0</v>
      </c>
      <c r="AX456" s="795">
        <f t="shared" si="245"/>
        <v>0</v>
      </c>
      <c r="AY456" s="1025">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0"/>
      <c r="B457" s="1098"/>
      <c r="C457" s="1098"/>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5">
        <f t="shared" si="243"/>
        <v>0</v>
      </c>
      <c r="AW457" s="795">
        <f t="shared" si="244"/>
        <v>0</v>
      </c>
      <c r="AX457" s="795">
        <f t="shared" si="245"/>
        <v>0</v>
      </c>
      <c r="AY457" s="1025">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0"/>
      <c r="B458" s="1098"/>
      <c r="C458" s="1098"/>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5">
        <f t="shared" si="243"/>
        <v>0</v>
      </c>
      <c r="AW458" s="795">
        <f t="shared" si="244"/>
        <v>0</v>
      </c>
      <c r="AX458" s="795">
        <f t="shared" si="245"/>
        <v>0</v>
      </c>
      <c r="AY458" s="1025">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0"/>
      <c r="B459" s="1098"/>
      <c r="C459" s="1098"/>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5">
        <f t="shared" si="243"/>
        <v>0</v>
      </c>
      <c r="AW459" s="795">
        <f t="shared" si="244"/>
        <v>0</v>
      </c>
      <c r="AX459" s="795">
        <f t="shared" si="245"/>
        <v>0</v>
      </c>
      <c r="AY459" s="1025">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0"/>
      <c r="B460" s="1098"/>
      <c r="C460" s="1098"/>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5">
        <f t="shared" si="243"/>
        <v>0</v>
      </c>
      <c r="AW460" s="795">
        <f t="shared" si="244"/>
        <v>0</v>
      </c>
      <c r="AX460" s="795">
        <f t="shared" si="245"/>
        <v>0</v>
      </c>
      <c r="AY460" s="1025">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0"/>
      <c r="B461" s="1098"/>
      <c r="C461" s="1098"/>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5">
        <f t="shared" si="243"/>
        <v>0</v>
      </c>
      <c r="AW461" s="795">
        <f t="shared" si="244"/>
        <v>0</v>
      </c>
      <c r="AX461" s="795">
        <f t="shared" si="245"/>
        <v>0</v>
      </c>
      <c r="AY461" s="1025">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0"/>
      <c r="B462" s="1098"/>
      <c r="C462" s="1098"/>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5">
        <f t="shared" si="243"/>
        <v>0</v>
      </c>
      <c r="AW462" s="795">
        <f t="shared" si="244"/>
        <v>0</v>
      </c>
      <c r="AX462" s="795">
        <f t="shared" si="245"/>
        <v>0</v>
      </c>
      <c r="AY462" s="1025">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0"/>
      <c r="B463" s="1098"/>
      <c r="C463" s="1098"/>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5">
        <f t="shared" si="243"/>
        <v>0</v>
      </c>
      <c r="AW463" s="795">
        <f t="shared" si="244"/>
        <v>0</v>
      </c>
      <c r="AX463" s="795">
        <f t="shared" si="245"/>
        <v>0</v>
      </c>
      <c r="AY463" s="1025">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0"/>
      <c r="B464" s="1098"/>
      <c r="C464" s="1098"/>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5">
        <f t="shared" si="243"/>
        <v>0</v>
      </c>
      <c r="AW464" s="795">
        <f t="shared" si="244"/>
        <v>0</v>
      </c>
      <c r="AX464" s="795">
        <f t="shared" si="245"/>
        <v>0</v>
      </c>
      <c r="AY464" s="1025">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0"/>
      <c r="B465" s="1098"/>
      <c r="C465" s="1098"/>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5">
        <f t="shared" si="243"/>
        <v>0</v>
      </c>
      <c r="AW465" s="795">
        <f t="shared" si="244"/>
        <v>0</v>
      </c>
      <c r="AX465" s="795">
        <f t="shared" si="245"/>
        <v>0</v>
      </c>
      <c r="AY465" s="1025">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0"/>
      <c r="B466" s="1098"/>
      <c r="C466" s="1098"/>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5">
        <f t="shared" si="243"/>
        <v>0</v>
      </c>
      <c r="AW466" s="795">
        <f t="shared" si="244"/>
        <v>0</v>
      </c>
      <c r="AX466" s="795">
        <f t="shared" si="245"/>
        <v>0</v>
      </c>
      <c r="AY466" s="1025">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0"/>
      <c r="B467" s="1098"/>
      <c r="C467" s="1098"/>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5">
        <f t="shared" si="243"/>
        <v>0</v>
      </c>
      <c r="AW467" s="795">
        <f t="shared" si="244"/>
        <v>0</v>
      </c>
      <c r="AX467" s="795">
        <f t="shared" si="245"/>
        <v>0</v>
      </c>
      <c r="AY467" s="1025">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0"/>
      <c r="B468" s="1098"/>
      <c r="C468" s="1098"/>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5">
        <f t="shared" si="243"/>
        <v>0</v>
      </c>
      <c r="AW468" s="795">
        <f t="shared" si="244"/>
        <v>0</v>
      </c>
      <c r="AX468" s="795">
        <f t="shared" si="245"/>
        <v>0</v>
      </c>
      <c r="AY468" s="1025">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0"/>
      <c r="B469" s="1098"/>
      <c r="C469" s="1098"/>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5">
        <f t="shared" si="243"/>
        <v>0</v>
      </c>
      <c r="AW469" s="795">
        <f t="shared" si="244"/>
        <v>0</v>
      </c>
      <c r="AX469" s="795">
        <f t="shared" si="245"/>
        <v>0</v>
      </c>
      <c r="AY469" s="1025">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0"/>
      <c r="B470" s="1098"/>
      <c r="C470" s="1098"/>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5">
        <f t="shared" si="243"/>
        <v>0</v>
      </c>
      <c r="AW470" s="795">
        <f t="shared" si="244"/>
        <v>0</v>
      </c>
      <c r="AX470" s="795">
        <f t="shared" si="245"/>
        <v>0</v>
      </c>
      <c r="AY470" s="1025">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0"/>
      <c r="B471" s="1098"/>
      <c r="C471" s="1098"/>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5">
        <f t="shared" si="243"/>
        <v>0</v>
      </c>
      <c r="AW471" s="795">
        <f t="shared" si="244"/>
        <v>0</v>
      </c>
      <c r="AX471" s="795">
        <f t="shared" si="245"/>
        <v>0</v>
      </c>
      <c r="AY471" s="1025">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0"/>
      <c r="B472" s="1098"/>
      <c r="C472" s="1098"/>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5">
        <f t="shared" si="243"/>
        <v>0</v>
      </c>
      <c r="AW472" s="795">
        <f t="shared" si="244"/>
        <v>0</v>
      </c>
      <c r="AX472" s="795">
        <f t="shared" si="245"/>
        <v>0</v>
      </c>
      <c r="AY472" s="1025">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0"/>
      <c r="B473" s="1098"/>
      <c r="C473" s="1098"/>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5">
        <f t="shared" si="243"/>
        <v>0</v>
      </c>
      <c r="AW473" s="795">
        <f t="shared" si="244"/>
        <v>0</v>
      </c>
      <c r="AX473" s="795">
        <f t="shared" si="245"/>
        <v>0</v>
      </c>
      <c r="AY473" s="1025">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0"/>
      <c r="B474" s="1098"/>
      <c r="C474" s="1098"/>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5">
        <f t="shared" si="243"/>
        <v>0</v>
      </c>
      <c r="AW474" s="795">
        <f t="shared" si="244"/>
        <v>0</v>
      </c>
      <c r="AX474" s="795">
        <f t="shared" si="245"/>
        <v>0</v>
      </c>
      <c r="AY474" s="1025">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0"/>
      <c r="B475" s="1098"/>
      <c r="C475" s="1098"/>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5">
        <f t="shared" si="243"/>
        <v>0</v>
      </c>
      <c r="AW475" s="795">
        <f t="shared" si="244"/>
        <v>0</v>
      </c>
      <c r="AX475" s="795">
        <f t="shared" si="245"/>
        <v>0</v>
      </c>
      <c r="AY475" s="1025">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0"/>
      <c r="B476" s="1098"/>
      <c r="C476" s="1098"/>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5">
        <f t="shared" si="243"/>
        <v>0</v>
      </c>
      <c r="AW476" s="795">
        <f t="shared" si="244"/>
        <v>0</v>
      </c>
      <c r="AX476" s="795">
        <f t="shared" si="245"/>
        <v>0</v>
      </c>
      <c r="AY476" s="1025">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0"/>
      <c r="B477" s="1098"/>
      <c r="C477" s="1098"/>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5">
        <f t="shared" si="243"/>
        <v>0</v>
      </c>
      <c r="AW477" s="795">
        <f t="shared" si="244"/>
        <v>0</v>
      </c>
      <c r="AX477" s="795">
        <f t="shared" si="245"/>
        <v>0</v>
      </c>
      <c r="AY477" s="1025">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0"/>
      <c r="B478" s="1098"/>
      <c r="C478" s="1098"/>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5">
        <f t="shared" si="243"/>
        <v>0</v>
      </c>
      <c r="AW478" s="795">
        <f t="shared" si="244"/>
        <v>0</v>
      </c>
      <c r="AX478" s="795">
        <f t="shared" si="245"/>
        <v>0</v>
      </c>
      <c r="AY478" s="1025">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0"/>
      <c r="B479" s="1098"/>
      <c r="C479" s="1098"/>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5">
        <f t="shared" si="243"/>
        <v>0</v>
      </c>
      <c r="AW479" s="795">
        <f t="shared" si="244"/>
        <v>0</v>
      </c>
      <c r="AX479" s="795">
        <f t="shared" si="245"/>
        <v>0</v>
      </c>
      <c r="AY479" s="1025">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0"/>
      <c r="B480" s="1098"/>
      <c r="C480" s="1098"/>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5">
        <f t="shared" si="243"/>
        <v>0</v>
      </c>
      <c r="AW480" s="795">
        <f t="shared" si="244"/>
        <v>0</v>
      </c>
      <c r="AX480" s="795">
        <f t="shared" si="245"/>
        <v>0</v>
      </c>
      <c r="AY480" s="1025">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0"/>
      <c r="B481" s="1098"/>
      <c r="C481" s="1098"/>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5">
        <f t="shared" si="243"/>
        <v>0</v>
      </c>
      <c r="AW481" s="795">
        <f t="shared" si="244"/>
        <v>0</v>
      </c>
      <c r="AX481" s="795">
        <f t="shared" si="245"/>
        <v>0</v>
      </c>
      <c r="AY481" s="1025">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0"/>
      <c r="B482" s="1098"/>
      <c r="C482" s="1098"/>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5">
        <f t="shared" si="243"/>
        <v>0</v>
      </c>
      <c r="AW482" s="795">
        <f t="shared" si="244"/>
        <v>0</v>
      </c>
      <c r="AX482" s="795">
        <f t="shared" si="245"/>
        <v>0</v>
      </c>
      <c r="AY482" s="1025">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0"/>
      <c r="B483" s="1098"/>
      <c r="C483" s="1098"/>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5">
        <f t="shared" si="243"/>
        <v>0</v>
      </c>
      <c r="AW483" s="795">
        <f t="shared" si="244"/>
        <v>0</v>
      </c>
      <c r="AX483" s="795">
        <f t="shared" si="245"/>
        <v>0</v>
      </c>
      <c r="AY483" s="1025">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0"/>
      <c r="B484" s="1098"/>
      <c r="C484" s="1098"/>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5">
        <f t="shared" si="243"/>
        <v>0</v>
      </c>
      <c r="AW484" s="795">
        <f t="shared" si="244"/>
        <v>0</v>
      </c>
      <c r="AX484" s="795">
        <f t="shared" si="245"/>
        <v>0</v>
      </c>
      <c r="AY484" s="1025">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0"/>
      <c r="B485" s="1098"/>
      <c r="C485" s="1098"/>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5">
        <f t="shared" si="243"/>
        <v>0</v>
      </c>
      <c r="AW485" s="795">
        <f t="shared" si="244"/>
        <v>0</v>
      </c>
      <c r="AX485" s="795">
        <f t="shared" si="245"/>
        <v>0</v>
      </c>
      <c r="AY485" s="1025">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0"/>
      <c r="B486" s="1098"/>
      <c r="C486" s="1098"/>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5">
        <f t="shared" si="243"/>
        <v>0</v>
      </c>
      <c r="AW486" s="795">
        <f t="shared" si="244"/>
        <v>0</v>
      </c>
      <c r="AX486" s="795">
        <f t="shared" si="245"/>
        <v>0</v>
      </c>
      <c r="AY486" s="1025">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0"/>
      <c r="B487" s="1098"/>
      <c r="C487" s="1098"/>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5">
        <f t="shared" si="243"/>
        <v>0</v>
      </c>
      <c r="AW487" s="795">
        <f t="shared" si="244"/>
        <v>0</v>
      </c>
      <c r="AX487" s="795">
        <f t="shared" si="245"/>
        <v>0</v>
      </c>
      <c r="AY487" s="1025">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0"/>
      <c r="B488" s="1098"/>
      <c r="C488" s="1098"/>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5">
        <f t="shared" si="243"/>
        <v>0</v>
      </c>
      <c r="AW488" s="795">
        <f t="shared" si="244"/>
        <v>0</v>
      </c>
      <c r="AX488" s="795">
        <f t="shared" si="245"/>
        <v>0</v>
      </c>
      <c r="AY488" s="1025">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0"/>
      <c r="B489" s="1098"/>
      <c r="C489" s="1098"/>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5">
        <f t="shared" si="243"/>
        <v>0</v>
      </c>
      <c r="AW489" s="795">
        <f t="shared" si="244"/>
        <v>0</v>
      </c>
      <c r="AX489" s="795">
        <f t="shared" si="245"/>
        <v>0</v>
      </c>
      <c r="AY489" s="1025">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0"/>
      <c r="B490" s="1090"/>
      <c r="C490" s="1090"/>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3"/>
      <c r="AV490" s="795">
        <f t="shared" si="243"/>
        <v>0</v>
      </c>
      <c r="AW490" s="795">
        <f t="shared" si="244"/>
        <v>0</v>
      </c>
      <c r="AX490" s="795">
        <f t="shared" si="245"/>
        <v>0</v>
      </c>
      <c r="AY490" s="1025">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0"/>
      <c r="B491" s="1090"/>
      <c r="C491" s="1090"/>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3"/>
      <c r="AV491" s="795">
        <f t="shared" si="243"/>
        <v>0</v>
      </c>
      <c r="AW491" s="795">
        <f t="shared" si="244"/>
        <v>0</v>
      </c>
      <c r="AX491" s="795">
        <f t="shared" si="245"/>
        <v>0</v>
      </c>
      <c r="AY491" s="1025">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0"/>
      <c r="B492" s="1090"/>
      <c r="C492" s="1090"/>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3"/>
      <c r="AV492" s="795">
        <f t="shared" si="243"/>
        <v>0</v>
      </c>
      <c r="AW492" s="795">
        <f t="shared" si="244"/>
        <v>0</v>
      </c>
      <c r="AX492" s="795">
        <f t="shared" si="245"/>
        <v>0</v>
      </c>
      <c r="AY492" s="1025">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0"/>
      <c r="B493" s="1098"/>
      <c r="C493" s="1098"/>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5">
        <f t="shared" ref="AV493:AV520" si="294">A493</f>
        <v>0</v>
      </c>
      <c r="AW493" s="795">
        <f t="shared" ref="AW493:AW520" si="295">B493</f>
        <v>0</v>
      </c>
      <c r="AX493" s="795">
        <f t="shared" ref="AX493:AX520" si="296">C493</f>
        <v>0</v>
      </c>
      <c r="AY493" s="1025">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0"/>
      <c r="B494" s="1098"/>
      <c r="C494" s="1098"/>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5">
        <f t="shared" si="294"/>
        <v>0</v>
      </c>
      <c r="AW494" s="795">
        <f t="shared" si="295"/>
        <v>0</v>
      </c>
      <c r="AX494" s="795">
        <f t="shared" si="296"/>
        <v>0</v>
      </c>
      <c r="AY494" s="1025">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0"/>
      <c r="B495" s="1098"/>
      <c r="C495" s="1098"/>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5">
        <f t="shared" si="294"/>
        <v>0</v>
      </c>
      <c r="AW495" s="795">
        <f t="shared" si="295"/>
        <v>0</v>
      </c>
      <c r="AX495" s="795">
        <f t="shared" si="296"/>
        <v>0</v>
      </c>
      <c r="AY495" s="1025">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0"/>
      <c r="B496" s="1098"/>
      <c r="C496" s="1098"/>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5">
        <f t="shared" si="294"/>
        <v>0</v>
      </c>
      <c r="AW496" s="795">
        <f t="shared" si="295"/>
        <v>0</v>
      </c>
      <c r="AX496" s="795">
        <f t="shared" si="296"/>
        <v>0</v>
      </c>
      <c r="AY496" s="1025">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0"/>
      <c r="B497" s="1098"/>
      <c r="C497" s="1098"/>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5">
        <f t="shared" si="294"/>
        <v>0</v>
      </c>
      <c r="AW497" s="795">
        <f t="shared" si="295"/>
        <v>0</v>
      </c>
      <c r="AX497" s="795">
        <f t="shared" si="296"/>
        <v>0</v>
      </c>
      <c r="AY497" s="1025">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0"/>
      <c r="B498" s="1098"/>
      <c r="C498" s="1098"/>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5">
        <f t="shared" si="294"/>
        <v>0</v>
      </c>
      <c r="AW498" s="795">
        <f t="shared" si="295"/>
        <v>0</v>
      </c>
      <c r="AX498" s="795">
        <f t="shared" si="296"/>
        <v>0</v>
      </c>
      <c r="AY498" s="1025">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0"/>
      <c r="B499" s="1098"/>
      <c r="C499" s="1098"/>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5">
        <f t="shared" si="294"/>
        <v>0</v>
      </c>
      <c r="AW499" s="795">
        <f t="shared" si="295"/>
        <v>0</v>
      </c>
      <c r="AX499" s="795">
        <f t="shared" si="296"/>
        <v>0</v>
      </c>
      <c r="AY499" s="1025">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0"/>
      <c r="B500" s="1098"/>
      <c r="C500" s="1098"/>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5">
        <f t="shared" si="294"/>
        <v>0</v>
      </c>
      <c r="AW500" s="795">
        <f t="shared" si="295"/>
        <v>0</v>
      </c>
      <c r="AX500" s="795">
        <f t="shared" si="296"/>
        <v>0</v>
      </c>
      <c r="AY500" s="1025">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0"/>
      <c r="B501" s="1098"/>
      <c r="C501" s="1098"/>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5">
        <f t="shared" si="294"/>
        <v>0</v>
      </c>
      <c r="AW501" s="795">
        <f t="shared" si="295"/>
        <v>0</v>
      </c>
      <c r="AX501" s="795">
        <f t="shared" si="296"/>
        <v>0</v>
      </c>
      <c r="AY501" s="1025">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0"/>
      <c r="B502" s="1098"/>
      <c r="C502" s="1098"/>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5">
        <f t="shared" si="294"/>
        <v>0</v>
      </c>
      <c r="AW502" s="795">
        <f t="shared" si="295"/>
        <v>0</v>
      </c>
      <c r="AX502" s="795">
        <f t="shared" si="296"/>
        <v>0</v>
      </c>
      <c r="AY502" s="1025">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0"/>
      <c r="B503" s="1098"/>
      <c r="C503" s="1098"/>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5">
        <f t="shared" si="294"/>
        <v>0</v>
      </c>
      <c r="AW503" s="795">
        <f t="shared" si="295"/>
        <v>0</v>
      </c>
      <c r="AX503" s="795">
        <f t="shared" si="296"/>
        <v>0</v>
      </c>
      <c r="AY503" s="1025">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0"/>
      <c r="B504" s="1098"/>
      <c r="C504" s="1098"/>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5">
        <f t="shared" si="294"/>
        <v>0</v>
      </c>
      <c r="AW504" s="795">
        <f t="shared" si="295"/>
        <v>0</v>
      </c>
      <c r="AX504" s="795">
        <f t="shared" si="296"/>
        <v>0</v>
      </c>
      <c r="AY504" s="1025">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0"/>
      <c r="B505" s="1098"/>
      <c r="C505" s="1098"/>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5">
        <f t="shared" si="294"/>
        <v>0</v>
      </c>
      <c r="AW505" s="795">
        <f t="shared" si="295"/>
        <v>0</v>
      </c>
      <c r="AX505" s="795">
        <f t="shared" si="296"/>
        <v>0</v>
      </c>
      <c r="AY505" s="1025">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0"/>
      <c r="B506" s="1098"/>
      <c r="C506" s="1098"/>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5">
        <f t="shared" si="294"/>
        <v>0</v>
      </c>
      <c r="AW506" s="795">
        <f t="shared" si="295"/>
        <v>0</v>
      </c>
      <c r="AX506" s="795">
        <f t="shared" si="296"/>
        <v>0</v>
      </c>
      <c r="AY506" s="1025">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0"/>
      <c r="B507" s="1098"/>
      <c r="C507" s="1098"/>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5">
        <f t="shared" si="294"/>
        <v>0</v>
      </c>
      <c r="AW507" s="795">
        <f t="shared" si="295"/>
        <v>0</v>
      </c>
      <c r="AX507" s="795">
        <f t="shared" si="296"/>
        <v>0</v>
      </c>
      <c r="AY507" s="1025">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0"/>
      <c r="B508" s="1098"/>
      <c r="C508" s="1098"/>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5">
        <f t="shared" si="294"/>
        <v>0</v>
      </c>
      <c r="AW508" s="795">
        <f t="shared" si="295"/>
        <v>0</v>
      </c>
      <c r="AX508" s="795">
        <f t="shared" si="296"/>
        <v>0</v>
      </c>
      <c r="AY508" s="1025">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0"/>
      <c r="B509" s="1098"/>
      <c r="C509" s="1098"/>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5">
        <f t="shared" si="294"/>
        <v>0</v>
      </c>
      <c r="AW509" s="795">
        <f t="shared" si="295"/>
        <v>0</v>
      </c>
      <c r="AX509" s="795">
        <f t="shared" si="296"/>
        <v>0</v>
      </c>
      <c r="AY509" s="1025">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0"/>
      <c r="B510" s="1098"/>
      <c r="C510" s="1098"/>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5">
        <f t="shared" si="294"/>
        <v>0</v>
      </c>
      <c r="AW510" s="795">
        <f t="shared" si="295"/>
        <v>0</v>
      </c>
      <c r="AX510" s="795">
        <f t="shared" si="296"/>
        <v>0</v>
      </c>
      <c r="AY510" s="1025">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0"/>
      <c r="B511" s="1098"/>
      <c r="C511" s="1098"/>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5">
        <f t="shared" si="294"/>
        <v>0</v>
      </c>
      <c r="AW511" s="795">
        <f t="shared" si="295"/>
        <v>0</v>
      </c>
      <c r="AX511" s="795">
        <f t="shared" si="296"/>
        <v>0</v>
      </c>
      <c r="AY511" s="1025">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0"/>
      <c r="B512" s="1098"/>
      <c r="C512" s="1098"/>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5">
        <f t="shared" si="294"/>
        <v>0</v>
      </c>
      <c r="AW512" s="795">
        <f t="shared" si="295"/>
        <v>0</v>
      </c>
      <c r="AX512" s="795">
        <f t="shared" si="296"/>
        <v>0</v>
      </c>
      <c r="AY512" s="1025">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0"/>
      <c r="B513" s="1098"/>
      <c r="C513" s="1098"/>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5">
        <f t="shared" si="294"/>
        <v>0</v>
      </c>
      <c r="AW513" s="795">
        <f t="shared" si="295"/>
        <v>0</v>
      </c>
      <c r="AX513" s="795">
        <f t="shared" si="296"/>
        <v>0</v>
      </c>
      <c r="AY513" s="1025">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0"/>
      <c r="B514" s="1098"/>
      <c r="C514" s="1098"/>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5">
        <f t="shared" si="294"/>
        <v>0</v>
      </c>
      <c r="AW514" s="795">
        <f t="shared" si="295"/>
        <v>0</v>
      </c>
      <c r="AX514" s="795">
        <f t="shared" si="296"/>
        <v>0</v>
      </c>
      <c r="AY514" s="1025">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0"/>
      <c r="B515" s="1098"/>
      <c r="C515" s="1098"/>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5">
        <f t="shared" si="294"/>
        <v>0</v>
      </c>
      <c r="AW515" s="795">
        <f t="shared" si="295"/>
        <v>0</v>
      </c>
      <c r="AX515" s="795">
        <f t="shared" si="296"/>
        <v>0</v>
      </c>
      <c r="AY515" s="1025">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0"/>
      <c r="B516" s="1098"/>
      <c r="C516" s="1098"/>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5">
        <f t="shared" si="294"/>
        <v>0</v>
      </c>
      <c r="AW516" s="795">
        <f t="shared" si="295"/>
        <v>0</v>
      </c>
      <c r="AX516" s="795">
        <f t="shared" si="296"/>
        <v>0</v>
      </c>
      <c r="AY516" s="1025">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0"/>
      <c r="B517" s="1098"/>
      <c r="C517" s="1098"/>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5">
        <f t="shared" si="294"/>
        <v>0</v>
      </c>
      <c r="AW517" s="795">
        <f t="shared" si="295"/>
        <v>0</v>
      </c>
      <c r="AX517" s="795">
        <f t="shared" si="296"/>
        <v>0</v>
      </c>
      <c r="AY517" s="1025">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0"/>
      <c r="B518" s="1098"/>
      <c r="C518" s="1098"/>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5">
        <f t="shared" si="294"/>
        <v>0</v>
      </c>
      <c r="AW518" s="795">
        <f t="shared" si="295"/>
        <v>0</v>
      </c>
      <c r="AX518" s="795">
        <f t="shared" si="296"/>
        <v>0</v>
      </c>
      <c r="AY518" s="1025">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0"/>
      <c r="B519" s="1098"/>
      <c r="C519" s="1098"/>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5">
        <f t="shared" si="294"/>
        <v>0</v>
      </c>
      <c r="AW519" s="795">
        <f t="shared" si="295"/>
        <v>0</v>
      </c>
      <c r="AX519" s="795">
        <f t="shared" si="296"/>
        <v>0</v>
      </c>
      <c r="AY519" s="1025">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0"/>
      <c r="B520" s="1098"/>
      <c r="C520" s="1098"/>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5">
        <f t="shared" si="294"/>
        <v>0</v>
      </c>
      <c r="AW520" s="795">
        <f t="shared" si="295"/>
        <v>0</v>
      </c>
      <c r="AX520" s="795">
        <f t="shared" si="296"/>
        <v>0</v>
      </c>
      <c r="AY520" s="1025">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0"/>
      <c r="B521" s="1098"/>
      <c r="C521" s="1098"/>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5">
        <f t="shared" ref="AV521:AV552" si="298">A521</f>
        <v>0</v>
      </c>
      <c r="AW521" s="795">
        <f t="shared" ref="AW521:AW552" si="299">B521</f>
        <v>0</v>
      </c>
      <c r="AX521" s="795">
        <f t="shared" ref="AX521:AX552" si="300">C521</f>
        <v>0</v>
      </c>
      <c r="AY521" s="1025">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0"/>
      <c r="B522" s="1098"/>
      <c r="C522" s="1098"/>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5">
        <f t="shared" si="298"/>
        <v>0</v>
      </c>
      <c r="AW522" s="795">
        <f t="shared" si="299"/>
        <v>0</v>
      </c>
      <c r="AX522" s="795">
        <f t="shared" si="300"/>
        <v>0</v>
      </c>
      <c r="AY522" s="1025">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0"/>
      <c r="B523" s="1098"/>
      <c r="C523" s="1098"/>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5">
        <f t="shared" si="298"/>
        <v>0</v>
      </c>
      <c r="AW523" s="795">
        <f t="shared" si="299"/>
        <v>0</v>
      </c>
      <c r="AX523" s="795">
        <f t="shared" si="300"/>
        <v>0</v>
      </c>
      <c r="AY523" s="1025">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0"/>
      <c r="B524" s="1098"/>
      <c r="C524" s="1098"/>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5">
        <f t="shared" si="298"/>
        <v>0</v>
      </c>
      <c r="AW524" s="795">
        <f t="shared" si="299"/>
        <v>0</v>
      </c>
      <c r="AX524" s="795">
        <f t="shared" si="300"/>
        <v>0</v>
      </c>
      <c r="AY524" s="1025">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0"/>
      <c r="B525" s="1098"/>
      <c r="C525" s="1098"/>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5">
        <f t="shared" si="298"/>
        <v>0</v>
      </c>
      <c r="AW525" s="795">
        <f t="shared" si="299"/>
        <v>0</v>
      </c>
      <c r="AX525" s="795">
        <f t="shared" si="300"/>
        <v>0</v>
      </c>
      <c r="AY525" s="1025">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0"/>
      <c r="B526" s="1098"/>
      <c r="C526" s="1098"/>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5">
        <f t="shared" si="298"/>
        <v>0</v>
      </c>
      <c r="AW526" s="795">
        <f t="shared" si="299"/>
        <v>0</v>
      </c>
      <c r="AX526" s="795">
        <f t="shared" si="300"/>
        <v>0</v>
      </c>
      <c r="AY526" s="1025">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0"/>
      <c r="B527" s="1098"/>
      <c r="C527" s="1098"/>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5">
        <f t="shared" si="298"/>
        <v>0</v>
      </c>
      <c r="AW527" s="795">
        <f t="shared" si="299"/>
        <v>0</v>
      </c>
      <c r="AX527" s="795">
        <f t="shared" si="300"/>
        <v>0</v>
      </c>
      <c r="AY527" s="1025">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0"/>
      <c r="B528" s="1098"/>
      <c r="C528" s="1098"/>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5">
        <f t="shared" si="298"/>
        <v>0</v>
      </c>
      <c r="AW528" s="795">
        <f t="shared" si="299"/>
        <v>0</v>
      </c>
      <c r="AX528" s="795">
        <f t="shared" si="300"/>
        <v>0</v>
      </c>
      <c r="AY528" s="1025">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0"/>
      <c r="B529" s="1098"/>
      <c r="C529" s="1098"/>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5">
        <f t="shared" si="298"/>
        <v>0</v>
      </c>
      <c r="AW529" s="795">
        <f t="shared" si="299"/>
        <v>0</v>
      </c>
      <c r="AX529" s="795">
        <f t="shared" si="300"/>
        <v>0</v>
      </c>
      <c r="AY529" s="1025">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0"/>
      <c r="B530" s="1098"/>
      <c r="C530" s="1098"/>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5">
        <f t="shared" si="298"/>
        <v>0</v>
      </c>
      <c r="AW530" s="795">
        <f t="shared" si="299"/>
        <v>0</v>
      </c>
      <c r="AX530" s="795">
        <f t="shared" si="300"/>
        <v>0</v>
      </c>
      <c r="AY530" s="1025">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0"/>
      <c r="B531" s="1098"/>
      <c r="C531" s="1098"/>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5">
        <f t="shared" si="298"/>
        <v>0</v>
      </c>
      <c r="AW531" s="795">
        <f t="shared" si="299"/>
        <v>0</v>
      </c>
      <c r="AX531" s="795">
        <f t="shared" si="300"/>
        <v>0</v>
      </c>
      <c r="AY531" s="1025">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0"/>
      <c r="B532" s="1098"/>
      <c r="C532" s="1098"/>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5">
        <f t="shared" si="298"/>
        <v>0</v>
      </c>
      <c r="AW532" s="795">
        <f t="shared" si="299"/>
        <v>0</v>
      </c>
      <c r="AX532" s="795">
        <f t="shared" si="300"/>
        <v>0</v>
      </c>
      <c r="AY532" s="1025">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0"/>
      <c r="B533" s="1098"/>
      <c r="C533" s="1098"/>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5">
        <f t="shared" si="298"/>
        <v>0</v>
      </c>
      <c r="AW533" s="795">
        <f t="shared" si="299"/>
        <v>0</v>
      </c>
      <c r="AX533" s="795">
        <f t="shared" si="300"/>
        <v>0</v>
      </c>
      <c r="AY533" s="1025">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0"/>
      <c r="B534" s="1098"/>
      <c r="C534" s="1098"/>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5">
        <f t="shared" si="298"/>
        <v>0</v>
      </c>
      <c r="AW534" s="795">
        <f t="shared" si="299"/>
        <v>0</v>
      </c>
      <c r="AX534" s="795">
        <f t="shared" si="300"/>
        <v>0</v>
      </c>
      <c r="AY534" s="1025">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0"/>
      <c r="B535" s="1098"/>
      <c r="C535" s="1098"/>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5">
        <f t="shared" si="298"/>
        <v>0</v>
      </c>
      <c r="AW535" s="795">
        <f t="shared" si="299"/>
        <v>0</v>
      </c>
      <c r="AX535" s="795">
        <f t="shared" si="300"/>
        <v>0</v>
      </c>
      <c r="AY535" s="1025">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0"/>
      <c r="B536" s="1098"/>
      <c r="C536" s="1098"/>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5">
        <f t="shared" si="298"/>
        <v>0</v>
      </c>
      <c r="AW536" s="795">
        <f t="shared" si="299"/>
        <v>0</v>
      </c>
      <c r="AX536" s="795">
        <f t="shared" si="300"/>
        <v>0</v>
      </c>
      <c r="AY536" s="1025">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0"/>
      <c r="B537" s="1098"/>
      <c r="C537" s="1098"/>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5">
        <f t="shared" si="298"/>
        <v>0</v>
      </c>
      <c r="AW537" s="795">
        <f t="shared" si="299"/>
        <v>0</v>
      </c>
      <c r="AX537" s="795">
        <f t="shared" si="300"/>
        <v>0</v>
      </c>
      <c r="AY537" s="1025">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0"/>
      <c r="B538" s="1098"/>
      <c r="C538" s="1098"/>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5">
        <f t="shared" si="298"/>
        <v>0</v>
      </c>
      <c r="AW538" s="795">
        <f t="shared" si="299"/>
        <v>0</v>
      </c>
      <c r="AX538" s="795">
        <f t="shared" si="300"/>
        <v>0</v>
      </c>
      <c r="AY538" s="1025">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0"/>
      <c r="B539" s="1098"/>
      <c r="C539" s="1098"/>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5">
        <f t="shared" si="298"/>
        <v>0</v>
      </c>
      <c r="AW539" s="795">
        <f t="shared" si="299"/>
        <v>0</v>
      </c>
      <c r="AX539" s="795">
        <f t="shared" si="300"/>
        <v>0</v>
      </c>
      <c r="AY539" s="1025">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0"/>
      <c r="B540" s="1098"/>
      <c r="C540" s="1098"/>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5">
        <f t="shared" si="298"/>
        <v>0</v>
      </c>
      <c r="AW540" s="795">
        <f t="shared" si="299"/>
        <v>0</v>
      </c>
      <c r="AX540" s="795">
        <f t="shared" si="300"/>
        <v>0</v>
      </c>
      <c r="AY540" s="1025">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0"/>
      <c r="B541" s="1098"/>
      <c r="C541" s="1098"/>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5">
        <f t="shared" si="298"/>
        <v>0</v>
      </c>
      <c r="AW541" s="795">
        <f t="shared" si="299"/>
        <v>0</v>
      </c>
      <c r="AX541" s="795">
        <f t="shared" si="300"/>
        <v>0</v>
      </c>
      <c r="AY541" s="1025">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0"/>
      <c r="B542" s="1098"/>
      <c r="C542" s="1098"/>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5">
        <f t="shared" si="298"/>
        <v>0</v>
      </c>
      <c r="AW542" s="795">
        <f t="shared" si="299"/>
        <v>0</v>
      </c>
      <c r="AX542" s="795">
        <f t="shared" si="300"/>
        <v>0</v>
      </c>
      <c r="AY542" s="1025">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0"/>
      <c r="B543" s="1098"/>
      <c r="C543" s="1098"/>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5">
        <f t="shared" si="298"/>
        <v>0</v>
      </c>
      <c r="AW543" s="795">
        <f t="shared" si="299"/>
        <v>0</v>
      </c>
      <c r="AX543" s="795">
        <f t="shared" si="300"/>
        <v>0</v>
      </c>
      <c r="AY543" s="1025">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0"/>
      <c r="B544" s="1098"/>
      <c r="C544" s="1098"/>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5">
        <f t="shared" si="298"/>
        <v>0</v>
      </c>
      <c r="AW544" s="795">
        <f t="shared" si="299"/>
        <v>0</v>
      </c>
      <c r="AX544" s="795">
        <f t="shared" si="300"/>
        <v>0</v>
      </c>
      <c r="AY544" s="1025">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0"/>
      <c r="B545" s="1098"/>
      <c r="C545" s="1098"/>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5">
        <f t="shared" si="298"/>
        <v>0</v>
      </c>
      <c r="AW545" s="795">
        <f t="shared" si="299"/>
        <v>0</v>
      </c>
      <c r="AX545" s="795">
        <f t="shared" si="300"/>
        <v>0</v>
      </c>
      <c r="AY545" s="1025">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0"/>
      <c r="B546" s="1098"/>
      <c r="C546" s="1098"/>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5">
        <f t="shared" si="298"/>
        <v>0</v>
      </c>
      <c r="AW546" s="795">
        <f t="shared" si="299"/>
        <v>0</v>
      </c>
      <c r="AX546" s="795">
        <f t="shared" si="300"/>
        <v>0</v>
      </c>
      <c r="AY546" s="1025">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0"/>
      <c r="B547" s="1098"/>
      <c r="C547" s="1098"/>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5">
        <f t="shared" si="298"/>
        <v>0</v>
      </c>
      <c r="AW547" s="795">
        <f t="shared" si="299"/>
        <v>0</v>
      </c>
      <c r="AX547" s="795">
        <f t="shared" si="300"/>
        <v>0</v>
      </c>
      <c r="AY547" s="1025">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0"/>
      <c r="B548" s="1098"/>
      <c r="C548" s="1098"/>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5">
        <f t="shared" si="298"/>
        <v>0</v>
      </c>
      <c r="AW548" s="795">
        <f t="shared" si="299"/>
        <v>0</v>
      </c>
      <c r="AX548" s="795">
        <f t="shared" si="300"/>
        <v>0</v>
      </c>
      <c r="AY548" s="1025">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0"/>
      <c r="B549" s="1098"/>
      <c r="C549" s="1098"/>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5">
        <f t="shared" si="298"/>
        <v>0</v>
      </c>
      <c r="AW549" s="795">
        <f t="shared" si="299"/>
        <v>0</v>
      </c>
      <c r="AX549" s="795">
        <f t="shared" si="300"/>
        <v>0</v>
      </c>
      <c r="AY549" s="1025">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0"/>
      <c r="B550" s="1098"/>
      <c r="C550" s="1098"/>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5">
        <f t="shared" si="298"/>
        <v>0</v>
      </c>
      <c r="AW550" s="795">
        <f t="shared" si="299"/>
        <v>0</v>
      </c>
      <c r="AX550" s="795">
        <f t="shared" si="300"/>
        <v>0</v>
      </c>
      <c r="AY550" s="1025">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0"/>
      <c r="B551" s="1098"/>
      <c r="C551" s="1098"/>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5">
        <f t="shared" si="298"/>
        <v>0</v>
      </c>
      <c r="AW551" s="795">
        <f t="shared" si="299"/>
        <v>0</v>
      </c>
      <c r="AX551" s="795">
        <f t="shared" si="300"/>
        <v>0</v>
      </c>
      <c r="AY551" s="1025">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0"/>
      <c r="B552" s="1098"/>
      <c r="C552" s="1098"/>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5">
        <f t="shared" si="298"/>
        <v>0</v>
      </c>
      <c r="AW552" s="795">
        <f t="shared" si="299"/>
        <v>0</v>
      </c>
      <c r="AX552" s="795">
        <f t="shared" si="300"/>
        <v>0</v>
      </c>
      <c r="AY552" s="1025">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0"/>
      <c r="B553" s="1098"/>
      <c r="C553" s="1098"/>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5">
        <f t="shared" ref="AV553:AV587" si="330">A553</f>
        <v>0</v>
      </c>
      <c r="AW553" s="795">
        <f t="shared" ref="AW553:AW587" si="331">B553</f>
        <v>0</v>
      </c>
      <c r="AX553" s="795">
        <f t="shared" ref="AX553:AX587" si="332">C553</f>
        <v>0</v>
      </c>
      <c r="AY553" s="1025">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0"/>
      <c r="B554" s="1098"/>
      <c r="C554" s="1098"/>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5">
        <f t="shared" si="330"/>
        <v>0</v>
      </c>
      <c r="AW554" s="795">
        <f t="shared" si="331"/>
        <v>0</v>
      </c>
      <c r="AX554" s="795">
        <f t="shared" si="332"/>
        <v>0</v>
      </c>
      <c r="AY554" s="1025">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0"/>
      <c r="B555" s="1098"/>
      <c r="C555" s="1098"/>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5">
        <f t="shared" si="330"/>
        <v>0</v>
      </c>
      <c r="AW555" s="795">
        <f t="shared" si="331"/>
        <v>0</v>
      </c>
      <c r="AX555" s="795">
        <f t="shared" si="332"/>
        <v>0</v>
      </c>
      <c r="AY555" s="1025">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0"/>
      <c r="B556" s="1098"/>
      <c r="C556" s="1098"/>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5">
        <f t="shared" si="330"/>
        <v>0</v>
      </c>
      <c r="AW556" s="795">
        <f t="shared" si="331"/>
        <v>0</v>
      </c>
      <c r="AX556" s="795">
        <f t="shared" si="332"/>
        <v>0</v>
      </c>
      <c r="AY556" s="1025">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0"/>
      <c r="B557" s="1098"/>
      <c r="C557" s="1098"/>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5">
        <f t="shared" si="330"/>
        <v>0</v>
      </c>
      <c r="AW557" s="795">
        <f t="shared" si="331"/>
        <v>0</v>
      </c>
      <c r="AX557" s="795">
        <f t="shared" si="332"/>
        <v>0</v>
      </c>
      <c r="AY557" s="1025">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0"/>
      <c r="B558" s="1098"/>
      <c r="C558" s="1098"/>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5">
        <f t="shared" si="330"/>
        <v>0</v>
      </c>
      <c r="AW558" s="795">
        <f t="shared" si="331"/>
        <v>0</v>
      </c>
      <c r="AX558" s="795">
        <f t="shared" si="332"/>
        <v>0</v>
      </c>
      <c r="AY558" s="1025">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0"/>
      <c r="B559" s="1098"/>
      <c r="C559" s="1098"/>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5">
        <f t="shared" si="330"/>
        <v>0</v>
      </c>
      <c r="AW559" s="795">
        <f t="shared" si="331"/>
        <v>0</v>
      </c>
      <c r="AX559" s="795">
        <f t="shared" si="332"/>
        <v>0</v>
      </c>
      <c r="AY559" s="1025">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0"/>
      <c r="B560" s="1098"/>
      <c r="C560" s="1098"/>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5">
        <f t="shared" si="330"/>
        <v>0</v>
      </c>
      <c r="AW560" s="795">
        <f t="shared" si="331"/>
        <v>0</v>
      </c>
      <c r="AX560" s="795">
        <f t="shared" si="332"/>
        <v>0</v>
      </c>
      <c r="AY560" s="1025">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0"/>
      <c r="B561" s="1098"/>
      <c r="C561" s="1098"/>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5">
        <f t="shared" si="330"/>
        <v>0</v>
      </c>
      <c r="AW561" s="795">
        <f t="shared" si="331"/>
        <v>0</v>
      </c>
      <c r="AX561" s="795">
        <f t="shared" si="332"/>
        <v>0</v>
      </c>
      <c r="AY561" s="1025">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0"/>
      <c r="B562" s="1098"/>
      <c r="C562" s="1098"/>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5">
        <f t="shared" si="330"/>
        <v>0</v>
      </c>
      <c r="AW562" s="795">
        <f t="shared" si="331"/>
        <v>0</v>
      </c>
      <c r="AX562" s="795">
        <f t="shared" si="332"/>
        <v>0</v>
      </c>
      <c r="AY562" s="1025">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0"/>
      <c r="B563" s="1098"/>
      <c r="C563" s="1098"/>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5">
        <f t="shared" si="330"/>
        <v>0</v>
      </c>
      <c r="AW563" s="795">
        <f t="shared" si="331"/>
        <v>0</v>
      </c>
      <c r="AX563" s="795">
        <f t="shared" si="332"/>
        <v>0</v>
      </c>
      <c r="AY563" s="1025">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0"/>
      <c r="B564" s="1098"/>
      <c r="C564" s="1098"/>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5">
        <f t="shared" si="330"/>
        <v>0</v>
      </c>
      <c r="AW564" s="795">
        <f t="shared" si="331"/>
        <v>0</v>
      </c>
      <c r="AX564" s="795">
        <f t="shared" si="332"/>
        <v>0</v>
      </c>
      <c r="AY564" s="1025">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0"/>
      <c r="B565" s="1098"/>
      <c r="C565" s="1098"/>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5">
        <f t="shared" si="330"/>
        <v>0</v>
      </c>
      <c r="AW565" s="795">
        <f t="shared" si="331"/>
        <v>0</v>
      </c>
      <c r="AX565" s="795">
        <f t="shared" si="332"/>
        <v>0</v>
      </c>
      <c r="AY565" s="1025">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0"/>
      <c r="B566" s="1098"/>
      <c r="C566" s="1098"/>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5">
        <f t="shared" si="330"/>
        <v>0</v>
      </c>
      <c r="AW566" s="795">
        <f t="shared" si="331"/>
        <v>0</v>
      </c>
      <c r="AX566" s="795">
        <f t="shared" si="332"/>
        <v>0</v>
      </c>
      <c r="AY566" s="1025">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0"/>
      <c r="B567" s="1098"/>
      <c r="C567" s="1098"/>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5">
        <f t="shared" si="330"/>
        <v>0</v>
      </c>
      <c r="AW567" s="795">
        <f t="shared" si="331"/>
        <v>0</v>
      </c>
      <c r="AX567" s="795">
        <f t="shared" si="332"/>
        <v>0</v>
      </c>
      <c r="AY567" s="1025">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0"/>
      <c r="B568" s="1098"/>
      <c r="C568" s="1098"/>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5">
        <f t="shared" si="330"/>
        <v>0</v>
      </c>
      <c r="AW568" s="795">
        <f t="shared" si="331"/>
        <v>0</v>
      </c>
      <c r="AX568" s="795">
        <f t="shared" si="332"/>
        <v>0</v>
      </c>
      <c r="AY568" s="1025">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0"/>
      <c r="B569" s="1098"/>
      <c r="C569" s="1098"/>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5">
        <f t="shared" si="330"/>
        <v>0</v>
      </c>
      <c r="AW569" s="795">
        <f t="shared" si="331"/>
        <v>0</v>
      </c>
      <c r="AX569" s="795">
        <f t="shared" si="332"/>
        <v>0</v>
      </c>
      <c r="AY569" s="1025">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0"/>
      <c r="B570" s="1098"/>
      <c r="C570" s="1098"/>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5">
        <f t="shared" si="330"/>
        <v>0</v>
      </c>
      <c r="AW570" s="795">
        <f t="shared" si="331"/>
        <v>0</v>
      </c>
      <c r="AX570" s="795">
        <f t="shared" si="332"/>
        <v>0</v>
      </c>
      <c r="AY570" s="1025">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0"/>
      <c r="B571" s="1098"/>
      <c r="C571" s="1098"/>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5">
        <f t="shared" si="330"/>
        <v>0</v>
      </c>
      <c r="AW571" s="795">
        <f t="shared" si="331"/>
        <v>0</v>
      </c>
      <c r="AX571" s="795">
        <f t="shared" si="332"/>
        <v>0</v>
      </c>
      <c r="AY571" s="1025">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0"/>
      <c r="B572" s="1098"/>
      <c r="C572" s="1098"/>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5">
        <f t="shared" si="330"/>
        <v>0</v>
      </c>
      <c r="AW572" s="795">
        <f t="shared" si="331"/>
        <v>0</v>
      </c>
      <c r="AX572" s="795">
        <f t="shared" si="332"/>
        <v>0</v>
      </c>
      <c r="AY572" s="1025">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0"/>
      <c r="B573" s="1098"/>
      <c r="C573" s="1098"/>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5">
        <f t="shared" si="330"/>
        <v>0</v>
      </c>
      <c r="AW573" s="795">
        <f t="shared" si="331"/>
        <v>0</v>
      </c>
      <c r="AX573" s="795">
        <f t="shared" si="332"/>
        <v>0</v>
      </c>
      <c r="AY573" s="1025">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0"/>
      <c r="B574" s="1098"/>
      <c r="C574" s="1098"/>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5">
        <f t="shared" si="330"/>
        <v>0</v>
      </c>
      <c r="AW574" s="795">
        <f t="shared" si="331"/>
        <v>0</v>
      </c>
      <c r="AX574" s="795">
        <f t="shared" si="332"/>
        <v>0</v>
      </c>
      <c r="AY574" s="1025">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0"/>
      <c r="B575" s="1098"/>
      <c r="C575" s="1098"/>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5">
        <f t="shared" si="330"/>
        <v>0</v>
      </c>
      <c r="AW575" s="795">
        <f t="shared" si="331"/>
        <v>0</v>
      </c>
      <c r="AX575" s="795">
        <f t="shared" si="332"/>
        <v>0</v>
      </c>
      <c r="AY575" s="1025">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0"/>
      <c r="B576" s="1098"/>
      <c r="C576" s="1098"/>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5">
        <f t="shared" si="330"/>
        <v>0</v>
      </c>
      <c r="AW576" s="795">
        <f t="shared" si="331"/>
        <v>0</v>
      </c>
      <c r="AX576" s="795">
        <f t="shared" si="332"/>
        <v>0</v>
      </c>
      <c r="AY576" s="1025">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0"/>
      <c r="B577" s="1098"/>
      <c r="C577" s="1098"/>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5">
        <f t="shared" si="330"/>
        <v>0</v>
      </c>
      <c r="AW577" s="795">
        <f t="shared" si="331"/>
        <v>0</v>
      </c>
      <c r="AX577" s="795">
        <f t="shared" si="332"/>
        <v>0</v>
      </c>
      <c r="AY577" s="1025">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0"/>
      <c r="B578" s="1098"/>
      <c r="C578" s="1098"/>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5">
        <f t="shared" si="330"/>
        <v>0</v>
      </c>
      <c r="AW578" s="795">
        <f t="shared" si="331"/>
        <v>0</v>
      </c>
      <c r="AX578" s="795">
        <f t="shared" si="332"/>
        <v>0</v>
      </c>
      <c r="AY578" s="1025">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0"/>
      <c r="B579" s="1098"/>
      <c r="C579" s="1098"/>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5">
        <f t="shared" si="330"/>
        <v>0</v>
      </c>
      <c r="AW579" s="795">
        <f t="shared" si="331"/>
        <v>0</v>
      </c>
      <c r="AX579" s="795">
        <f t="shared" si="332"/>
        <v>0</v>
      </c>
      <c r="AY579" s="1025">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0"/>
      <c r="B580" s="1098"/>
      <c r="C580" s="1098"/>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5">
        <f t="shared" si="330"/>
        <v>0</v>
      </c>
      <c r="AW580" s="795">
        <f t="shared" si="331"/>
        <v>0</v>
      </c>
      <c r="AX580" s="795">
        <f t="shared" si="332"/>
        <v>0</v>
      </c>
      <c r="AY580" s="1025">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0"/>
      <c r="B581" s="1098"/>
      <c r="C581" s="1098"/>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5">
        <f t="shared" si="330"/>
        <v>0</v>
      </c>
      <c r="AW581" s="795">
        <f t="shared" si="331"/>
        <v>0</v>
      </c>
      <c r="AX581" s="795">
        <f t="shared" si="332"/>
        <v>0</v>
      </c>
      <c r="AY581" s="1025">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0"/>
      <c r="B582" s="1098"/>
      <c r="C582" s="1098"/>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5">
        <f t="shared" si="330"/>
        <v>0</v>
      </c>
      <c r="AW582" s="795">
        <f t="shared" si="331"/>
        <v>0</v>
      </c>
      <c r="AX582" s="795">
        <f t="shared" si="332"/>
        <v>0</v>
      </c>
      <c r="AY582" s="1025">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0"/>
      <c r="B583" s="1098"/>
      <c r="C583" s="1098"/>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5">
        <f t="shared" si="330"/>
        <v>0</v>
      </c>
      <c r="AW583" s="795">
        <f t="shared" si="331"/>
        <v>0</v>
      </c>
      <c r="AX583" s="795">
        <f t="shared" si="332"/>
        <v>0</v>
      </c>
      <c r="AY583" s="1025">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0"/>
      <c r="B584" s="1098"/>
      <c r="C584" s="1098"/>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5">
        <f t="shared" si="330"/>
        <v>0</v>
      </c>
      <c r="AW584" s="795">
        <f t="shared" si="331"/>
        <v>0</v>
      </c>
      <c r="AX584" s="795">
        <f t="shared" si="332"/>
        <v>0</v>
      </c>
      <c r="AY584" s="1025">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0"/>
      <c r="B585" s="1090"/>
      <c r="C585" s="1090"/>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3"/>
      <c r="AV585" s="795">
        <f t="shared" si="330"/>
        <v>0</v>
      </c>
      <c r="AW585" s="795">
        <f t="shared" si="331"/>
        <v>0</v>
      </c>
      <c r="AX585" s="795">
        <f t="shared" si="332"/>
        <v>0</v>
      </c>
      <c r="AY585" s="1025">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0"/>
      <c r="B586" s="1090"/>
      <c r="C586" s="1090"/>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3"/>
      <c r="AV586" s="795">
        <f t="shared" si="330"/>
        <v>0</v>
      </c>
      <c r="AW586" s="795">
        <f t="shared" si="331"/>
        <v>0</v>
      </c>
      <c r="AX586" s="795">
        <f t="shared" si="332"/>
        <v>0</v>
      </c>
      <c r="AY586" s="1025">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0"/>
      <c r="B587" s="1090"/>
      <c r="C587" s="1090"/>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3"/>
      <c r="AV587" s="795">
        <f t="shared" si="330"/>
        <v>0</v>
      </c>
      <c r="AW587" s="795">
        <f t="shared" si="331"/>
        <v>0</v>
      </c>
      <c r="AX587" s="795">
        <f t="shared" si="332"/>
        <v>0</v>
      </c>
      <c r="AY587" s="1025">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3" customFormat="1">
      <c r="C589" s="2803"/>
      <c r="D589" s="2803"/>
    </row>
    <row r="590" spans="1:72" s="2723" customFormat="1">
      <c r="C590" s="2803"/>
      <c r="D590" s="2803"/>
    </row>
    <row r="593" spans="2:2">
      <c r="B593" s="2803"/>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8" customWidth="1"/>
    <col min="2" max="2" width="10.625" style="2718" customWidth="1"/>
    <col min="3" max="3" width="15.75" style="2718" customWidth="1"/>
    <col min="4" max="7" width="9.5" style="2718" customWidth="1"/>
    <col min="8" max="13" width="9.125" style="2718" customWidth="1"/>
    <col min="14" max="16384" width="9" style="2718"/>
  </cols>
  <sheetData>
    <row r="1" spans="1:13" ht="14.25">
      <c r="A1" s="3189" t="s">
        <v>480</v>
      </c>
      <c r="B1" s="3189" t="s">
        <v>481</v>
      </c>
      <c r="C1" s="3189" t="s">
        <v>482</v>
      </c>
      <c r="D1" s="3188" t="s">
        <v>483</v>
      </c>
      <c r="E1" s="3188" t="s">
        <v>484</v>
      </c>
      <c r="F1" s="3188"/>
      <c r="G1" s="3188"/>
      <c r="H1" s="3188"/>
      <c r="I1" s="3188"/>
      <c r="J1" s="3188"/>
      <c r="K1" s="3188"/>
      <c r="L1" s="3188"/>
      <c r="M1" s="3188"/>
    </row>
    <row r="2" spans="1:13" ht="27" customHeight="1">
      <c r="A2" s="3189"/>
      <c r="B2" s="3189"/>
      <c r="C2" s="3189"/>
      <c r="D2" s="3188"/>
      <c r="E2" s="3188" t="s">
        <v>485</v>
      </c>
      <c r="F2" s="3188" t="s">
        <v>486</v>
      </c>
      <c r="G2" s="3188"/>
      <c r="H2" s="3188"/>
      <c r="I2" s="3188"/>
      <c r="J2" s="3188" t="s">
        <v>487</v>
      </c>
      <c r="K2" s="3188"/>
      <c r="L2" s="3188"/>
      <c r="M2" s="3188"/>
    </row>
    <row r="3" spans="1:13" ht="28.5">
      <c r="A3" s="3189"/>
      <c r="B3" s="3189"/>
      <c r="C3" s="3189"/>
      <c r="D3" s="3188"/>
      <c r="E3" s="3188"/>
      <c r="F3" s="2720" t="s">
        <v>488</v>
      </c>
      <c r="G3" s="2720" t="s">
        <v>489</v>
      </c>
      <c r="H3" s="2720" t="s">
        <v>490</v>
      </c>
      <c r="I3" s="2720" t="s">
        <v>491</v>
      </c>
      <c r="J3" s="2720" t="s">
        <v>488</v>
      </c>
      <c r="K3" s="2720" t="s">
        <v>492</v>
      </c>
      <c r="L3" s="2720" t="s">
        <v>493</v>
      </c>
      <c r="M3" s="2720" t="s">
        <v>494</v>
      </c>
    </row>
    <row r="4" spans="1:13" ht="42.75">
      <c r="A4" s="2720" t="s">
        <v>495</v>
      </c>
      <c r="B4" s="2720" t="s">
        <v>496</v>
      </c>
      <c r="C4" s="2720" t="s">
        <v>497</v>
      </c>
      <c r="D4" s="2719">
        <v>3807.94</v>
      </c>
      <c r="E4" s="2719">
        <v>20666.91</v>
      </c>
      <c r="F4" s="2719">
        <v>19673</v>
      </c>
      <c r="G4" s="2719">
        <v>0</v>
      </c>
      <c r="H4" s="2719">
        <v>19673</v>
      </c>
      <c r="I4" s="2719">
        <v>0</v>
      </c>
      <c r="J4" s="2719">
        <v>993.91</v>
      </c>
      <c r="K4" s="2719">
        <v>0</v>
      </c>
      <c r="L4" s="2719">
        <v>0</v>
      </c>
      <c r="M4" s="2719">
        <v>993.91</v>
      </c>
    </row>
    <row r="5" spans="1:13" ht="42.75">
      <c r="A5" s="2720" t="s">
        <v>495</v>
      </c>
      <c r="B5" s="2720" t="s">
        <v>498</v>
      </c>
      <c r="C5" s="2720" t="s">
        <v>499</v>
      </c>
      <c r="D5" s="2719">
        <v>3667.86</v>
      </c>
      <c r="E5" s="2719">
        <v>19906.61</v>
      </c>
      <c r="F5" s="2719">
        <v>18792.87</v>
      </c>
      <c r="G5" s="2719">
        <v>18792.87</v>
      </c>
      <c r="H5" s="2719">
        <v>0</v>
      </c>
      <c r="I5" s="2719">
        <v>0</v>
      </c>
      <c r="J5" s="2719">
        <v>1113.74</v>
      </c>
      <c r="K5" s="2719">
        <v>55.59</v>
      </c>
      <c r="L5" s="2719">
        <v>0</v>
      </c>
      <c r="M5" s="2719">
        <v>1058.1500000000001</v>
      </c>
    </row>
    <row r="6" spans="1:13" ht="42.75">
      <c r="A6" s="2720" t="s">
        <v>495</v>
      </c>
      <c r="B6" s="2720" t="s">
        <v>498</v>
      </c>
      <c r="C6" s="2720" t="s">
        <v>500</v>
      </c>
      <c r="D6" s="2719">
        <v>2067.52</v>
      </c>
      <c r="E6" s="2719">
        <v>11221.06</v>
      </c>
      <c r="F6" s="2719">
        <v>9934.1299999999992</v>
      </c>
      <c r="G6" s="2719">
        <v>9934.1299999999992</v>
      </c>
      <c r="H6" s="2719">
        <v>0</v>
      </c>
      <c r="I6" s="2719">
        <v>0</v>
      </c>
      <c r="J6" s="2719">
        <v>1286.93</v>
      </c>
      <c r="K6" s="2719">
        <v>0</v>
      </c>
      <c r="L6" s="2719">
        <v>0</v>
      </c>
      <c r="M6" s="2719">
        <v>1286.93</v>
      </c>
    </row>
    <row r="7" spans="1:13" ht="42.75">
      <c r="A7" s="2720" t="s">
        <v>495</v>
      </c>
      <c r="B7" s="2720" t="s">
        <v>498</v>
      </c>
      <c r="C7" s="2720" t="s">
        <v>501</v>
      </c>
      <c r="D7" s="2719">
        <v>8.18</v>
      </c>
      <c r="E7" s="2719">
        <v>44.41</v>
      </c>
      <c r="F7" s="2719">
        <v>0</v>
      </c>
      <c r="G7" s="2719">
        <v>0</v>
      </c>
      <c r="H7" s="2719">
        <v>0</v>
      </c>
      <c r="I7" s="2719">
        <v>0</v>
      </c>
      <c r="J7" s="2719">
        <v>44.41</v>
      </c>
      <c r="K7" s="2719">
        <v>44.41</v>
      </c>
      <c r="L7" s="2719">
        <v>0</v>
      </c>
      <c r="M7" s="2719">
        <v>0</v>
      </c>
    </row>
    <row r="8" spans="1:13" ht="42.75">
      <c r="A8" s="2720" t="s">
        <v>495</v>
      </c>
      <c r="B8" s="2720" t="s">
        <v>498</v>
      </c>
      <c r="C8" s="2720" t="s">
        <v>491</v>
      </c>
      <c r="D8" s="2719">
        <v>2455.5300000000002</v>
      </c>
      <c r="E8" s="2719">
        <v>13326.96</v>
      </c>
      <c r="F8" s="2719">
        <v>9231.0499999999993</v>
      </c>
      <c r="G8" s="2719">
        <v>0</v>
      </c>
      <c r="H8" s="2719">
        <v>0</v>
      </c>
      <c r="I8" s="2719">
        <v>9231.0499999999993</v>
      </c>
      <c r="J8" s="2719">
        <v>4095.91</v>
      </c>
      <c r="K8" s="2719">
        <v>0</v>
      </c>
      <c r="L8" s="2719">
        <v>3320.79</v>
      </c>
      <c r="M8" s="2719">
        <v>775.12</v>
      </c>
    </row>
    <row r="9" spans="1:13" ht="27" customHeight="1">
      <c r="A9" s="3188" t="s">
        <v>502</v>
      </c>
      <c r="B9" s="3188"/>
      <c r="C9" s="3188"/>
      <c r="D9" s="2719">
        <v>12007.03</v>
      </c>
      <c r="E9" s="2719">
        <v>65165.95</v>
      </c>
      <c r="F9" s="2719">
        <v>57631.05</v>
      </c>
      <c r="G9" s="2719">
        <v>28727</v>
      </c>
      <c r="H9" s="2719">
        <v>19673</v>
      </c>
      <c r="I9" s="2719">
        <v>9231.0499999999993</v>
      </c>
      <c r="J9" s="2719">
        <v>7534.9</v>
      </c>
      <c r="K9" s="2719">
        <v>100</v>
      </c>
      <c r="L9" s="2719">
        <v>3320.79</v>
      </c>
      <c r="M9" s="2719">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5" defaultRowHeight="14.25"/>
  <cols>
    <col min="1" max="1" width="12.125" style="2417" customWidth="1"/>
    <col min="2" max="2" width="10.25" style="2417" customWidth="1"/>
    <col min="3" max="3" width="18.5" style="2417" customWidth="1"/>
    <col min="4" max="4" width="11.625" style="2417" customWidth="1"/>
    <col min="5" max="5" width="13.375" style="2417" customWidth="1"/>
    <col min="6" max="8" width="11.5" style="2417" customWidth="1"/>
    <col min="9" max="9" width="11.125" style="2417" customWidth="1"/>
    <col min="10" max="10" width="3.125" style="2417" customWidth="1"/>
    <col min="11" max="16" width="10" style="2417" customWidth="1"/>
    <col min="17" max="17" width="2.625" style="2417" customWidth="1"/>
    <col min="18" max="18" width="9.375" style="2417" customWidth="1"/>
    <col min="19" max="19" width="10.5" style="2417" customWidth="1"/>
    <col min="20" max="16384" width="9.25" style="2417"/>
  </cols>
  <sheetData>
    <row r="1" spans="1:16" ht="18.75">
      <c r="A1" s="2132" t="s">
        <v>503</v>
      </c>
      <c r="B1" s="2202"/>
      <c r="C1" s="2202"/>
      <c r="D1" s="2202"/>
      <c r="E1" s="2202"/>
      <c r="F1" s="2202"/>
      <c r="G1" s="2202"/>
      <c r="H1" s="2202"/>
      <c r="I1" s="2202"/>
      <c r="J1" s="2202"/>
      <c r="K1" s="2202"/>
      <c r="L1" s="2202"/>
      <c r="M1" s="2202"/>
      <c r="N1" s="2202"/>
      <c r="O1" s="2202"/>
      <c r="P1" s="2202"/>
    </row>
    <row r="2" spans="1:16" ht="15">
      <c r="A2" s="3199" t="s">
        <v>504</v>
      </c>
      <c r="B2" s="3199"/>
      <c r="C2" s="3199"/>
      <c r="D2" s="2027" t="s">
        <v>505</v>
      </c>
      <c r="E2" s="2656" t="s">
        <v>506</v>
      </c>
      <c r="F2" s="2512"/>
      <c r="G2" s="2657"/>
      <c r="H2" s="2658"/>
      <c r="I2" s="2350" t="s">
        <v>507</v>
      </c>
      <c r="J2" s="2512"/>
      <c r="K2" s="2512"/>
      <c r="L2" s="2512"/>
      <c r="M2" s="2512"/>
      <c r="N2" s="1027"/>
      <c r="O2" s="2512"/>
      <c r="P2" s="2512"/>
    </row>
    <row r="3" spans="1:16" ht="15">
      <c r="A3" s="3200" t="s">
        <v>508</v>
      </c>
      <c r="B3" s="3200"/>
      <c r="C3" s="3200"/>
      <c r="D3" s="2659">
        <f>'数据-基础表'!AY6</f>
        <v>0</v>
      </c>
      <c r="E3" s="2659">
        <f>'数据-基础表'!AZ5</f>
        <v>72308.930000000008</v>
      </c>
      <c r="F3" s="2512"/>
      <c r="G3" s="2660"/>
      <c r="H3" s="2155" t="s">
        <v>509</v>
      </c>
      <c r="I3" s="1386" t="e">
        <f>ROUND('数据-基础表'!B3/'数据-基础表'!A3,2)</f>
        <v>#DIV/0!</v>
      </c>
      <c r="J3" s="2512"/>
      <c r="K3" s="2512"/>
      <c r="L3" s="2512"/>
      <c r="M3" s="2512"/>
      <c r="N3" s="1027"/>
      <c r="O3" s="2512"/>
      <c r="P3" s="2512"/>
    </row>
    <row r="4" spans="1:16" ht="15">
      <c r="A4" s="3201"/>
      <c r="B4" s="3202"/>
      <c r="C4" s="3203"/>
      <c r="D4" s="2661" t="s">
        <v>505</v>
      </c>
      <c r="E4" s="2662" t="s">
        <v>506</v>
      </c>
      <c r="F4" s="2512"/>
      <c r="G4" s="2663" t="s">
        <v>510</v>
      </c>
      <c r="H4" s="2155" t="s">
        <v>511</v>
      </c>
      <c r="I4" s="1386" t="e">
        <f>ROUND(SUMIF('数据-基础表'!I9:AS9,"地上",'数据-基础表'!I5:AS5)/'数据-基础表'!A3,2)</f>
        <v>#DIV/0!</v>
      </c>
      <c r="J4" s="2512"/>
      <c r="K4" s="2512"/>
      <c r="L4" s="2512"/>
      <c r="M4" s="2512"/>
      <c r="N4" s="1027"/>
      <c r="O4" s="2512"/>
      <c r="P4" s="2512"/>
    </row>
    <row r="5" spans="1:16">
      <c r="A5" s="2660" t="s">
        <v>512</v>
      </c>
      <c r="B5" s="3204" t="s">
        <v>513</v>
      </c>
      <c r="C5" s="3204"/>
      <c r="D5" s="2155">
        <f>ROUND($D$3*E5/$E$3,2)</f>
        <v>0</v>
      </c>
      <c r="E5" s="2664">
        <f>SUMIF('数据-基础表'!$11:$11,"住宅",'数据-基础表'!$5:$5)</f>
        <v>56359.41</v>
      </c>
      <c r="F5" s="2512"/>
      <c r="G5" s="2660"/>
      <c r="H5" s="2155" t="s">
        <v>509</v>
      </c>
      <c r="I5" s="1386" t="e">
        <f>ROUND(E31/D31,2)</f>
        <v>#DIV/0!</v>
      </c>
      <c r="J5" s="2512"/>
      <c r="K5" s="2512"/>
      <c r="L5" s="2512"/>
      <c r="M5" s="2512"/>
      <c r="N5" s="2512"/>
      <c r="O5" s="2512"/>
      <c r="P5" s="2512"/>
    </row>
    <row r="6" spans="1:16">
      <c r="A6" s="2665"/>
      <c r="B6" s="3204" t="s">
        <v>514</v>
      </c>
      <c r="C6" s="3204"/>
      <c r="D6" s="2155">
        <f>ROUND($D$3*E6/$E$3,2)</f>
        <v>0</v>
      </c>
      <c r="E6" s="2664">
        <f>E3-E5</f>
        <v>15949.520000000004</v>
      </c>
      <c r="F6" s="2512"/>
      <c r="G6" s="2666" t="s">
        <v>515</v>
      </c>
      <c r="H6" s="2667" t="s">
        <v>511</v>
      </c>
      <c r="I6" s="2707" t="e">
        <f>ROUND(F31/D31,2)</f>
        <v>#DIV/0!</v>
      </c>
      <c r="J6" s="2512"/>
      <c r="K6" s="2512"/>
      <c r="L6" s="2512"/>
      <c r="M6" s="2512"/>
      <c r="N6" s="2512"/>
      <c r="O6" s="2512"/>
      <c r="P6" s="2512"/>
    </row>
    <row r="7" spans="1:16" ht="15">
      <c r="A7" s="3190"/>
      <c r="B7" s="3191"/>
      <c r="C7" s="3192"/>
      <c r="D7" s="2661" t="s">
        <v>505</v>
      </c>
      <c r="E7" s="2668" t="s">
        <v>516</v>
      </c>
      <c r="F7" s="2512"/>
      <c r="G7" s="2669" t="s">
        <v>517</v>
      </c>
      <c r="H7" s="2635"/>
      <c r="I7" s="2708"/>
      <c r="J7" s="2512"/>
      <c r="K7" s="2512"/>
      <c r="L7" s="2512"/>
      <c r="M7" s="2512"/>
      <c r="N7" s="2512"/>
      <c r="O7" s="2512"/>
      <c r="P7" s="2512"/>
    </row>
    <row r="8" spans="1:16">
      <c r="A8" s="2660" t="s">
        <v>518</v>
      </c>
      <c r="B8" s="2667" t="s">
        <v>519</v>
      </c>
      <c r="C8" s="2155" t="s">
        <v>520</v>
      </c>
      <c r="D8" s="2155">
        <f t="shared" ref="D8:D15" si="0">ROUND($D$3*E8/$E$3,2)</f>
        <v>0</v>
      </c>
      <c r="E8" s="2670">
        <f>SUMIF('数据-基础表'!BB10:BK10,"地上",'数据-基础表'!BB5:BK5)</f>
        <v>58697.66</v>
      </c>
      <c r="F8" s="2512"/>
      <c r="G8" s="2512"/>
      <c r="H8" s="2512"/>
      <c r="I8" s="2512"/>
      <c r="J8" s="2512"/>
      <c r="K8" s="2512"/>
      <c r="L8" s="2512"/>
      <c r="M8" s="2512"/>
      <c r="N8" s="2512"/>
      <c r="O8" s="2512"/>
      <c r="P8" s="2512"/>
    </row>
    <row r="9" spans="1:16">
      <c r="A9" s="2666"/>
      <c r="B9" s="2671"/>
      <c r="C9" s="2155" t="s">
        <v>521</v>
      </c>
      <c r="D9" s="2155">
        <f t="shared" si="0"/>
        <v>0</v>
      </c>
      <c r="E9" s="2672">
        <v>0</v>
      </c>
      <c r="F9" s="2512"/>
      <c r="G9" s="2512"/>
      <c r="H9" s="2512"/>
      <c r="I9" s="2512"/>
      <c r="J9" s="2512"/>
      <c r="K9" s="2512"/>
      <c r="L9" s="2512"/>
      <c r="M9" s="2512"/>
      <c r="N9" s="2512"/>
      <c r="O9" s="2512"/>
      <c r="P9" s="2512"/>
    </row>
    <row r="10" spans="1:16">
      <c r="A10" s="2666"/>
      <c r="B10" s="2671"/>
      <c r="C10" s="2155" t="s">
        <v>522</v>
      </c>
      <c r="D10" s="2155">
        <f t="shared" si="0"/>
        <v>0</v>
      </c>
      <c r="E10" s="2670">
        <f>SUMPRODUCT(('数据-基础表'!BB10:BK10="地下")*('数据-基础表'!BB11:BK11="商业")*('数据-基础表'!BB5:BK5))</f>
        <v>0</v>
      </c>
      <c r="F10" s="2512"/>
      <c r="G10" s="2512"/>
      <c r="H10" s="2512"/>
      <c r="I10" s="2512"/>
      <c r="J10" s="2512"/>
      <c r="K10" s="2512"/>
      <c r="L10" s="2512"/>
      <c r="M10" s="2512"/>
      <c r="N10" s="2512"/>
      <c r="O10" s="2512"/>
      <c r="P10" s="2512"/>
    </row>
    <row r="11" spans="1:16">
      <c r="A11" s="2666"/>
      <c r="B11" s="2671"/>
      <c r="C11" s="2155" t="s">
        <v>523</v>
      </c>
      <c r="D11" s="2155">
        <f t="shared" si="0"/>
        <v>0</v>
      </c>
      <c r="E11" s="2670">
        <f>SUMPRODUCT(('数据-基础表'!BB10:BK10="地下")*('数据-基础表'!BB11:BK11="办公")*('数据-基础表'!BB5:BK5))+'数据-基础表'!BP5</f>
        <v>0</v>
      </c>
      <c r="F11" s="2512"/>
      <c r="G11" s="2512"/>
      <c r="H11" s="2512"/>
      <c r="I11" s="2512"/>
      <c r="J11" s="2512"/>
      <c r="K11" s="2512"/>
      <c r="L11" s="2512"/>
      <c r="M11" s="2512"/>
      <c r="N11" s="2512"/>
      <c r="O11" s="2512"/>
      <c r="P11" s="2512"/>
    </row>
    <row r="12" spans="1:16">
      <c r="A12" s="2666"/>
      <c r="B12" s="2671"/>
      <c r="C12" s="2155" t="s">
        <v>524</v>
      </c>
      <c r="D12" s="2155">
        <f t="shared" si="0"/>
        <v>0</v>
      </c>
      <c r="E12" s="2670">
        <f>SUMPRODUCT(('数据-基础表'!BB10:BK10="地下")*('数据-基础表'!BB11:BK11="仓储")*('数据-基础表'!BB5:BK5))</f>
        <v>0</v>
      </c>
      <c r="F12" s="2512"/>
      <c r="G12" s="2512"/>
      <c r="H12" s="2512"/>
      <c r="I12" s="2512"/>
      <c r="J12" s="2512"/>
      <c r="K12" s="2512"/>
      <c r="L12" s="2512"/>
      <c r="M12" s="2512"/>
      <c r="N12" s="2512"/>
      <c r="O12" s="2512"/>
      <c r="P12" s="2512"/>
    </row>
    <row r="13" spans="1:16">
      <c r="A13" s="2666"/>
      <c r="B13" s="2671"/>
      <c r="C13" s="2155" t="s">
        <v>525</v>
      </c>
      <c r="D13" s="2155">
        <f t="shared" si="0"/>
        <v>0</v>
      </c>
      <c r="E13" s="2670">
        <f>SUMPRODUCT(('数据-基础表'!BB10:BK10="地下")*('数据-基础表'!BB11:BK11="车库")*('数据-基础表'!BB5:BK5))</f>
        <v>13611.27</v>
      </c>
      <c r="F13" s="2512"/>
      <c r="G13" s="2512"/>
      <c r="H13" s="2512"/>
      <c r="I13" s="2512"/>
      <c r="J13" s="2512"/>
      <c r="K13" s="2512"/>
      <c r="L13" s="2512"/>
      <c r="M13" s="2512"/>
      <c r="N13" s="2512"/>
      <c r="O13" s="2512"/>
      <c r="P13" s="2512"/>
    </row>
    <row r="14" spans="1:16">
      <c r="A14" s="2666"/>
      <c r="B14" s="2671"/>
      <c r="C14" s="2155" t="s">
        <v>526</v>
      </c>
      <c r="D14" s="2155">
        <f t="shared" si="0"/>
        <v>0</v>
      </c>
      <c r="E14" s="2670">
        <f>SUMPRODUCT(('数据-基础表'!BB10:BK10="地下")*('数据-基础表'!BB11:BK11="车库—商业")*('数据-基础表'!BB5:BK5))</f>
        <v>0</v>
      </c>
      <c r="F14" s="2512"/>
      <c r="G14" s="2512"/>
      <c r="H14" s="2512"/>
      <c r="I14" s="2512"/>
      <c r="J14" s="2512"/>
      <c r="K14" s="2512"/>
      <c r="L14" s="2512"/>
      <c r="M14" s="2512"/>
      <c r="N14" s="2512"/>
      <c r="O14" s="2512"/>
      <c r="P14" s="2512"/>
    </row>
    <row r="15" spans="1:16">
      <c r="A15" s="2666"/>
      <c r="B15" s="2671"/>
      <c r="C15" s="2155" t="s">
        <v>527</v>
      </c>
      <c r="D15" s="2155">
        <f t="shared" si="0"/>
        <v>0</v>
      </c>
      <c r="E15" s="2670">
        <f>SUMPRODUCT(('数据-基础表'!BB10:BK10="地下")*('数据-基础表'!BB11:BK11="车库—办公")*('数据-基础表'!BB5:BK5))</f>
        <v>0</v>
      </c>
      <c r="F15" s="2512"/>
      <c r="G15" s="2512"/>
      <c r="H15" s="2512"/>
      <c r="I15" s="2512"/>
      <c r="J15" s="2512"/>
      <c r="K15" s="2512"/>
      <c r="L15" s="2512"/>
      <c r="M15" s="2512"/>
      <c r="N15" s="2512"/>
      <c r="O15" s="2512"/>
      <c r="P15" s="2512"/>
    </row>
    <row r="16" spans="1:16" ht="15">
      <c r="A16" s="2665"/>
      <c r="B16" s="2671"/>
      <c r="C16" s="2667" t="s">
        <v>528</v>
      </c>
      <c r="D16" s="2667">
        <f>SUM(D8:D15)</f>
        <v>0</v>
      </c>
      <c r="E16" s="2673">
        <f>SUM(E8:E15)</f>
        <v>72308.930000000008</v>
      </c>
      <c r="F16" s="2512"/>
      <c r="G16" s="2512"/>
      <c r="H16" s="2674" t="s">
        <v>529</v>
      </c>
      <c r="I16" s="2709"/>
      <c r="J16" s="2202"/>
      <c r="K16" s="3193" t="s">
        <v>529</v>
      </c>
      <c r="L16" s="3194"/>
      <c r="M16" s="3194"/>
      <c r="N16" s="3194"/>
      <c r="O16" s="3194"/>
      <c r="P16" s="3195"/>
    </row>
    <row r="17" spans="1:19" ht="15">
      <c r="A17" s="2625" t="s">
        <v>530</v>
      </c>
      <c r="B17" s="2675" t="s">
        <v>531</v>
      </c>
      <c r="C17" s="2176" t="s">
        <v>532</v>
      </c>
      <c r="D17" s="2676" t="s">
        <v>505</v>
      </c>
      <c r="E17" s="2677" t="s">
        <v>506</v>
      </c>
      <c r="F17" s="2678"/>
      <c r="G17" s="2679"/>
      <c r="H17" s="2680" t="s">
        <v>533</v>
      </c>
      <c r="I17" s="2710" t="s">
        <v>534</v>
      </c>
      <c r="J17" s="2202"/>
      <c r="K17" s="3196" t="s">
        <v>535</v>
      </c>
      <c r="L17" s="3197"/>
      <c r="M17" s="3198"/>
      <c r="N17" s="3196" t="s">
        <v>536</v>
      </c>
      <c r="O17" s="3197"/>
      <c r="P17" s="3198"/>
      <c r="R17" s="2063" t="s">
        <v>537</v>
      </c>
      <c r="S17" s="2145"/>
    </row>
    <row r="18" spans="1:19" ht="15">
      <c r="A18" s="2666"/>
      <c r="B18" s="2681"/>
      <c r="C18" s="2148"/>
      <c r="D18" s="2682"/>
      <c r="E18" s="2683" t="s">
        <v>538</v>
      </c>
      <c r="F18" s="2684" t="s">
        <v>511</v>
      </c>
      <c r="G18" s="2685" t="s">
        <v>539</v>
      </c>
      <c r="H18" s="2629" t="s">
        <v>540</v>
      </c>
      <c r="I18" s="2711" t="s">
        <v>541</v>
      </c>
      <c r="J18" s="2202"/>
      <c r="K18" s="2629" t="s">
        <v>542</v>
      </c>
      <c r="L18" s="2363" t="s">
        <v>543</v>
      </c>
      <c r="M18" s="1386" t="s">
        <v>544</v>
      </c>
      <c r="N18" s="2629" t="s">
        <v>542</v>
      </c>
      <c r="O18" s="2363" t="s">
        <v>543</v>
      </c>
      <c r="P18" s="1386" t="s">
        <v>544</v>
      </c>
      <c r="R18" s="2155" t="s">
        <v>540</v>
      </c>
      <c r="S18" s="2155" t="s">
        <v>541</v>
      </c>
    </row>
    <row r="19" spans="1:19">
      <c r="A19" s="2686"/>
      <c r="B19" s="2667" t="s">
        <v>545</v>
      </c>
      <c r="C19" s="2687" t="s">
        <v>463</v>
      </c>
      <c r="D19" s="2155">
        <f>ROUND($D$3*E19/$E$3,2)</f>
        <v>0</v>
      </c>
      <c r="E19" s="2688">
        <f t="shared" ref="E19:E26" si="1">SUM(F19:G19)</f>
        <v>56359.41</v>
      </c>
      <c r="F19" s="2689">
        <f>'数据-基础表'!I5-F23</f>
        <v>56359.41</v>
      </c>
      <c r="G19" s="2188"/>
      <c r="H19" s="2616">
        <f>ROUND($D$3*I19/$E$3,2)</f>
        <v>0</v>
      </c>
      <c r="I19" s="2670">
        <f t="shared" ref="I19:I26" si="2">IF($I$17="自定义",P19,M19)</f>
        <v>0</v>
      </c>
      <c r="J19" s="2202"/>
      <c r="K19" s="2616">
        <f t="shared" ref="K19:K26" si="3">ROUND(E$28*E19/E$27,2)</f>
        <v>0</v>
      </c>
      <c r="L19" s="2155">
        <f t="shared" ref="L19:L26" si="4">ROUND(IF(COUNTIF(C19,"*住宅*")&gt;0,E$29*E19/E$32,0),2)</f>
        <v>0</v>
      </c>
      <c r="M19" s="2670">
        <f>K19+L19</f>
        <v>0</v>
      </c>
      <c r="N19" s="2609"/>
      <c r="O19" s="2712"/>
      <c r="P19" s="2670">
        <f>N19+O19</f>
        <v>0</v>
      </c>
      <c r="R19" s="2155">
        <f t="shared" ref="R19:S26" si="5">D19+H19</f>
        <v>0</v>
      </c>
      <c r="S19" s="2688">
        <f t="shared" si="5"/>
        <v>56359.41</v>
      </c>
    </row>
    <row r="20" spans="1:19">
      <c r="A20" s="2686"/>
      <c r="B20" s="2667" t="s">
        <v>545</v>
      </c>
      <c r="C20" s="2687" t="s">
        <v>466</v>
      </c>
      <c r="D20" s="2155">
        <f t="shared" ref="D20:D26" si="6">ROUND($D$3*E20/$E$3,2)</f>
        <v>0</v>
      </c>
      <c r="E20" s="2688">
        <f t="shared" si="1"/>
        <v>2338.25</v>
      </c>
      <c r="F20" s="2689">
        <f>'数据-基础表'!O15</f>
        <v>2338.25</v>
      </c>
      <c r="G20" s="2188"/>
      <c r="H20" s="2616">
        <f t="shared" ref="H20:H26" si="7">ROUND($D$3*I20/$E$3,2)</f>
        <v>0</v>
      </c>
      <c r="I20" s="2670">
        <f t="shared" si="2"/>
        <v>0</v>
      </c>
      <c r="J20" s="2202"/>
      <c r="K20" s="2616">
        <f t="shared" si="3"/>
        <v>0</v>
      </c>
      <c r="L20" s="2155">
        <f t="shared" si="4"/>
        <v>0</v>
      </c>
      <c r="M20" s="2670">
        <f t="shared" ref="M20:M26" si="8">K20+L20</f>
        <v>0</v>
      </c>
      <c r="N20" s="2609"/>
      <c r="O20" s="2712"/>
      <c r="P20" s="2670">
        <f t="shared" ref="P20:P26" si="9">N20+O20</f>
        <v>0</v>
      </c>
      <c r="R20" s="2155">
        <f t="shared" si="5"/>
        <v>0</v>
      </c>
      <c r="S20" s="2688">
        <f t="shared" si="5"/>
        <v>2338.25</v>
      </c>
    </row>
    <row r="21" spans="1:19">
      <c r="A21" s="2686"/>
      <c r="B21" s="2667" t="s">
        <v>545</v>
      </c>
      <c r="C21" s="2687" t="s">
        <v>464</v>
      </c>
      <c r="D21" s="2155">
        <f t="shared" si="6"/>
        <v>0</v>
      </c>
      <c r="E21" s="2688">
        <f t="shared" si="1"/>
        <v>0</v>
      </c>
      <c r="F21" s="2689"/>
      <c r="G21" s="2188">
        <f>'数据-基础表'!K5</f>
        <v>0</v>
      </c>
      <c r="H21" s="2616">
        <f t="shared" si="7"/>
        <v>0</v>
      </c>
      <c r="I21" s="2670">
        <f t="shared" si="2"/>
        <v>0</v>
      </c>
      <c r="J21" s="2202"/>
      <c r="K21" s="2616">
        <f t="shared" si="3"/>
        <v>0</v>
      </c>
      <c r="L21" s="2155">
        <f t="shared" si="4"/>
        <v>0</v>
      </c>
      <c r="M21" s="2670">
        <f t="shared" si="8"/>
        <v>0</v>
      </c>
      <c r="N21" s="2609"/>
      <c r="O21" s="2712"/>
      <c r="P21" s="2670">
        <f t="shared" si="9"/>
        <v>0</v>
      </c>
      <c r="R21" s="2155">
        <f t="shared" si="5"/>
        <v>0</v>
      </c>
      <c r="S21" s="2688">
        <f t="shared" si="5"/>
        <v>0</v>
      </c>
    </row>
    <row r="22" spans="1:19">
      <c r="A22" s="2686"/>
      <c r="B22" s="2667" t="s">
        <v>545</v>
      </c>
      <c r="C22" s="2690" t="s">
        <v>491</v>
      </c>
      <c r="D22" s="2155">
        <f t="shared" si="6"/>
        <v>0</v>
      </c>
      <c r="E22" s="2688">
        <f t="shared" si="1"/>
        <v>13611.27</v>
      </c>
      <c r="F22" s="2691"/>
      <c r="G22" s="2692">
        <f>'数据-基础表'!M15</f>
        <v>13611.27</v>
      </c>
      <c r="H22" s="2616">
        <f t="shared" si="7"/>
        <v>0</v>
      </c>
      <c r="I22" s="2670">
        <f t="shared" si="2"/>
        <v>0</v>
      </c>
      <c r="J22" s="2202"/>
      <c r="K22" s="2616">
        <f t="shared" si="3"/>
        <v>0</v>
      </c>
      <c r="L22" s="2155">
        <f t="shared" si="4"/>
        <v>0</v>
      </c>
      <c r="M22" s="2670">
        <f t="shared" si="8"/>
        <v>0</v>
      </c>
      <c r="N22" s="2609"/>
      <c r="O22" s="2712"/>
      <c r="P22" s="2670">
        <f t="shared" si="9"/>
        <v>0</v>
      </c>
      <c r="R22" s="2155">
        <f t="shared" si="5"/>
        <v>0</v>
      </c>
      <c r="S22" s="2688">
        <f t="shared" si="5"/>
        <v>13611.27</v>
      </c>
    </row>
    <row r="23" spans="1:19">
      <c r="A23" s="2686"/>
      <c r="B23" s="2667" t="s">
        <v>545</v>
      </c>
      <c r="C23" s="2690"/>
      <c r="D23" s="2155">
        <f t="shared" si="6"/>
        <v>0</v>
      </c>
      <c r="E23" s="2688">
        <f t="shared" si="1"/>
        <v>0</v>
      </c>
      <c r="F23" s="2691"/>
      <c r="G23" s="2692"/>
      <c r="H23" s="2616">
        <f t="shared" si="7"/>
        <v>0</v>
      </c>
      <c r="I23" s="2670">
        <f t="shared" si="2"/>
        <v>0</v>
      </c>
      <c r="J23" s="2202"/>
      <c r="K23" s="2616">
        <f t="shared" si="3"/>
        <v>0</v>
      </c>
      <c r="L23" s="2155">
        <f t="shared" si="4"/>
        <v>0</v>
      </c>
      <c r="M23" s="2670">
        <f t="shared" si="8"/>
        <v>0</v>
      </c>
      <c r="N23" s="2609"/>
      <c r="O23" s="2712"/>
      <c r="P23" s="2670">
        <f t="shared" si="9"/>
        <v>0</v>
      </c>
      <c r="R23" s="2155">
        <f t="shared" si="5"/>
        <v>0</v>
      </c>
      <c r="S23" s="2688">
        <f t="shared" si="5"/>
        <v>0</v>
      </c>
    </row>
    <row r="24" spans="1:19">
      <c r="A24" s="2686"/>
      <c r="B24" s="2667" t="s">
        <v>545</v>
      </c>
      <c r="C24" s="2693"/>
      <c r="D24" s="2155">
        <f t="shared" si="6"/>
        <v>0</v>
      </c>
      <c r="E24" s="2688">
        <f t="shared" si="1"/>
        <v>0</v>
      </c>
      <c r="F24" s="2691"/>
      <c r="G24" s="2692"/>
      <c r="H24" s="2616">
        <f t="shared" si="7"/>
        <v>0</v>
      </c>
      <c r="I24" s="2670">
        <f t="shared" si="2"/>
        <v>0</v>
      </c>
      <c r="J24" s="2202"/>
      <c r="K24" s="2616">
        <f t="shared" si="3"/>
        <v>0</v>
      </c>
      <c r="L24" s="2155">
        <f t="shared" si="4"/>
        <v>0</v>
      </c>
      <c r="M24" s="2670">
        <f t="shared" si="8"/>
        <v>0</v>
      </c>
      <c r="N24" s="2609"/>
      <c r="O24" s="2712"/>
      <c r="P24" s="2670">
        <f t="shared" si="9"/>
        <v>0</v>
      </c>
      <c r="R24" s="2155">
        <f t="shared" si="5"/>
        <v>0</v>
      </c>
      <c r="S24" s="2688">
        <f t="shared" si="5"/>
        <v>0</v>
      </c>
    </row>
    <row r="25" spans="1:19">
      <c r="A25" s="2686"/>
      <c r="B25" s="2667" t="s">
        <v>545</v>
      </c>
      <c r="C25" s="2693"/>
      <c r="D25" s="2155">
        <f t="shared" si="6"/>
        <v>0</v>
      </c>
      <c r="E25" s="2688">
        <f t="shared" si="1"/>
        <v>0</v>
      </c>
      <c r="F25" s="2691"/>
      <c r="G25" s="2692"/>
      <c r="H25" s="2660">
        <f t="shared" si="7"/>
        <v>0</v>
      </c>
      <c r="I25" s="2670">
        <f t="shared" si="2"/>
        <v>0</v>
      </c>
      <c r="J25" s="2202"/>
      <c r="K25" s="2616">
        <f t="shared" si="3"/>
        <v>0</v>
      </c>
      <c r="L25" s="2155">
        <f t="shared" si="4"/>
        <v>0</v>
      </c>
      <c r="M25" s="2670">
        <f t="shared" si="8"/>
        <v>0</v>
      </c>
      <c r="N25" s="2609"/>
      <c r="O25" s="2712"/>
      <c r="P25" s="2670">
        <f t="shared" si="9"/>
        <v>0</v>
      </c>
      <c r="R25" s="2155">
        <f t="shared" si="5"/>
        <v>0</v>
      </c>
      <c r="S25" s="2688">
        <f t="shared" si="5"/>
        <v>0</v>
      </c>
    </row>
    <row r="26" spans="1:19">
      <c r="A26" s="2686"/>
      <c r="B26" s="2667" t="s">
        <v>545</v>
      </c>
      <c r="C26" s="2694"/>
      <c r="D26" s="2155">
        <f t="shared" si="6"/>
        <v>0</v>
      </c>
      <c r="E26" s="2688">
        <f t="shared" si="1"/>
        <v>0</v>
      </c>
      <c r="F26" s="2691"/>
      <c r="G26" s="2692"/>
      <c r="H26" s="2660">
        <f t="shared" si="7"/>
        <v>0</v>
      </c>
      <c r="I26" s="2670">
        <f t="shared" si="2"/>
        <v>0</v>
      </c>
      <c r="J26" s="2202"/>
      <c r="K26" s="2660">
        <f t="shared" si="3"/>
        <v>0</v>
      </c>
      <c r="L26" s="2667">
        <f t="shared" si="4"/>
        <v>0</v>
      </c>
      <c r="M26" s="2673">
        <f t="shared" si="8"/>
        <v>0</v>
      </c>
      <c r="N26" s="2713"/>
      <c r="O26" s="2714"/>
      <c r="P26" s="2673">
        <f t="shared" si="9"/>
        <v>0</v>
      </c>
      <c r="R26" s="2155">
        <f t="shared" si="5"/>
        <v>0</v>
      </c>
      <c r="S26" s="2688">
        <f t="shared" si="5"/>
        <v>0</v>
      </c>
    </row>
    <row r="27" spans="1:19" ht="15">
      <c r="A27" s="2686"/>
      <c r="B27" s="2155"/>
      <c r="C27" s="2353" t="s">
        <v>546</v>
      </c>
      <c r="D27" s="2695">
        <f>SUM(D19:D26)</f>
        <v>0</v>
      </c>
      <c r="E27" s="2696">
        <f>IF(SUM(E19:E26)='数据-基础表'!BA5,SUM(E19:E26),IF(F27="地上面积有误","面积有误","地下面积有误"))</f>
        <v>72308.930000000008</v>
      </c>
      <c r="F27" s="2695">
        <f>IF(SUM(F19:F26)=E8,SUM(F19:F26),"地上面积有误")</f>
        <v>58697.66</v>
      </c>
      <c r="G27" s="2697">
        <f>SUM(G19:G26)</f>
        <v>13611.27</v>
      </c>
      <c r="H27" s="2698">
        <f>SUM(H19:H26)</f>
        <v>0</v>
      </c>
      <c r="I27" s="2715">
        <f>SUM(I19:I26)</f>
        <v>0</v>
      </c>
      <c r="J27" s="2202"/>
      <c r="K27" s="2716">
        <f>SUM(K19:K26)</f>
        <v>0</v>
      </c>
      <c r="L27" s="2070">
        <f>SUM(L19:L26)</f>
        <v>0</v>
      </c>
      <c r="M27" s="2717">
        <f>SUM(M19:M26)</f>
        <v>0</v>
      </c>
      <c r="N27" s="2716">
        <f t="shared" ref="N27:P27" si="10">SUM(N19:N26)</f>
        <v>0</v>
      </c>
      <c r="O27" s="2070">
        <f t="shared" si="10"/>
        <v>0</v>
      </c>
      <c r="P27" s="2634">
        <f t="shared" si="10"/>
        <v>0</v>
      </c>
      <c r="R27" s="2650">
        <f>IF(SUM(R19:R26)=$D$3,SUM(R19:R26),SUM(R19:R26)&amp;"误差"&amp;ROUND(SUM(R19:R26)-$D$3,2))</f>
        <v>0</v>
      </c>
      <c r="S27" s="2155">
        <f>IF(SUM(S19:S26)=$E$3,SUM(S19:S26),SUM(S19:S26)&amp;"误差"&amp;ROUND(SUM(S19:S26)-E3,2))</f>
        <v>72308.930000000008</v>
      </c>
    </row>
    <row r="28" spans="1:19">
      <c r="A28" s="2686"/>
      <c r="B28" s="2667" t="s">
        <v>547</v>
      </c>
      <c r="C28" s="2145" t="s">
        <v>548</v>
      </c>
      <c r="D28" s="2155">
        <f>ROUND($D$3*E28/$E$3,2)</f>
        <v>0</v>
      </c>
      <c r="E28" s="2688">
        <f>SUM(F28:G28)</f>
        <v>0</v>
      </c>
      <c r="F28" s="2145">
        <f>'数据-基础表'!BQ5+'数据-基础表'!BS5</f>
        <v>0</v>
      </c>
      <c r="G28" s="2087">
        <f>'数据-基础表'!BR5+'数据-基础表'!BT5</f>
        <v>0</v>
      </c>
      <c r="H28" s="2512"/>
      <c r="I28" s="2512"/>
      <c r="J28" s="2512"/>
      <c r="K28" s="2512"/>
      <c r="L28" s="2512"/>
      <c r="M28" s="2512"/>
      <c r="N28" s="2512"/>
      <c r="O28" s="2512"/>
      <c r="P28" s="2512"/>
    </row>
    <row r="29" spans="1:19">
      <c r="A29" s="2686"/>
      <c r="B29" s="2667" t="s">
        <v>547</v>
      </c>
      <c r="C29" s="2200" t="s">
        <v>549</v>
      </c>
      <c r="D29" s="2155">
        <f>ROUND($D$3*E29/$E$3,2)</f>
        <v>0</v>
      </c>
      <c r="E29" s="2688">
        <f>SUM(F29:G29)</f>
        <v>0</v>
      </c>
      <c r="F29" s="2699">
        <f>'数据-基础表'!BM5+'数据-基础表'!BO5</f>
        <v>0</v>
      </c>
      <c r="G29" s="2673">
        <f>'数据-基础表'!BN5+'数据-基础表'!BP5</f>
        <v>0</v>
      </c>
      <c r="H29" s="2512"/>
      <c r="I29" s="2512"/>
      <c r="J29" s="2512"/>
      <c r="K29" s="2512"/>
      <c r="L29" s="2512"/>
      <c r="M29" s="2512"/>
      <c r="N29" s="2512"/>
      <c r="O29" s="2512"/>
      <c r="P29" s="2512"/>
    </row>
    <row r="30" spans="1:19" ht="15">
      <c r="A30" s="2686"/>
      <c r="B30" s="2667"/>
      <c r="C30" s="2700" t="s">
        <v>546</v>
      </c>
      <c r="D30" s="2695">
        <f>SUM(D28:D29)</f>
        <v>0</v>
      </c>
      <c r="E30" s="2695">
        <f>SUM(E28:E29)</f>
        <v>0</v>
      </c>
      <c r="F30" s="2695">
        <f>SUM(F28:F29)</f>
        <v>0</v>
      </c>
      <c r="G30" s="2697">
        <f>SUM(G28:G29)</f>
        <v>0</v>
      </c>
      <c r="H30" s="2512"/>
      <c r="I30" s="2512"/>
      <c r="J30" s="2512"/>
      <c r="K30" s="2512"/>
      <c r="L30" s="2512"/>
      <c r="M30" s="2512"/>
      <c r="N30" s="2512"/>
      <c r="O30" s="2512"/>
      <c r="P30" s="2512"/>
    </row>
    <row r="31" spans="1:19" ht="15">
      <c r="A31" s="2701"/>
      <c r="B31" s="2624"/>
      <c r="C31" s="2070" t="s">
        <v>550</v>
      </c>
      <c r="D31" s="2702">
        <f>D27+D30</f>
        <v>0</v>
      </c>
      <c r="E31" s="2702">
        <f>E27+E30</f>
        <v>72308.930000000008</v>
      </c>
      <c r="F31" s="2703">
        <f>F27+F30</f>
        <v>58697.66</v>
      </c>
      <c r="G31" s="2704">
        <f>G27+G30</f>
        <v>13611.27</v>
      </c>
      <c r="H31" s="2512"/>
      <c r="I31" s="2512"/>
      <c r="J31" s="2512"/>
      <c r="K31" s="2512"/>
      <c r="L31" s="2512"/>
      <c r="M31" s="2512"/>
      <c r="N31" s="2512"/>
      <c r="O31" s="2512"/>
      <c r="P31" s="2512"/>
    </row>
    <row r="32" spans="1:19">
      <c r="A32" s="2681"/>
      <c r="B32" s="2681" t="s">
        <v>551</v>
      </c>
      <c r="C32" s="2681"/>
      <c r="D32" s="2681"/>
      <c r="E32" s="2705">
        <f>SUMIF(C19:C26,"*住宅*",E19:E26)</f>
        <v>56359.41</v>
      </c>
      <c r="F32" s="2681"/>
      <c r="G32" s="2681"/>
      <c r="H32" s="2512"/>
      <c r="I32" s="2512"/>
      <c r="J32" s="2512"/>
      <c r="K32" s="2512"/>
      <c r="L32" s="2512"/>
      <c r="M32" s="2512"/>
      <c r="N32" s="2512"/>
      <c r="O32" s="2512"/>
      <c r="P32" s="2512"/>
    </row>
    <row r="33" spans="4:4">
      <c r="D33" s="27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26" sqref="O26"/>
    </sheetView>
  </sheetViews>
  <sheetFormatPr defaultColWidth="13.75" defaultRowHeight="12.75"/>
  <cols>
    <col min="1" max="1" width="20.875" style="2476" customWidth="1"/>
    <col min="2" max="2" width="12" style="2131" customWidth="1"/>
    <col min="3" max="3" width="12.75" style="2131" customWidth="1"/>
    <col min="4" max="4" width="9.125" style="2477" customWidth="1"/>
    <col min="5" max="5" width="15" style="2131" customWidth="1"/>
    <col min="6" max="10" width="8.875" style="2131" customWidth="1"/>
    <col min="11" max="12" width="12.375" style="2478" customWidth="1"/>
    <col min="13" max="13" width="8.625" style="2131" customWidth="1"/>
    <col min="14" max="14" width="11.875" style="2131" customWidth="1"/>
    <col min="15" max="15" width="8.5" style="2131" customWidth="1"/>
    <col min="16" max="17" width="10.875" style="2131" customWidth="1"/>
    <col min="18" max="19" width="12.5" style="2131" customWidth="1"/>
    <col min="20" max="20" width="12.125" style="2131" customWidth="1"/>
    <col min="21" max="21" width="7.5" style="2131" customWidth="1"/>
    <col min="22" max="22" width="6.375" style="2131" customWidth="1"/>
    <col min="23" max="30" width="6.75" style="2131" customWidth="1"/>
    <col min="31" max="31" width="8" style="2131" customWidth="1"/>
    <col min="32" max="33" width="7.25" style="2131" customWidth="1"/>
    <col min="34" max="34" width="8.875" style="2131" customWidth="1"/>
    <col min="35" max="39" width="8" style="2131" customWidth="1"/>
    <col min="40" max="40" width="13.75" style="231"/>
    <col min="41" max="41" width="11.625" style="231" customWidth="1"/>
    <col min="42" max="42" width="9.75" style="231" customWidth="1"/>
    <col min="43" max="67" width="13.75" style="231"/>
    <col min="68" max="16384" width="13.75" style="2131"/>
  </cols>
  <sheetData>
    <row r="1" spans="1:67" ht="18.75">
      <c r="A1" s="2479" t="s">
        <v>552</v>
      </c>
      <c r="B1" s="1778"/>
      <c r="C1" s="274"/>
      <c r="D1" s="2480"/>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0"/>
      <c r="AO1" s="2010"/>
      <c r="AP1" s="2010"/>
      <c r="AQ1" s="2010"/>
      <c r="AR1" s="2010"/>
    </row>
    <row r="2" spans="1:67" s="2474" customFormat="1" ht="15">
      <c r="A2" s="2481" t="s">
        <v>553</v>
      </c>
      <c r="B2" s="2482">
        <f>项目基本情况!D3</f>
        <v>45475</v>
      </c>
      <c r="C2" s="2202"/>
      <c r="D2" s="2483"/>
      <c r="E2" s="2202"/>
      <c r="F2" s="2202"/>
      <c r="G2" s="2202"/>
      <c r="H2" s="2202"/>
      <c r="I2" s="2202"/>
      <c r="J2" s="2202"/>
      <c r="K2" s="1344"/>
      <c r="L2" s="1344"/>
      <c r="M2" s="2202"/>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512"/>
      <c r="AO2" s="2512"/>
      <c r="AP2" s="2512"/>
      <c r="AQ2" s="2512"/>
      <c r="AR2" s="2512"/>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row>
    <row r="3" spans="1:67" s="2474" customFormat="1" ht="14.25">
      <c r="A3" s="2484"/>
      <c r="B3" s="2148"/>
      <c r="C3" s="2202"/>
      <c r="D3" s="2483"/>
      <c r="E3" s="2202"/>
      <c r="F3" s="2202"/>
      <c r="G3" s="2202"/>
      <c r="H3" s="2202"/>
      <c r="I3" s="2202"/>
      <c r="J3" s="2202"/>
      <c r="K3" s="1344"/>
      <c r="L3" s="1344"/>
      <c r="M3" s="2202"/>
      <c r="N3" s="2202"/>
      <c r="O3" s="2202"/>
      <c r="P3" s="2202"/>
      <c r="Q3" s="2202"/>
      <c r="R3" s="2202"/>
      <c r="S3" s="2202"/>
      <c r="T3" s="2202"/>
      <c r="U3" s="2202"/>
      <c r="V3" s="2202"/>
      <c r="W3" s="2202"/>
      <c r="X3" s="2202"/>
      <c r="Y3" s="2202"/>
      <c r="Z3" s="2202"/>
      <c r="AA3" s="2202"/>
      <c r="AB3" s="2202"/>
      <c r="AC3" s="2202"/>
      <c r="AD3" s="2202"/>
      <c r="AE3" s="2202"/>
      <c r="AF3" s="2202"/>
      <c r="AG3" s="2202"/>
      <c r="AH3" s="2202"/>
      <c r="AI3" s="2202"/>
      <c r="AJ3" s="2202"/>
      <c r="AK3" s="2202"/>
      <c r="AL3" s="2202"/>
      <c r="AM3" s="2202"/>
      <c r="AN3" s="2512"/>
      <c r="AO3" s="2512"/>
      <c r="AP3" s="2512"/>
      <c r="AQ3" s="2512"/>
      <c r="AR3" s="2512"/>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row>
    <row r="4" spans="1:67" s="2474" customFormat="1" ht="14.25">
      <c r="A4" s="1260" t="s">
        <v>554</v>
      </c>
      <c r="B4" s="2162"/>
      <c r="C4" s="2485"/>
      <c r="D4" s="2486"/>
      <c r="E4" s="2485" t="s">
        <v>555</v>
      </c>
      <c r="F4" s="2485"/>
      <c r="G4" s="2485"/>
      <c r="H4" s="2485"/>
      <c r="I4" s="2485"/>
      <c r="J4" s="2198"/>
      <c r="K4" s="2577"/>
      <c r="L4" s="2578"/>
      <c r="M4" s="2485"/>
      <c r="N4" s="2485" t="s">
        <v>556</v>
      </c>
      <c r="O4" s="2485"/>
      <c r="P4" s="2485"/>
      <c r="Q4" s="2485"/>
      <c r="R4" s="2485"/>
      <c r="S4" s="2198"/>
      <c r="T4" s="2600" t="str">
        <f>'数据-汇总表'!I17</f>
        <v>按面积比例</v>
      </c>
      <c r="U4" s="2162" t="s">
        <v>557</v>
      </c>
      <c r="V4" s="2485"/>
      <c r="W4" s="2485"/>
      <c r="X4" s="2485"/>
      <c r="Y4" s="2198"/>
      <c r="Z4" s="2176" t="s">
        <v>558</v>
      </c>
      <c r="AA4" s="2176"/>
      <c r="AB4" s="2176"/>
      <c r="AC4" s="2176"/>
      <c r="AD4" s="2176"/>
      <c r="AE4" s="2625" t="s">
        <v>559</v>
      </c>
      <c r="AF4" s="2176"/>
      <c r="AG4" s="2636"/>
      <c r="AH4" s="2162"/>
      <c r="AI4" s="2485"/>
      <c r="AJ4" s="2485"/>
      <c r="AK4" s="2485"/>
      <c r="AL4" s="2485"/>
      <c r="AM4" s="2198"/>
      <c r="AN4" s="2512"/>
      <c r="AO4" s="2512"/>
      <c r="AP4" s="2512"/>
      <c r="AQ4" s="2512"/>
      <c r="AR4" s="2512"/>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row>
    <row r="5" spans="1:67" s="2475" customFormat="1" ht="42">
      <c r="A5" s="2487" t="s">
        <v>532</v>
      </c>
      <c r="B5" s="2488" t="s">
        <v>531</v>
      </c>
      <c r="C5" s="2489" t="s">
        <v>560</v>
      </c>
      <c r="D5" s="2490" t="s">
        <v>561</v>
      </c>
      <c r="E5" s="1121" t="s">
        <v>562</v>
      </c>
      <c r="F5" s="2491" t="s">
        <v>563</v>
      </c>
      <c r="G5" s="1121" t="s">
        <v>564</v>
      </c>
      <c r="H5" s="1121" t="s">
        <v>565</v>
      </c>
      <c r="I5" s="1121" t="s">
        <v>566</v>
      </c>
      <c r="J5" s="1182" t="s">
        <v>567</v>
      </c>
      <c r="K5" s="2579" t="s">
        <v>541</v>
      </c>
      <c r="L5" s="2580" t="s">
        <v>568</v>
      </c>
      <c r="M5" s="2581" t="s">
        <v>569</v>
      </c>
      <c r="N5" s="2582" t="s">
        <v>4271</v>
      </c>
      <c r="O5" s="2580" t="s">
        <v>570</v>
      </c>
      <c r="P5" s="2583" t="s">
        <v>571</v>
      </c>
      <c r="Q5" s="1209" t="s">
        <v>572</v>
      </c>
      <c r="R5" s="2601" t="s">
        <v>573</v>
      </c>
      <c r="S5" s="2602" t="s">
        <v>574</v>
      </c>
      <c r="T5" s="2603" t="s">
        <v>575</v>
      </c>
      <c r="U5" s="2604" t="s">
        <v>576</v>
      </c>
      <c r="V5" s="1121" t="s">
        <v>577</v>
      </c>
      <c r="W5" s="1121" t="s">
        <v>578</v>
      </c>
      <c r="X5" s="892"/>
      <c r="Y5" s="894" t="s">
        <v>579</v>
      </c>
      <c r="Z5" s="1087" t="s">
        <v>576</v>
      </c>
      <c r="AA5" s="1121" t="s">
        <v>577</v>
      </c>
      <c r="AB5" s="1121" t="s">
        <v>578</v>
      </c>
      <c r="AC5" s="892"/>
      <c r="AD5" s="892" t="s">
        <v>579</v>
      </c>
      <c r="AE5" s="2604" t="s">
        <v>580</v>
      </c>
      <c r="AF5" s="1121" t="s">
        <v>581</v>
      </c>
      <c r="AG5" s="894" t="s">
        <v>582</v>
      </c>
      <c r="AH5" s="2604" t="s">
        <v>583</v>
      </c>
      <c r="AI5" s="1087" t="s">
        <v>584</v>
      </c>
      <c r="AJ5" s="1087" t="s">
        <v>585</v>
      </c>
      <c r="AK5" s="1121" t="s">
        <v>586</v>
      </c>
      <c r="AL5" s="1121" t="s">
        <v>587</v>
      </c>
      <c r="AM5" s="894" t="s">
        <v>588</v>
      </c>
      <c r="AN5" s="2637" t="s">
        <v>589</v>
      </c>
      <c r="AO5" s="2649" t="s">
        <v>590</v>
      </c>
      <c r="AP5" s="2650" t="s">
        <v>591</v>
      </c>
      <c r="AQ5" s="2651" t="s">
        <v>592</v>
      </c>
      <c r="AR5" s="2651" t="s">
        <v>593</v>
      </c>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row>
    <row r="6" spans="1:67" s="2474" customFormat="1" ht="14.25">
      <c r="A6" s="2492" t="str">
        <f>'数据-汇总表'!C19</f>
        <v>住宅</v>
      </c>
      <c r="B6" s="2493" t="str">
        <f>IF(A6=0,"","经营性")</f>
        <v>经营性</v>
      </c>
      <c r="C6" s="2494" t="s">
        <v>463</v>
      </c>
      <c r="D6" s="2495">
        <f>SUMIF(项目基本情况!D$12:I$12,C6,项目基本情况!D$14:I$14)</f>
        <v>70</v>
      </c>
      <c r="E6" s="2496">
        <f>IF(B6="","",SUMIF(项目基本情况!D$12:I$12,C6,项目基本情况!D$13:I$13))</f>
        <v>69313</v>
      </c>
      <c r="F6" s="2497">
        <f>SUMIF(项目基本情况!D$12:I$12,C6,项目基本情况!D$15:I$15)</f>
        <v>65.3</v>
      </c>
      <c r="G6" s="2498">
        <f>IF(ISERROR(ROUND(POWER(1+H6,D6-F6)*(POWER(1+H6,F6)-1)/(POWER(1+H6,D6)-1),3)),0,ROUND(POWER(1+H6,D6-F6)*(POWER(1+H6,F6)-1)/(POWER(1+H6,D6)-1),3))</f>
        <v>0.98599999999999999</v>
      </c>
      <c r="H6" s="2499">
        <v>0.04</v>
      </c>
      <c r="I6" s="2499">
        <v>4.4999999999999998E-2</v>
      </c>
      <c r="J6" s="2584">
        <v>7.4999999999999997E-2</v>
      </c>
      <c r="K6" s="2585">
        <f>SUMIF('数据-汇总表'!C$19:C$33,A6,'数据-汇总表'!E$19:E$33)</f>
        <v>56359.41</v>
      </c>
      <c r="L6" s="2586">
        <v>4500</v>
      </c>
      <c r="M6" s="2587">
        <f t="shared" ref="M6:M14" si="0">ROUND(K6*L6/10000,0)</f>
        <v>25362</v>
      </c>
      <c r="N6" s="2588">
        <v>0.96</v>
      </c>
      <c r="O6" s="2587">
        <f>IF($N$5="成新度","——",ROUND(M6*N6,0))</f>
        <v>24348</v>
      </c>
      <c r="P6" s="1028">
        <f>IF($N$5="成新度","——",M6-O6)</f>
        <v>1014</v>
      </c>
      <c r="Q6" s="2605">
        <v>0.15</v>
      </c>
      <c r="R6" s="2606">
        <f ca="1">SUMIF('数据-汇总表'!C$19:C$33,A6,'数据-汇总表'!R$19:R$27)</f>
        <v>0</v>
      </c>
      <c r="S6" s="2607">
        <f>IF('数据-汇总表'!$I$17="按面积比例",SUMIF('数据-汇总表'!C$19:C$33,A6,'数据-汇总表'!K$19:K$33),SUMIF('数据-汇总表'!C$19:C$33,A6,'数据-汇总表'!N$19:N$33))</f>
        <v>0</v>
      </c>
      <c r="T6" s="2608">
        <f>ROUND($L$14*S6/10000,0)</f>
        <v>0</v>
      </c>
      <c r="U6" s="2609"/>
      <c r="V6" s="2610"/>
      <c r="W6" s="2610"/>
      <c r="X6" s="2611"/>
      <c r="Y6" s="2626"/>
      <c r="Z6" s="2627"/>
      <c r="AA6" s="2500"/>
      <c r="AB6" s="2500"/>
      <c r="AC6" s="2611"/>
      <c r="AD6" s="2628"/>
      <c r="AE6" s="2629">
        <f ca="1">IF(AN6="",0,SUMIF(INDIRECT("'"&amp;AN6&amp;"'"&amp;"!E:E"),$AE$5,INDIRECT("'"&amp;AN6&amp;"'"&amp;"!F:F")))</f>
        <v>0</v>
      </c>
      <c r="AF6" s="2142"/>
      <c r="AG6" s="1968">
        <f>IF(AF6="",0,AE6-AF6)</f>
        <v>0</v>
      </c>
      <c r="AH6" s="2614"/>
      <c r="AI6" s="2638"/>
      <c r="AJ6" s="2142"/>
      <c r="AK6" s="2639"/>
      <c r="AL6" s="2640"/>
      <c r="AM6" s="2641"/>
      <c r="AN6" s="2642"/>
      <c r="AO6" s="1082" t="e">
        <f ca="1">SUMIF(INDIRECT("'"&amp;AN6&amp;"'"&amp;"!A:A"),"总价",INDIRECT("'"&amp;AN6&amp;"'"&amp;"!B:B"))</f>
        <v>#REF!</v>
      </c>
      <c r="AP6" s="2652">
        <f>IF(C6="住宅",K6*L6,0)</f>
        <v>253617345.00000003</v>
      </c>
      <c r="AQ6" s="1082">
        <f>ROUND($L$14*$N$14*S6/10000,0)</f>
        <v>0</v>
      </c>
      <c r="AR6" s="1082">
        <f>ROUND($L$14*(1-$N$14)*S6/10000,0)</f>
        <v>0</v>
      </c>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row>
    <row r="7" spans="1:67" s="2474" customFormat="1" ht="14.25">
      <c r="A7" s="2492" t="str">
        <f>'数据-汇总表'!C20</f>
        <v>商业</v>
      </c>
      <c r="B7" s="2493" t="str">
        <f t="shared" ref="B7:B13" si="1">IF(A7=0,"","经营性")</f>
        <v>经营性</v>
      </c>
      <c r="C7" s="2494" t="s">
        <v>466</v>
      </c>
      <c r="D7" s="2495">
        <f>SUMIF(项目基本情况!D$12:I$12,C7,项目基本情况!D$14:I$14)</f>
        <v>40</v>
      </c>
      <c r="E7" s="2496">
        <f>IF(B7="","",SUMIF(项目基本情况!D$12:I$12,C7,项目基本情况!D$13:I$13))</f>
        <v>58355</v>
      </c>
      <c r="F7" s="2497">
        <f>SUMIF(项目基本情况!D$12:I$12,C7,项目基本情况!D$15:I$15)</f>
        <v>35.28</v>
      </c>
      <c r="G7" s="2498">
        <f t="shared" ref="G7:G13" si="2">IF(ISERROR(ROUND(POWER(1+H7,D7-F7)*(POWER(1+H7,F7)-1)/(POWER(1+H7,D7)-1),3)),0,ROUND(POWER(1+H7,D7-F7)*(POWER(1+H7,F7)-1)/(POWER(1+H7,D7)-1),3))</f>
        <v>0.95699999999999996</v>
      </c>
      <c r="H7" s="2499">
        <v>0.05</v>
      </c>
      <c r="I7" s="2499">
        <v>5.5E-2</v>
      </c>
      <c r="J7" s="2584">
        <v>7.4999999999999997E-2</v>
      </c>
      <c r="K7" s="2585">
        <f>SUMIF('数据-汇总表'!C$19:C$33,A7,'数据-汇总表'!E$19:E$33)</f>
        <v>2338.25</v>
      </c>
      <c r="L7" s="2586">
        <v>3500</v>
      </c>
      <c r="M7" s="2587">
        <f t="shared" si="0"/>
        <v>818</v>
      </c>
      <c r="N7" s="2588">
        <f>N6</f>
        <v>0.96</v>
      </c>
      <c r="O7" s="2587">
        <f t="shared" ref="O7:O14" si="3">IF($N$5="成新度","——",ROUND(M7*N7,0))</f>
        <v>785</v>
      </c>
      <c r="P7" s="1028">
        <f t="shared" ref="P7:P14" si="4">IF($N$5="成新度","——",M7-O7)</f>
        <v>33</v>
      </c>
      <c r="Q7" s="2605">
        <v>0.2</v>
      </c>
      <c r="R7" s="2606">
        <f ca="1">SUMIF('数据-汇总表'!C$19:C$33,A7,'数据-汇总表'!R$19:R$27)</f>
        <v>0</v>
      </c>
      <c r="S7" s="2607">
        <f>IF('数据-汇总表'!$I$17="按面积比例",SUMIF('数据-汇总表'!C$19:C$33,A7,'数据-汇总表'!K$19:K$33),SUMIF('数据-汇总表'!C$19:C$33,A7,'数据-汇总表'!N$19:N$33))</f>
        <v>0</v>
      </c>
      <c r="T7" s="2608">
        <f t="shared" ref="T7:T13" si="5">ROUND($L$14*S7/10000,0)</f>
        <v>0</v>
      </c>
      <c r="U7" s="2609">
        <v>3</v>
      </c>
      <c r="V7" s="2610">
        <v>0.02</v>
      </c>
      <c r="W7" s="2610">
        <v>0.1</v>
      </c>
      <c r="X7" s="2611"/>
      <c r="Y7" s="2626">
        <v>1</v>
      </c>
      <c r="Z7" s="2627"/>
      <c r="AA7" s="2500"/>
      <c r="AB7" s="2500"/>
      <c r="AC7" s="2611"/>
      <c r="AD7" s="2628"/>
      <c r="AE7" s="2629">
        <f t="shared" ref="AE7:AE13" ca="1" si="6">IF(AN7="",0,SUMIF(INDIRECT("'"&amp;AN7&amp;"'"&amp;"!E:E"),$AE$5,INDIRECT("'"&amp;AN7&amp;"'"&amp;"!F:F")))</f>
        <v>35.160000000000004</v>
      </c>
      <c r="AF7" s="2142"/>
      <c r="AG7" s="1968">
        <f t="shared" ref="AG7:AG13" si="7">IF(AF7="",0,AE7-AF7)</f>
        <v>0</v>
      </c>
      <c r="AH7" s="2614"/>
      <c r="AI7" s="2638">
        <v>365</v>
      </c>
      <c r="AJ7" s="2142"/>
      <c r="AK7" s="2643">
        <v>8.0000000000000002E-3</v>
      </c>
      <c r="AL7" s="2644">
        <v>1E-3</v>
      </c>
      <c r="AM7" s="2643">
        <v>8.0000000000000002E-3</v>
      </c>
      <c r="AN7" s="2642" t="s">
        <v>266</v>
      </c>
      <c r="AO7" s="1082">
        <f t="shared" ref="AO7:AO13" ca="1" si="8">SUMIF(INDIRECT("'"&amp;AN7&amp;"'"&amp;"!A:A"),"总价",INDIRECT("'"&amp;AN7&amp;"'"&amp;"!B:B"))</f>
        <v>3592</v>
      </c>
      <c r="AP7" s="2652">
        <f t="shared" ref="AP7:AP13" si="9">IF(C7="住宅",K7*L7,0)</f>
        <v>0</v>
      </c>
      <c r="AQ7" s="1082">
        <f t="shared" ref="AQ7:AQ13" si="10">ROUND($L$14*$N$14*S7/10000,0)</f>
        <v>0</v>
      </c>
      <c r="AR7" s="1082">
        <f t="shared" ref="AR7:AR13" si="11">ROUND($L$14*(1-$N$14)*S7/10000,0)</f>
        <v>0</v>
      </c>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row>
    <row r="8" spans="1:67" s="2474" customFormat="1" ht="14.25">
      <c r="A8" s="2492" t="str">
        <f>'数据-汇总表'!C21</f>
        <v>仓储</v>
      </c>
      <c r="B8" s="2493" t="str">
        <f t="shared" si="1"/>
        <v>经营性</v>
      </c>
      <c r="C8" s="2494" t="s">
        <v>464</v>
      </c>
      <c r="D8" s="2495">
        <f>SUMIF(项目基本情况!D$12:I$12,C8,项目基本情况!D$14:I$14)</f>
        <v>50</v>
      </c>
      <c r="E8" s="2496">
        <f>IF(B8="","",SUMIF(项目基本情况!D$12:I$12,C8,项目基本情况!D$13:I$13))</f>
        <v>62008</v>
      </c>
      <c r="F8" s="2497">
        <f>SUMIF(项目基本情况!D$12:I$12,C8,项目基本情况!D$15:I$15)</f>
        <v>45.29</v>
      </c>
      <c r="G8" s="2498">
        <f t="shared" si="2"/>
        <v>0.97099999999999997</v>
      </c>
      <c r="H8" s="2499">
        <v>4.4999999999999998E-2</v>
      </c>
      <c r="I8" s="2499">
        <v>0.05</v>
      </c>
      <c r="J8" s="2584">
        <v>7.4999999999999997E-2</v>
      </c>
      <c r="K8" s="2585">
        <f>SUMIF('数据-汇总表'!C$19:C$33,A8,'数据-汇总表'!E$19:E$33)</f>
        <v>0</v>
      </c>
      <c r="L8" s="2586">
        <f>L7</f>
        <v>3500</v>
      </c>
      <c r="M8" s="2587">
        <f t="shared" si="0"/>
        <v>0</v>
      </c>
      <c r="N8" s="2588">
        <f>N7</f>
        <v>0.96</v>
      </c>
      <c r="O8" s="2587">
        <f t="shared" si="3"/>
        <v>0</v>
      </c>
      <c r="P8" s="1028">
        <f t="shared" si="4"/>
        <v>0</v>
      </c>
      <c r="Q8" s="2605">
        <v>0.1</v>
      </c>
      <c r="R8" s="2606">
        <f ca="1">SUMIF('数据-汇总表'!C$19:C$33,A8,'数据-汇总表'!R$19:R$27)</f>
        <v>0</v>
      </c>
      <c r="S8" s="2607">
        <f>IF('数据-汇总表'!$I$17="按面积比例",SUMIF('数据-汇总表'!C$19:C$33,A8,'数据-汇总表'!K$19:K$33),SUMIF('数据-汇总表'!C$19:C$33,A8,'数据-汇总表'!N$19:N$33))</f>
        <v>0</v>
      </c>
      <c r="T8" s="2608">
        <f t="shared" si="5"/>
        <v>0</v>
      </c>
      <c r="U8" s="2210">
        <v>1</v>
      </c>
      <c r="V8" s="2612">
        <v>1.4999999999999999E-2</v>
      </c>
      <c r="W8" s="2612">
        <v>0.1</v>
      </c>
      <c r="X8" s="2611"/>
      <c r="Y8" s="2630">
        <v>1</v>
      </c>
      <c r="Z8" s="2627"/>
      <c r="AA8" s="2500"/>
      <c r="AB8" s="2500"/>
      <c r="AC8" s="2611"/>
      <c r="AD8" s="2628"/>
      <c r="AE8" s="2629">
        <f t="shared" ca="1" si="6"/>
        <v>45.29</v>
      </c>
      <c r="AF8" s="2142"/>
      <c r="AG8" s="1968">
        <f t="shared" si="7"/>
        <v>0</v>
      </c>
      <c r="AH8" s="2645"/>
      <c r="AI8" s="2638">
        <v>365</v>
      </c>
      <c r="AJ8" s="2142"/>
      <c r="AK8" s="2643">
        <f>AK7</f>
        <v>8.0000000000000002E-3</v>
      </c>
      <c r="AL8" s="2644">
        <v>1E-3</v>
      </c>
      <c r="AM8" s="2643">
        <f>AM7</f>
        <v>8.0000000000000002E-3</v>
      </c>
      <c r="AN8" s="2642" t="s">
        <v>3014</v>
      </c>
      <c r="AO8" s="1082">
        <f t="shared" ca="1" si="8"/>
        <v>0</v>
      </c>
      <c r="AP8" s="2652">
        <f t="shared" si="9"/>
        <v>0</v>
      </c>
      <c r="AQ8" s="1082">
        <f t="shared" si="10"/>
        <v>0</v>
      </c>
      <c r="AR8" s="1082">
        <f t="shared" si="11"/>
        <v>0</v>
      </c>
      <c r="AS8" s="2417"/>
      <c r="AT8" s="2417"/>
      <c r="AU8" s="2417"/>
      <c r="AV8" s="2417"/>
      <c r="AW8" s="2417"/>
      <c r="AX8" s="2417"/>
      <c r="AY8" s="2417"/>
      <c r="AZ8" s="2417"/>
      <c r="BA8" s="2417"/>
      <c r="BB8" s="2417"/>
      <c r="BC8" s="2417"/>
      <c r="BD8" s="2417"/>
      <c r="BE8" s="2417"/>
      <c r="BF8" s="2417"/>
      <c r="BG8" s="2417"/>
      <c r="BH8" s="2417"/>
      <c r="BI8" s="2417"/>
      <c r="BJ8" s="2417"/>
      <c r="BK8" s="2417"/>
      <c r="BL8" s="2417"/>
      <c r="BM8" s="2417"/>
      <c r="BN8" s="2417"/>
      <c r="BO8" s="2417"/>
    </row>
    <row r="9" spans="1:67" s="2474" customFormat="1" ht="14.25">
      <c r="A9" s="2492" t="str">
        <f>'数据-汇总表'!C22</f>
        <v>地下车库</v>
      </c>
      <c r="B9" s="2493" t="str">
        <f t="shared" si="1"/>
        <v>经营性</v>
      </c>
      <c r="C9" s="2494" t="s">
        <v>465</v>
      </c>
      <c r="D9" s="2495">
        <f>SUMIF(项目基本情况!D$12:I$12,C9,项目基本情况!D$14:I$14)</f>
        <v>50</v>
      </c>
      <c r="E9" s="2496">
        <f>IF(B9="","",SUMIF(项目基本情况!D$12:I$12,C9,项目基本情况!D$13:I$13))</f>
        <v>62008</v>
      </c>
      <c r="F9" s="2497">
        <f>SUMIF(项目基本情况!D$12:I$12,C9,项目基本情况!D$15:I$15)</f>
        <v>45.29</v>
      </c>
      <c r="G9" s="2498">
        <f t="shared" si="2"/>
        <v>0.97099999999999997</v>
      </c>
      <c r="H9" s="2499">
        <v>4.4999999999999998E-2</v>
      </c>
      <c r="I9" s="2499">
        <v>0.05</v>
      </c>
      <c r="J9" s="2584">
        <v>7.4999999999999997E-2</v>
      </c>
      <c r="K9" s="2585">
        <f>SUMIF('数据-汇总表'!C$19:C$33,A9,'数据-汇总表'!E$19:E$33)</f>
        <v>13611.27</v>
      </c>
      <c r="L9" s="2586">
        <f>L8</f>
        <v>3500</v>
      </c>
      <c r="M9" s="2587">
        <f t="shared" si="0"/>
        <v>4764</v>
      </c>
      <c r="N9" s="2588">
        <f>N8</f>
        <v>0.96</v>
      </c>
      <c r="O9" s="2587">
        <f t="shared" si="3"/>
        <v>4573</v>
      </c>
      <c r="P9" s="1028">
        <f t="shared" si="4"/>
        <v>191</v>
      </c>
      <c r="Q9" s="2605">
        <v>0.05</v>
      </c>
      <c r="R9" s="2606">
        <f ca="1">SUMIF('数据-汇总表'!C$19:C$33,A9,'数据-汇总表'!R$19:R$27)</f>
        <v>0</v>
      </c>
      <c r="S9" s="2607">
        <f>IF('数据-汇总表'!$I$17="按面积比例",SUMIF('数据-汇总表'!C$19:C$33,A9,'数据-汇总表'!K$19:K$33),SUMIF('数据-汇总表'!C$19:C$33,A9,'数据-汇总表'!N$19:N$33))</f>
        <v>0</v>
      </c>
      <c r="T9" s="2608">
        <f t="shared" si="5"/>
        <v>0</v>
      </c>
      <c r="U9" s="2609">
        <v>300</v>
      </c>
      <c r="V9" s="2610">
        <v>0.01</v>
      </c>
      <c r="W9" s="2610">
        <v>0.1</v>
      </c>
      <c r="X9" s="2611"/>
      <c r="Y9" s="2626">
        <v>1</v>
      </c>
      <c r="Z9" s="2627"/>
      <c r="AA9" s="2500"/>
      <c r="AB9" s="2500"/>
      <c r="AC9" s="2611"/>
      <c r="AD9" s="2628"/>
      <c r="AE9" s="2629">
        <f t="shared" ca="1" si="6"/>
        <v>45.29</v>
      </c>
      <c r="AF9" s="2142"/>
      <c r="AG9" s="1968">
        <f t="shared" si="7"/>
        <v>0</v>
      </c>
      <c r="AH9" s="3073">
        <f>工程进度!J5+工程进度!J6</f>
        <v>49403.210000000006</v>
      </c>
      <c r="AI9" s="2638">
        <v>12</v>
      </c>
      <c r="AJ9" s="2142"/>
      <c r="AK9" s="2643">
        <v>8.0000000000000002E-3</v>
      </c>
      <c r="AL9" s="2644">
        <v>1E-3</v>
      </c>
      <c r="AM9" s="2643">
        <f>AK9</f>
        <v>8.0000000000000002E-3</v>
      </c>
      <c r="AN9" s="2642" t="s">
        <v>3017</v>
      </c>
      <c r="AO9" s="1082">
        <f t="shared" ca="1" si="8"/>
        <v>272295</v>
      </c>
      <c r="AP9" s="2652">
        <f t="shared" si="9"/>
        <v>0</v>
      </c>
      <c r="AQ9" s="1082">
        <f t="shared" si="10"/>
        <v>0</v>
      </c>
      <c r="AR9" s="1082">
        <f t="shared" si="11"/>
        <v>0</v>
      </c>
      <c r="AS9" s="2417"/>
      <c r="AT9" s="2417"/>
      <c r="AU9" s="2417"/>
      <c r="AV9" s="2417"/>
      <c r="AW9" s="2417"/>
      <c r="AX9" s="2417"/>
      <c r="AY9" s="2417"/>
      <c r="AZ9" s="2417"/>
      <c r="BA9" s="2417"/>
      <c r="BB9" s="2417"/>
      <c r="BC9" s="2417"/>
      <c r="BD9" s="2417"/>
      <c r="BE9" s="2417"/>
      <c r="BF9" s="2417"/>
      <c r="BG9" s="2417"/>
      <c r="BH9" s="2417"/>
      <c r="BI9" s="2417"/>
      <c r="BJ9" s="2417"/>
      <c r="BK9" s="2417"/>
      <c r="BL9" s="2417"/>
      <c r="BM9" s="2417"/>
      <c r="BN9" s="2417"/>
      <c r="BO9" s="2417"/>
    </row>
    <row r="10" spans="1:67" s="2474" customFormat="1" ht="14.25">
      <c r="A10" s="2492">
        <f>'数据-汇总表'!C23</f>
        <v>0</v>
      </c>
      <c r="B10" s="2493" t="str">
        <f t="shared" si="1"/>
        <v/>
      </c>
      <c r="C10" s="2494" t="s">
        <v>463</v>
      </c>
      <c r="D10" s="2495">
        <f>SUMIF(项目基本情况!D$12:I$12,C10,项目基本情况!D$14:I$14)</f>
        <v>70</v>
      </c>
      <c r="E10" s="2496" t="str">
        <f>IF(B10="","",SUMIF(项目基本情况!D$12:I$12,C10,项目基本情况!D$13:I$13))</f>
        <v/>
      </c>
      <c r="F10" s="2497">
        <f>SUMIF(项目基本情况!D$12:I$12,C10,项目基本情况!D$15:I$15)</f>
        <v>65.3</v>
      </c>
      <c r="G10" s="2498">
        <f t="shared" si="2"/>
        <v>0.98599999999999999</v>
      </c>
      <c r="H10" s="2500">
        <f>H6</f>
        <v>0.04</v>
      </c>
      <c r="I10" s="2500">
        <f>I6</f>
        <v>4.4999999999999998E-2</v>
      </c>
      <c r="J10" s="2500">
        <f>J6</f>
        <v>7.4999999999999997E-2</v>
      </c>
      <c r="K10" s="2585">
        <f>SUMIF('数据-汇总表'!C$19:C$33,A10,'数据-汇总表'!E$19:E$33)</f>
        <v>0</v>
      </c>
      <c r="L10" s="2589">
        <f>L6</f>
        <v>4500</v>
      </c>
      <c r="M10" s="2587">
        <f t="shared" si="0"/>
        <v>0</v>
      </c>
      <c r="N10" s="2590">
        <f>N6</f>
        <v>0.96</v>
      </c>
      <c r="O10" s="2587">
        <f t="shared" si="3"/>
        <v>0</v>
      </c>
      <c r="P10" s="1028">
        <f t="shared" si="4"/>
        <v>0</v>
      </c>
      <c r="Q10" s="2605">
        <f>Q6</f>
        <v>0.15</v>
      </c>
      <c r="R10" s="2606">
        <f ca="1">SUMIF('数据-汇总表'!C$19:C$33,A10,'数据-汇总表'!R$19:R$27)</f>
        <v>0</v>
      </c>
      <c r="S10" s="2607">
        <f>IF('数据-汇总表'!$I$17="按面积比例",SUMIF('数据-汇总表'!C$19:C$33,A10,'数据-汇总表'!K$19:K$33),SUMIF('数据-汇总表'!C$19:C$33,A10,'数据-汇总表'!N$19:N$33))</f>
        <v>0</v>
      </c>
      <c r="T10" s="2608">
        <f t="shared" si="5"/>
        <v>0</v>
      </c>
      <c r="U10" s="2609"/>
      <c r="V10" s="2610"/>
      <c r="W10" s="2610"/>
      <c r="X10" s="2611"/>
      <c r="Y10" s="2626"/>
      <c r="Z10" s="2627"/>
      <c r="AA10" s="2500"/>
      <c r="AB10" s="2500"/>
      <c r="AC10" s="2611"/>
      <c r="AD10" s="2628"/>
      <c r="AE10" s="2629">
        <f t="shared" ca="1" si="6"/>
        <v>0</v>
      </c>
      <c r="AF10" s="2142"/>
      <c r="AG10" s="1968">
        <f t="shared" si="7"/>
        <v>0</v>
      </c>
      <c r="AH10" s="2614"/>
      <c r="AI10" s="2638"/>
      <c r="AJ10" s="2142"/>
      <c r="AK10" s="2639"/>
      <c r="AL10" s="2640"/>
      <c r="AM10" s="2641"/>
      <c r="AN10" s="2642"/>
      <c r="AO10" s="1082" t="e">
        <f t="shared" ca="1" si="8"/>
        <v>#REF!</v>
      </c>
      <c r="AP10" s="2652">
        <f t="shared" si="9"/>
        <v>0</v>
      </c>
      <c r="AQ10" s="1082">
        <f t="shared" si="10"/>
        <v>0</v>
      </c>
      <c r="AR10" s="1082">
        <f t="shared" si="11"/>
        <v>0</v>
      </c>
      <c r="AS10" s="2417"/>
      <c r="AT10" s="2417"/>
      <c r="AU10" s="2417"/>
      <c r="AV10" s="2417"/>
      <c r="AW10" s="2417"/>
      <c r="AX10" s="2417"/>
      <c r="AY10" s="2417"/>
      <c r="AZ10" s="2417"/>
      <c r="BA10" s="2417"/>
      <c r="BB10" s="2417"/>
      <c r="BC10" s="2417"/>
      <c r="BD10" s="2417"/>
      <c r="BE10" s="2417"/>
      <c r="BF10" s="2417"/>
      <c r="BG10" s="2417"/>
      <c r="BH10" s="2417"/>
      <c r="BI10" s="2417"/>
      <c r="BJ10" s="2417"/>
      <c r="BK10" s="2417"/>
      <c r="BL10" s="2417"/>
      <c r="BM10" s="2417"/>
      <c r="BN10" s="2417"/>
      <c r="BO10" s="2417"/>
    </row>
    <row r="11" spans="1:67" s="2474" customFormat="1" ht="14.25">
      <c r="A11" s="2492">
        <f>'数据-汇总表'!C24</f>
        <v>0</v>
      </c>
      <c r="B11" s="2493" t="str">
        <f t="shared" si="1"/>
        <v/>
      </c>
      <c r="C11" s="2494"/>
      <c r="D11" s="2495">
        <f>SUMIF(项目基本情况!D$12:I$12,C11,项目基本情况!D$14:I$14)</f>
        <v>0</v>
      </c>
      <c r="E11" s="2496" t="str">
        <f>IF(B11="","",SUMIF(项目基本情况!D$12:I$12,C11,项目基本情况!D$13:I$13))</f>
        <v/>
      </c>
      <c r="F11" s="2497">
        <f>SUMIF(项目基本情况!D$12:I$12,C11,项目基本情况!D$15:I$15)</f>
        <v>0</v>
      </c>
      <c r="G11" s="2498">
        <f t="shared" si="2"/>
        <v>0</v>
      </c>
      <c r="H11" s="2500"/>
      <c r="I11" s="2500"/>
      <c r="J11" s="2500"/>
      <c r="K11" s="2585">
        <f>SUMIF('数据-汇总表'!C$19:C$33,A11,'数据-汇总表'!E$19:E$33)</f>
        <v>0</v>
      </c>
      <c r="L11" s="2591"/>
      <c r="M11" s="2587">
        <f t="shared" si="0"/>
        <v>0</v>
      </c>
      <c r="N11" s="2592"/>
      <c r="O11" s="2587">
        <f t="shared" si="3"/>
        <v>0</v>
      </c>
      <c r="P11" s="1028">
        <f t="shared" si="4"/>
        <v>0</v>
      </c>
      <c r="Q11" s="2605"/>
      <c r="R11" s="2606">
        <f ca="1">SUMIF('数据-汇总表'!C$19:C$33,A11,'数据-汇总表'!R$19:R$27)</f>
        <v>0</v>
      </c>
      <c r="S11" s="2607">
        <f>IF('数据-汇总表'!$I$17="按面积比例",SUMIF('数据-汇总表'!C$19:C$33,A11,'数据-汇总表'!K$19:K$33),SUMIF('数据-汇总表'!C$19:C$33,A11,'数据-汇总表'!N$19:N$33))</f>
        <v>0</v>
      </c>
      <c r="T11" s="2608">
        <f t="shared" si="5"/>
        <v>0</v>
      </c>
      <c r="U11" s="2614"/>
      <c r="V11" s="2500"/>
      <c r="W11" s="2500"/>
      <c r="X11" s="2611"/>
      <c r="Y11" s="2626"/>
      <c r="Z11" s="2631"/>
      <c r="AA11" s="2500"/>
      <c r="AB11" s="2500"/>
      <c r="AC11" s="2611"/>
      <c r="AD11" s="2628"/>
      <c r="AE11" s="2629">
        <f t="shared" ca="1" si="6"/>
        <v>0</v>
      </c>
      <c r="AF11" s="2142"/>
      <c r="AG11" s="1968">
        <f t="shared" si="7"/>
        <v>0</v>
      </c>
      <c r="AH11" s="2614"/>
      <c r="AI11" s="2638"/>
      <c r="AJ11" s="2142"/>
      <c r="AK11" s="2639"/>
      <c r="AL11" s="2640"/>
      <c r="AM11" s="2641"/>
      <c r="AN11" s="2642"/>
      <c r="AO11" s="1082" t="e">
        <f t="shared" ca="1" si="8"/>
        <v>#REF!</v>
      </c>
      <c r="AP11" s="2652">
        <f t="shared" si="9"/>
        <v>0</v>
      </c>
      <c r="AQ11" s="1082">
        <f t="shared" si="10"/>
        <v>0</v>
      </c>
      <c r="AR11" s="1082">
        <f t="shared" si="11"/>
        <v>0</v>
      </c>
      <c r="AS11" s="2417"/>
      <c r="AT11" s="2417"/>
      <c r="AU11" s="2417"/>
      <c r="AV11" s="2417"/>
      <c r="AW11" s="2417"/>
      <c r="AX11" s="2417"/>
      <c r="AY11" s="2417"/>
      <c r="AZ11" s="2417"/>
      <c r="BA11" s="2417"/>
      <c r="BB11" s="2417"/>
      <c r="BC11" s="2417"/>
      <c r="BD11" s="2417"/>
      <c r="BE11" s="2417"/>
      <c r="BF11" s="2417"/>
      <c r="BG11" s="2417"/>
      <c r="BH11" s="2417"/>
      <c r="BI11" s="2417"/>
      <c r="BJ11" s="2417"/>
      <c r="BK11" s="2417"/>
      <c r="BL11" s="2417"/>
      <c r="BM11" s="2417"/>
      <c r="BN11" s="2417"/>
      <c r="BO11" s="2417"/>
    </row>
    <row r="12" spans="1:67" s="2474" customFormat="1" ht="14.25">
      <c r="A12" s="2492">
        <f>'数据-汇总表'!C25</f>
        <v>0</v>
      </c>
      <c r="B12" s="2493" t="str">
        <f t="shared" si="1"/>
        <v/>
      </c>
      <c r="C12" s="2494"/>
      <c r="D12" s="2495">
        <f>SUMIF(项目基本情况!D$12:I$12,C12,项目基本情况!D$14:I$14)</f>
        <v>0</v>
      </c>
      <c r="E12" s="2496" t="str">
        <f>IF(B12="","",SUMIF(项目基本情况!D$12:I$12,C12,项目基本情况!D$13:I$13))</f>
        <v/>
      </c>
      <c r="F12" s="2497">
        <f>SUMIF(项目基本情况!D$12:I$12,C12,项目基本情况!D$15:I$15)</f>
        <v>0</v>
      </c>
      <c r="G12" s="2498">
        <f t="shared" si="2"/>
        <v>0</v>
      </c>
      <c r="H12" s="2500"/>
      <c r="I12" s="2500"/>
      <c r="J12" s="2500"/>
      <c r="K12" s="2585">
        <f>SUMIF('数据-汇总表'!C$19:C$33,A12,'数据-汇总表'!E$19:E$33)</f>
        <v>0</v>
      </c>
      <c r="L12" s="2591"/>
      <c r="M12" s="2587">
        <f t="shared" si="0"/>
        <v>0</v>
      </c>
      <c r="N12" s="2592"/>
      <c r="O12" s="2587">
        <f t="shared" si="3"/>
        <v>0</v>
      </c>
      <c r="P12" s="1028">
        <f t="shared" si="4"/>
        <v>0</v>
      </c>
      <c r="Q12" s="2613"/>
      <c r="R12" s="2606">
        <f ca="1">SUMIF('数据-汇总表'!C$19:C$33,A12,'数据-汇总表'!R$19:R$27)</f>
        <v>0</v>
      </c>
      <c r="S12" s="2607">
        <f>IF('数据-汇总表'!$I$17="按面积比例",SUMIF('数据-汇总表'!C$19:C$33,A12,'数据-汇总表'!K$19:K$33),SUMIF('数据-汇总表'!C$19:C$33,A12,'数据-汇总表'!N$19:N$33))</f>
        <v>0</v>
      </c>
      <c r="T12" s="2608">
        <f t="shared" si="5"/>
        <v>0</v>
      </c>
      <c r="U12" s="2614"/>
      <c r="V12" s="2500"/>
      <c r="W12" s="2500"/>
      <c r="X12" s="2611"/>
      <c r="Y12" s="2626"/>
      <c r="Z12" s="2631"/>
      <c r="AA12" s="2500"/>
      <c r="AB12" s="2500"/>
      <c r="AC12" s="2611"/>
      <c r="AD12" s="2628"/>
      <c r="AE12" s="2629">
        <f t="shared" ca="1" si="6"/>
        <v>0</v>
      </c>
      <c r="AF12" s="2142"/>
      <c r="AG12" s="1968">
        <f t="shared" si="7"/>
        <v>0</v>
      </c>
      <c r="AH12" s="2614"/>
      <c r="AI12" s="2638"/>
      <c r="AJ12" s="2142"/>
      <c r="AK12" s="2639"/>
      <c r="AL12" s="2640"/>
      <c r="AM12" s="2641"/>
      <c r="AN12" s="2642"/>
      <c r="AO12" s="1082" t="e">
        <f t="shared" ca="1" si="8"/>
        <v>#REF!</v>
      </c>
      <c r="AP12" s="2652">
        <f t="shared" si="9"/>
        <v>0</v>
      </c>
      <c r="AQ12" s="1082">
        <f t="shared" si="10"/>
        <v>0</v>
      </c>
      <c r="AR12" s="1082">
        <f t="shared" si="11"/>
        <v>0</v>
      </c>
      <c r="AS12" s="2417"/>
      <c r="AT12" s="2417"/>
      <c r="AU12" s="2417"/>
      <c r="AV12" s="2417"/>
      <c r="AW12" s="2417"/>
      <c r="AX12" s="2417"/>
      <c r="AY12" s="2417"/>
      <c r="AZ12" s="2417"/>
      <c r="BA12" s="2417"/>
      <c r="BB12" s="2417"/>
      <c r="BC12" s="2417"/>
      <c r="BD12" s="2417"/>
      <c r="BE12" s="2417"/>
      <c r="BF12" s="2417"/>
      <c r="BG12" s="2417"/>
      <c r="BH12" s="2417"/>
      <c r="BI12" s="2417"/>
      <c r="BJ12" s="2417"/>
      <c r="BK12" s="2417"/>
      <c r="BL12" s="2417"/>
      <c r="BM12" s="2417"/>
      <c r="BN12" s="2417"/>
      <c r="BO12" s="2417"/>
    </row>
    <row r="13" spans="1:67" s="2474" customFormat="1" ht="14.25">
      <c r="A13" s="2492">
        <f>'数据-汇总表'!C26</f>
        <v>0</v>
      </c>
      <c r="B13" s="2493" t="str">
        <f t="shared" si="1"/>
        <v/>
      </c>
      <c r="C13" s="2494"/>
      <c r="D13" s="2495">
        <f>SUMIF(项目基本情况!D$12:I$12,C13,项目基本情况!D$14:I$14)</f>
        <v>0</v>
      </c>
      <c r="E13" s="2496" t="str">
        <f>IF(B13="","",SUMIF(项目基本情况!D$12:I$12,C13,项目基本情况!D$13:I$13))</f>
        <v/>
      </c>
      <c r="F13" s="2497">
        <f>SUMIF(项目基本情况!D$12:I$12,C13,项目基本情况!D$15:I$15)</f>
        <v>0</v>
      </c>
      <c r="G13" s="2498">
        <f t="shared" si="2"/>
        <v>0</v>
      </c>
      <c r="H13" s="2500"/>
      <c r="I13" s="2500"/>
      <c r="J13" s="2500"/>
      <c r="K13" s="2585">
        <f>SUMIF('数据-汇总表'!C$19:C$33,A13,'数据-汇总表'!E$19:E$33)</f>
        <v>0</v>
      </c>
      <c r="L13" s="2591"/>
      <c r="M13" s="2587">
        <f t="shared" si="0"/>
        <v>0</v>
      </c>
      <c r="N13" s="2592"/>
      <c r="O13" s="2587">
        <f t="shared" si="3"/>
        <v>0</v>
      </c>
      <c r="P13" s="1028">
        <f t="shared" si="4"/>
        <v>0</v>
      </c>
      <c r="Q13" s="2613"/>
      <c r="R13" s="2606">
        <f ca="1">SUMIF('数据-汇总表'!C$19:C$33,A13,'数据-汇总表'!R$19:R$27)</f>
        <v>0</v>
      </c>
      <c r="S13" s="2607">
        <f>IF('数据-汇总表'!$I$17="按面积比例",SUMIF('数据-汇总表'!C$19:C$33,A13,'数据-汇总表'!K$19:K$33),SUMIF('数据-汇总表'!C$19:C$33,A13,'数据-汇总表'!N$19:N$33))</f>
        <v>0</v>
      </c>
      <c r="T13" s="2608">
        <f t="shared" si="5"/>
        <v>0</v>
      </c>
      <c r="U13" s="2609"/>
      <c r="V13" s="2610"/>
      <c r="W13" s="2610"/>
      <c r="X13" s="2611"/>
      <c r="Y13" s="2626"/>
      <c r="Z13" s="2627"/>
      <c r="AA13" s="2500"/>
      <c r="AB13" s="2500"/>
      <c r="AC13" s="2611"/>
      <c r="AD13" s="2628"/>
      <c r="AE13" s="2629">
        <f t="shared" ca="1" si="6"/>
        <v>0</v>
      </c>
      <c r="AF13" s="2142"/>
      <c r="AG13" s="1968">
        <f t="shared" si="7"/>
        <v>0</v>
      </c>
      <c r="AH13" s="2614"/>
      <c r="AI13" s="2638"/>
      <c r="AJ13" s="2142"/>
      <c r="AK13" s="2639"/>
      <c r="AL13" s="2640"/>
      <c r="AM13" s="2641"/>
      <c r="AN13" s="2642"/>
      <c r="AO13" s="1082" t="e">
        <f t="shared" ca="1" si="8"/>
        <v>#REF!</v>
      </c>
      <c r="AP13" s="2652">
        <f t="shared" si="9"/>
        <v>0</v>
      </c>
      <c r="AQ13" s="1082">
        <f t="shared" si="10"/>
        <v>0</v>
      </c>
      <c r="AR13" s="1082">
        <f t="shared" si="11"/>
        <v>0</v>
      </c>
      <c r="AS13" s="2417"/>
      <c r="AT13" s="2417"/>
      <c r="AU13" s="2417"/>
      <c r="AV13" s="2417"/>
      <c r="AW13" s="2417"/>
      <c r="AX13" s="2417"/>
      <c r="AY13" s="2417"/>
      <c r="AZ13" s="2417"/>
      <c r="BA13" s="2417"/>
      <c r="BB13" s="2417"/>
      <c r="BC13" s="2417"/>
      <c r="BD13" s="2417"/>
      <c r="BE13" s="2417"/>
      <c r="BF13" s="2417"/>
      <c r="BG13" s="2417"/>
      <c r="BH13" s="2417"/>
      <c r="BI13" s="2417"/>
      <c r="BJ13" s="2417"/>
      <c r="BK13" s="2417"/>
      <c r="BL13" s="2417"/>
      <c r="BM13" s="2417"/>
      <c r="BN13" s="2417"/>
      <c r="BO13" s="2417"/>
    </row>
    <row r="14" spans="1:67" s="2474" customFormat="1" ht="14.25">
      <c r="A14" s="2501" t="s">
        <v>548</v>
      </c>
      <c r="B14" s="2493" t="s">
        <v>547</v>
      </c>
      <c r="C14" s="2502" t="s">
        <v>548</v>
      </c>
      <c r="D14" s="2495"/>
      <c r="E14" s="2496"/>
      <c r="F14" s="2497"/>
      <c r="G14" s="2498"/>
      <c r="H14" s="2503"/>
      <c r="I14" s="2503"/>
      <c r="J14" s="2503"/>
      <c r="K14" s="2585">
        <f>SUMIF('数据-汇总表'!C$19:C$33,A14,'数据-汇总表'!E$19:E$33)</f>
        <v>0</v>
      </c>
      <c r="L14" s="2591"/>
      <c r="M14" s="2587">
        <f t="shared" si="0"/>
        <v>0</v>
      </c>
      <c r="N14" s="2592"/>
      <c r="O14" s="2587">
        <f t="shared" si="3"/>
        <v>0</v>
      </c>
      <c r="P14" s="1028">
        <f t="shared" si="4"/>
        <v>0</v>
      </c>
      <c r="Q14" s="2615"/>
      <c r="R14" s="2606"/>
      <c r="S14" s="2607"/>
      <c r="T14" s="2608"/>
      <c r="U14" s="2616"/>
      <c r="V14" s="2617"/>
      <c r="W14" s="2617"/>
      <c r="X14" s="2618"/>
      <c r="Y14" s="2632"/>
      <c r="Z14" s="2145"/>
      <c r="AA14" s="2633"/>
      <c r="AB14" s="2633"/>
      <c r="AC14" s="2611"/>
      <c r="AD14" s="2618"/>
      <c r="AE14" s="2629"/>
      <c r="AF14" s="1082"/>
      <c r="AG14" s="1968"/>
      <c r="AH14" s="2629"/>
      <c r="AI14" s="1073"/>
      <c r="AJ14" s="1082"/>
      <c r="AK14" s="2646"/>
      <c r="AL14" s="2647"/>
      <c r="AM14" s="2648"/>
      <c r="AN14" s="2010"/>
      <c r="AO14" s="2512"/>
      <c r="AP14" s="2512"/>
      <c r="AQ14" s="2512"/>
      <c r="AR14" s="2512"/>
      <c r="AS14" s="2417"/>
      <c r="AT14" s="2417"/>
      <c r="AU14" s="2417"/>
      <c r="AV14" s="2417"/>
      <c r="AW14" s="2417"/>
      <c r="AX14" s="2417"/>
      <c r="AY14" s="2417"/>
      <c r="AZ14" s="2417"/>
      <c r="BA14" s="2417"/>
      <c r="BB14" s="2417"/>
      <c r="BC14" s="2417"/>
      <c r="BD14" s="2417"/>
      <c r="BE14" s="2417"/>
      <c r="BF14" s="2417"/>
      <c r="BG14" s="2417"/>
      <c r="BH14" s="2417"/>
      <c r="BI14" s="2417"/>
      <c r="BJ14" s="2417"/>
      <c r="BK14" s="2417"/>
      <c r="BL14" s="2417"/>
      <c r="BM14" s="2417"/>
      <c r="BN14" s="2417"/>
      <c r="BO14" s="2417"/>
    </row>
    <row r="15" spans="1:67" s="2474" customFormat="1" ht="27">
      <c r="A15" s="2501" t="s">
        <v>549</v>
      </c>
      <c r="B15" s="2493" t="s">
        <v>547</v>
      </c>
      <c r="C15" s="2502" t="s">
        <v>594</v>
      </c>
      <c r="D15" s="2495"/>
      <c r="E15" s="2496"/>
      <c r="F15" s="2497"/>
      <c r="G15" s="2498"/>
      <c r="H15" s="2503"/>
      <c r="I15" s="2503"/>
      <c r="J15" s="2503"/>
      <c r="K15" s="2585">
        <f>SUMIF('数据-汇总表'!C$19:C$33,A15,'数据-汇总表'!E$19:E$33)</f>
        <v>0</v>
      </c>
      <c r="L15" s="2593"/>
      <c r="M15" s="2587"/>
      <c r="N15" s="2594"/>
      <c r="O15" s="2587"/>
      <c r="P15" s="1028"/>
      <c r="Q15" s="2615"/>
      <c r="R15" s="2606"/>
      <c r="S15" s="2607"/>
      <c r="T15" s="2608"/>
      <c r="U15" s="2616"/>
      <c r="V15" s="2617"/>
      <c r="W15" s="2617"/>
      <c r="X15" s="2618"/>
      <c r="Y15" s="2632"/>
      <c r="Z15" s="2145"/>
      <c r="AA15" s="2633"/>
      <c r="AB15" s="2633"/>
      <c r="AC15" s="2611"/>
      <c r="AD15" s="2618"/>
      <c r="AE15" s="2629"/>
      <c r="AF15" s="1082"/>
      <c r="AG15" s="1968"/>
      <c r="AH15" s="2629"/>
      <c r="AI15" s="1073"/>
      <c r="AJ15" s="1082"/>
      <c r="AK15" s="2646"/>
      <c r="AL15" s="2647"/>
      <c r="AM15" s="2648"/>
      <c r="AN15" s="2010"/>
      <c r="AO15" s="2512"/>
      <c r="AP15" s="2512"/>
      <c r="AQ15" s="2512"/>
      <c r="AR15" s="2512"/>
      <c r="AS15" s="2417"/>
      <c r="AT15" s="2417"/>
      <c r="AU15" s="2417"/>
      <c r="AV15" s="2417"/>
      <c r="AW15" s="2417"/>
      <c r="AX15" s="2417"/>
      <c r="AY15" s="2417"/>
      <c r="AZ15" s="2417"/>
      <c r="BA15" s="2417"/>
      <c r="BB15" s="2417"/>
      <c r="BC15" s="2417"/>
      <c r="BD15" s="2417"/>
      <c r="BE15" s="2417"/>
      <c r="BF15" s="2417"/>
      <c r="BG15" s="2417"/>
      <c r="BH15" s="2417"/>
      <c r="BI15" s="2417"/>
      <c r="BJ15" s="2417"/>
      <c r="BK15" s="2417"/>
      <c r="BL15" s="2417"/>
      <c r="BM15" s="2417"/>
      <c r="BN15" s="2417"/>
      <c r="BO15" s="2417"/>
    </row>
    <row r="16" spans="1:67" s="2474" customFormat="1" ht="15">
      <c r="A16" s="2504" t="s">
        <v>550</v>
      </c>
      <c r="B16" s="2505"/>
      <c r="C16" s="2068"/>
      <c r="D16" s="2506"/>
      <c r="E16" s="2505"/>
      <c r="F16" s="2505"/>
      <c r="G16" s="2507">
        <f>ROUND(SUMPRODUCT(G6:G13,K6:K13)/SUMPRODUCT((G6:G13&gt;0)*(K6:K13)),3)</f>
        <v>0.98199999999999998</v>
      </c>
      <c r="H16" s="2508">
        <f>ROUND(SUMPRODUCT(H6:H13,K6:K13)/SUMPRODUCT((H6:H13&gt;0)*(K6:K13)),3)</f>
        <v>4.1000000000000002E-2</v>
      </c>
      <c r="I16" s="2595"/>
      <c r="J16" s="2595"/>
      <c r="K16" s="2596">
        <f>SUM(K6:K15)</f>
        <v>72308.930000000008</v>
      </c>
      <c r="L16" s="2597">
        <f>ROUND(M16*10000/SUM(K6:K14),0)</f>
        <v>4279</v>
      </c>
      <c r="M16" s="2597">
        <f>SUM(M6:M14)</f>
        <v>30944</v>
      </c>
      <c r="N16" s="2598">
        <f>ROUND(SUMPRODUCT(M6:M14,N6:N14)/M16,3)</f>
        <v>0.96</v>
      </c>
      <c r="O16" s="2597">
        <f>SUM(O6:O14)</f>
        <v>29706</v>
      </c>
      <c r="P16" s="2597">
        <f>SUM(P6:P14)</f>
        <v>1238</v>
      </c>
      <c r="Q16" s="2619">
        <f>ROUND(SUMPRODUCT(Q6:Q13,K6:K13)/SUMPRODUCT((Q6:Q13&gt;0)*(K6:K13)),2)</f>
        <v>0.13</v>
      </c>
      <c r="R16" s="2620">
        <f ca="1">SUM(R6:R13)</f>
        <v>0</v>
      </c>
      <c r="S16" s="2621">
        <f>SUM(S6:S13)</f>
        <v>0</v>
      </c>
      <c r="T16" s="2622">
        <f>IF(SUMIF(T6:T13,"&lt;9E307")=M14,SUMIF(T6:T13,"&lt;9E307"),"有误，请检查")</f>
        <v>0</v>
      </c>
      <c r="U16" s="2623"/>
      <c r="V16" s="2157"/>
      <c r="W16" s="2157"/>
      <c r="X16" s="2624"/>
      <c r="Y16" s="2634"/>
      <c r="Z16" s="2635"/>
      <c r="AA16" s="2157"/>
      <c r="AB16" s="2157"/>
      <c r="AC16" s="2624"/>
      <c r="AD16" s="2624"/>
      <c r="AE16" s="2623"/>
      <c r="AF16" s="2157"/>
      <c r="AG16" s="2634"/>
      <c r="AH16" s="2623"/>
      <c r="AI16" s="2635"/>
      <c r="AJ16" s="2635"/>
      <c r="AK16" s="2157"/>
      <c r="AL16" s="2157"/>
      <c r="AM16" s="2634"/>
      <c r="AN16" s="2010"/>
      <c r="AO16" s="2512"/>
      <c r="AP16" s="2512"/>
      <c r="AQ16" s="2512"/>
      <c r="AR16" s="2512"/>
      <c r="AS16" s="2417"/>
      <c r="AT16" s="2417"/>
      <c r="AU16" s="2417"/>
      <c r="AV16" s="2417"/>
      <c r="AW16" s="2417"/>
      <c r="AX16" s="2417"/>
      <c r="AY16" s="2417"/>
      <c r="AZ16" s="2417"/>
      <c r="BA16" s="2417"/>
      <c r="BB16" s="2417"/>
      <c r="BC16" s="2417"/>
      <c r="BD16" s="2417"/>
      <c r="BE16" s="2417"/>
      <c r="BF16" s="2417"/>
      <c r="BG16" s="2417"/>
      <c r="BH16" s="2417"/>
      <c r="BI16" s="2417"/>
      <c r="BJ16" s="2417"/>
      <c r="BK16" s="2417"/>
      <c r="BL16" s="2417"/>
      <c r="BM16" s="2417"/>
      <c r="BN16" s="2417"/>
      <c r="BO16" s="2417"/>
    </row>
    <row r="17" spans="1:44">
      <c r="A17" s="2423"/>
      <c r="B17" s="2509"/>
      <c r="C17" s="2010"/>
      <c r="D17" s="2510"/>
      <c r="E17" s="2510"/>
      <c r="F17" s="2010"/>
      <c r="G17" s="2010"/>
      <c r="H17" s="2010"/>
      <c r="I17" s="2010"/>
      <c r="J17" s="2010"/>
      <c r="K17" s="2599"/>
      <c r="L17" s="2599"/>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c r="AL17" s="2010"/>
      <c r="AM17" s="2010"/>
      <c r="AN17" s="2010"/>
      <c r="AO17" s="2010"/>
      <c r="AP17" s="2010"/>
      <c r="AQ17" s="2010"/>
      <c r="AR17" s="2010"/>
    </row>
    <row r="18" spans="1:44" ht="14.25">
      <c r="A18" s="1260" t="s">
        <v>595</v>
      </c>
      <c r="B18" s="2511"/>
      <c r="C18" s="2512"/>
      <c r="D18" s="2513"/>
      <c r="E18" s="2512"/>
      <c r="F18" s="2512"/>
      <c r="G18" s="2512"/>
      <c r="H18" s="2512"/>
      <c r="I18" s="2512"/>
      <c r="J18" s="2512"/>
      <c r="K18" s="2599"/>
      <c r="L18" s="2599"/>
      <c r="M18" s="2010"/>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2010"/>
    </row>
    <row r="19" spans="1:44" ht="14.25">
      <c r="A19" s="2514" t="s">
        <v>596</v>
      </c>
      <c r="B19" s="2515">
        <v>0</v>
      </c>
      <c r="C19" s="2516" t="s">
        <v>597</v>
      </c>
      <c r="D19" s="2513"/>
      <c r="E19" s="2512"/>
      <c r="F19" s="2512"/>
      <c r="G19" s="2512"/>
      <c r="H19" s="2512"/>
      <c r="I19" s="2512"/>
      <c r="J19" s="2512"/>
      <c r="K19" s="2599"/>
      <c r="L19" s="2599"/>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0"/>
    </row>
    <row r="20" spans="1:44" ht="14.25">
      <c r="A20" s="2517" t="s">
        <v>598</v>
      </c>
      <c r="B20" s="2518">
        <v>3</v>
      </c>
      <c r="C20" s="2519" t="s">
        <v>599</v>
      </c>
      <c r="D20" s="2513"/>
      <c r="E20" s="2512"/>
      <c r="F20" s="2512"/>
      <c r="G20" s="2512"/>
      <c r="H20" s="2512"/>
      <c r="I20" s="2512"/>
      <c r="J20" s="2512"/>
      <c r="K20" s="2599"/>
      <c r="L20" s="2599"/>
      <c r="M20" s="2010"/>
      <c r="N20" s="2010"/>
      <c r="O20" s="2010"/>
      <c r="P20" s="2010"/>
      <c r="Q20" s="2010"/>
      <c r="R20" s="2010"/>
      <c r="S20" s="2010"/>
      <c r="T20" s="2010"/>
      <c r="U20" s="2010" t="s">
        <v>600</v>
      </c>
      <c r="V20" s="2010">
        <v>2183.39</v>
      </c>
      <c r="W20" s="2010">
        <v>3</v>
      </c>
      <c r="X20" s="2010">
        <f>(Z20+Z21+Z22)/3*X21</f>
        <v>2.68333333333333</v>
      </c>
      <c r="Y20" s="2010"/>
      <c r="Z20" s="2010">
        <v>1</v>
      </c>
      <c r="AA20" s="2010"/>
      <c r="AB20" s="2010"/>
      <c r="AC20" s="2010"/>
      <c r="AD20" s="2010"/>
      <c r="AE20" s="2010"/>
      <c r="AF20" s="2010"/>
      <c r="AG20" s="2010"/>
      <c r="AH20" s="2010"/>
      <c r="AI20" s="2010"/>
      <c r="AJ20" s="2010"/>
      <c r="AK20" s="2010"/>
      <c r="AL20" s="2010"/>
      <c r="AM20" s="2010"/>
      <c r="AN20" s="2010"/>
      <c r="AO20" s="2010"/>
      <c r="AP20" s="2010"/>
      <c r="AQ20" s="2010"/>
      <c r="AR20" s="2010"/>
    </row>
    <row r="21" spans="1:44" ht="14.25">
      <c r="A21" s="2520" t="s">
        <v>601</v>
      </c>
      <c r="B21" s="2521">
        <f>ROUND(N16*B20,2)</f>
        <v>2.88</v>
      </c>
      <c r="C21" s="2512"/>
      <c r="D21" s="2513"/>
      <c r="E21" s="2512"/>
      <c r="F21" s="2512"/>
      <c r="G21" s="2512"/>
      <c r="H21" s="2512"/>
      <c r="I21" s="2512"/>
      <c r="J21" s="2512"/>
      <c r="K21" s="2599"/>
      <c r="L21" s="2599"/>
      <c r="M21" s="2010"/>
      <c r="N21" s="2010"/>
      <c r="O21" s="2010"/>
      <c r="P21" s="2010"/>
      <c r="Q21" s="2010"/>
      <c r="R21" s="2010"/>
      <c r="S21" s="2010"/>
      <c r="T21" s="2010"/>
      <c r="U21" s="2010" t="s">
        <v>602</v>
      </c>
      <c r="V21" s="2010">
        <v>521.5</v>
      </c>
      <c r="W21" s="2010">
        <v>1</v>
      </c>
      <c r="X21" s="2010">
        <v>3.5</v>
      </c>
      <c r="Y21" s="2010"/>
      <c r="Z21" s="2010">
        <v>0.7</v>
      </c>
      <c r="AA21" s="2010"/>
      <c r="AB21" s="2010">
        <f>(V20*X20+V21*X21)/(V20+V21)</f>
        <v>2.840785823699544</v>
      </c>
      <c r="AC21" s="2010">
        <f>ROUND(AB21/X21,2)</f>
        <v>0.81</v>
      </c>
      <c r="AD21" s="2010">
        <f ca="1">结果表商!I118</f>
        <v>20468</v>
      </c>
      <c r="AE21" s="2010"/>
      <c r="AF21" s="2010"/>
      <c r="AG21" s="2010"/>
      <c r="AH21" s="2010"/>
      <c r="AI21" s="2010"/>
      <c r="AJ21" s="2010"/>
      <c r="AK21" s="2010"/>
      <c r="AL21" s="2010"/>
      <c r="AM21" s="2010"/>
      <c r="AN21" s="2010"/>
      <c r="AO21" s="2010"/>
      <c r="AP21" s="2010"/>
      <c r="AQ21" s="2010"/>
      <c r="AR21" s="2010"/>
    </row>
    <row r="22" spans="1:44" ht="14.25">
      <c r="A22" s="2517" t="s">
        <v>603</v>
      </c>
      <c r="B22" s="2522">
        <f>B19+B20</f>
        <v>3</v>
      </c>
      <c r="C22" s="2512"/>
      <c r="D22" s="2513"/>
      <c r="E22" s="2512"/>
      <c r="F22" s="2512"/>
      <c r="G22" s="2512"/>
      <c r="H22" s="2512"/>
      <c r="I22" s="2512"/>
      <c r="J22" s="2512"/>
      <c r="K22" s="2599"/>
      <c r="L22" s="2599"/>
      <c r="M22" s="2010"/>
      <c r="N22" s="2010"/>
      <c r="O22" s="2010"/>
      <c r="P22" s="2010"/>
      <c r="Q22" s="2010"/>
      <c r="R22" s="2010"/>
      <c r="S22" s="2010"/>
      <c r="T22" s="2010"/>
      <c r="U22" s="2010" t="s">
        <v>604</v>
      </c>
      <c r="V22" s="2010">
        <v>2338.25</v>
      </c>
      <c r="W22" s="2010">
        <v>2</v>
      </c>
      <c r="X22" s="2010">
        <f>(Z20+Z21)/2*X21</f>
        <v>2.9750000000000001</v>
      </c>
      <c r="Y22" s="2010"/>
      <c r="Z22" s="2010">
        <v>0.6</v>
      </c>
      <c r="AA22" s="2010"/>
      <c r="AB22" s="2010"/>
      <c r="AC22" s="2010">
        <f>ROUND(X22/X21,2)</f>
        <v>0.85</v>
      </c>
      <c r="AD22" s="2010">
        <f ca="1">ROUND(AD21/AC21*AC22,0)</f>
        <v>21479</v>
      </c>
      <c r="AE22" s="2010"/>
      <c r="AF22" s="2010"/>
      <c r="AG22" s="2010"/>
      <c r="AH22" s="2010"/>
      <c r="AI22" s="2010"/>
      <c r="AJ22" s="2010"/>
      <c r="AK22" s="2010"/>
      <c r="AL22" s="2010"/>
      <c r="AM22" s="2010"/>
      <c r="AN22" s="2010"/>
      <c r="AO22" s="2010"/>
      <c r="AP22" s="2010"/>
      <c r="AQ22" s="2010"/>
      <c r="AR22" s="2010"/>
    </row>
    <row r="23" spans="1:44" ht="14.25">
      <c r="A23" s="2520" t="s">
        <v>605</v>
      </c>
      <c r="B23" s="2522">
        <f>B19+B21</f>
        <v>2.88</v>
      </c>
      <c r="C23" s="2512"/>
      <c r="D23" s="2513"/>
      <c r="E23" s="2512"/>
      <c r="F23" s="2512"/>
      <c r="G23" s="2512"/>
      <c r="H23" s="2512"/>
      <c r="I23" s="2512"/>
      <c r="J23" s="2512"/>
      <c r="K23" s="2599"/>
      <c r="L23" s="2599"/>
      <c r="M23" s="2010"/>
      <c r="N23" s="2010"/>
      <c r="O23" s="2010"/>
      <c r="P23" s="2010"/>
      <c r="Q23" s="2010"/>
      <c r="R23" s="2010"/>
      <c r="S23" s="2010"/>
      <c r="T23" s="2010"/>
      <c r="U23" s="2010"/>
      <c r="V23" s="2010">
        <f>V20+V21+V22</f>
        <v>5043.1400000000003</v>
      </c>
      <c r="W23" s="2010"/>
      <c r="X23" s="2010">
        <f>(V20*X20+V21*X21+V22*X22)/V23</f>
        <v>2.9030141770140543</v>
      </c>
      <c r="Y23" s="2010"/>
      <c r="Z23" s="2010"/>
      <c r="AA23" s="2010"/>
      <c r="AB23" s="2010"/>
      <c r="AC23" s="2010"/>
      <c r="AD23" s="2010"/>
      <c r="AE23" s="2010"/>
      <c r="AF23" s="2010"/>
      <c r="AG23" s="2010"/>
      <c r="AH23" s="2010"/>
      <c r="AI23" s="2010"/>
      <c r="AJ23" s="2010"/>
      <c r="AK23" s="2010"/>
      <c r="AL23" s="2010"/>
      <c r="AM23" s="2010"/>
      <c r="AN23" s="2010"/>
      <c r="AO23" s="2010"/>
      <c r="AP23" s="2010"/>
      <c r="AQ23" s="2010"/>
      <c r="AR23" s="2010"/>
    </row>
    <row r="24" spans="1:44" ht="14.25">
      <c r="A24" s="2523" t="s">
        <v>606</v>
      </c>
      <c r="B24" s="2524">
        <f>B20-B21</f>
        <v>0.12000000000000011</v>
      </c>
      <c r="C24" s="2512"/>
      <c r="D24" s="2513"/>
      <c r="E24" s="2512"/>
      <c r="F24" s="2512"/>
      <c r="G24" s="2512"/>
      <c r="H24" s="2512"/>
      <c r="I24" s="2512"/>
      <c r="J24" s="2512"/>
      <c r="K24" s="2599"/>
      <c r="L24" s="2599"/>
      <c r="M24" s="2010"/>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c r="AL24" s="2010"/>
      <c r="AM24" s="2010"/>
      <c r="AN24" s="2010"/>
      <c r="AO24" s="2010"/>
      <c r="AP24" s="2010"/>
      <c r="AQ24" s="2010"/>
      <c r="AR24" s="2010"/>
    </row>
    <row r="25" spans="1:44" ht="14.25">
      <c r="A25" s="2484"/>
      <c r="B25" s="2148"/>
      <c r="C25" s="2512"/>
      <c r="D25" s="2513"/>
      <c r="E25" s="2512"/>
      <c r="F25" s="2512"/>
      <c r="G25" s="2512"/>
      <c r="H25" s="2512"/>
      <c r="I25" s="2512"/>
      <c r="J25" s="2512"/>
      <c r="K25" s="2599"/>
      <c r="L25" s="2599"/>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2010"/>
      <c r="AK25" s="2010"/>
      <c r="AL25" s="2010"/>
      <c r="AM25" s="2010"/>
      <c r="AN25" s="2010"/>
      <c r="AO25" s="2010"/>
      <c r="AP25" s="2010"/>
      <c r="AQ25" s="2010"/>
      <c r="AR25" s="2010"/>
    </row>
    <row r="26" spans="1:44" ht="14.25">
      <c r="A26" s="2481" t="s">
        <v>607</v>
      </c>
      <c r="B26" s="2525" t="s">
        <v>608</v>
      </c>
      <c r="C26" s="2526" t="s">
        <v>609</v>
      </c>
      <c r="D26" s="2513"/>
      <c r="E26" s="2512"/>
      <c r="F26" s="2512"/>
      <c r="G26" s="2512"/>
      <c r="H26" s="2512"/>
      <c r="I26" s="2512"/>
      <c r="J26" s="2512"/>
      <c r="K26" s="2599"/>
      <c r="L26" s="2599"/>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0"/>
      <c r="AM26" s="2010"/>
      <c r="AN26" s="2010"/>
      <c r="AO26" s="2010"/>
      <c r="AP26" s="2010"/>
      <c r="AQ26" s="2010"/>
      <c r="AR26" s="2010"/>
    </row>
    <row r="27" spans="1:44" ht="27.75">
      <c r="A27" s="2527" t="s">
        <v>610</v>
      </c>
      <c r="B27" s="2528">
        <v>160</v>
      </c>
      <c r="C27" s="2529" t="s">
        <v>611</v>
      </c>
      <c r="D27" s="2530"/>
      <c r="E27" s="1027"/>
      <c r="F27" s="1027"/>
      <c r="G27" s="2512"/>
      <c r="H27" s="2512"/>
      <c r="I27" s="2512"/>
      <c r="J27" s="2512"/>
      <c r="K27" s="2599"/>
      <c r="L27" s="2599"/>
      <c r="M27" s="2010"/>
      <c r="N27" s="2010"/>
      <c r="O27" s="2010"/>
      <c r="P27" s="2010"/>
      <c r="Q27" s="2010"/>
      <c r="R27" s="2010"/>
      <c r="S27" s="2010"/>
      <c r="T27" s="2010"/>
      <c r="U27" s="2010"/>
      <c r="V27" s="2010"/>
      <c r="W27" s="2010"/>
      <c r="X27" s="2010"/>
      <c r="Y27" s="2010"/>
      <c r="Z27" s="2010"/>
      <c r="AA27" s="2010"/>
      <c r="AB27" s="2010"/>
      <c r="AC27" s="2010"/>
      <c r="AD27" s="2010"/>
      <c r="AE27" s="2010"/>
      <c r="AF27" s="2010"/>
      <c r="AG27" s="2010"/>
      <c r="AH27" s="2010"/>
      <c r="AI27" s="2010"/>
      <c r="AJ27" s="2010"/>
      <c r="AK27" s="2010"/>
      <c r="AL27" s="2010"/>
      <c r="AM27" s="2010"/>
      <c r="AN27" s="2010"/>
      <c r="AO27" s="2010"/>
      <c r="AP27" s="2010"/>
      <c r="AQ27" s="2010"/>
      <c r="AR27" s="2010"/>
    </row>
    <row r="28" spans="1:44" ht="27.75">
      <c r="A28" s="2531" t="s">
        <v>612</v>
      </c>
      <c r="B28" s="2532">
        <v>200</v>
      </c>
      <c r="C28" s="2533"/>
      <c r="D28" s="2530"/>
      <c r="E28" s="1027"/>
      <c r="F28" s="1027"/>
      <c r="G28" s="2512"/>
      <c r="H28" s="2512"/>
      <c r="I28" s="2512"/>
      <c r="J28" s="2512"/>
      <c r="K28" s="2599"/>
      <c r="L28" s="2599"/>
      <c r="M28" s="2010"/>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c r="AL28" s="2010"/>
      <c r="AM28" s="2010"/>
      <c r="AN28" s="2010"/>
      <c r="AO28" s="2010"/>
      <c r="AP28" s="2010"/>
      <c r="AQ28" s="2010"/>
      <c r="AR28" s="2010"/>
    </row>
    <row r="29" spans="1:44" ht="27.75">
      <c r="A29" s="2534" t="s">
        <v>613</v>
      </c>
      <c r="B29" s="2535">
        <f ca="1">成本法!C9+成本法!C10</f>
        <v>1221</v>
      </c>
      <c r="C29" s="2536" t="s">
        <v>614</v>
      </c>
      <c r="D29" s="2530"/>
      <c r="E29" s="1027"/>
      <c r="F29" s="1027"/>
      <c r="G29" s="2512"/>
      <c r="H29" s="2512"/>
      <c r="I29" s="2512"/>
      <c r="J29" s="2512"/>
      <c r="K29" s="2599"/>
      <c r="L29" s="2599"/>
      <c r="M29" s="2010"/>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c r="AL29" s="2010"/>
      <c r="AM29" s="2010"/>
      <c r="AN29" s="2010"/>
      <c r="AO29" s="2010"/>
      <c r="AP29" s="2010"/>
      <c r="AQ29" s="2010"/>
      <c r="AR29" s="2010"/>
    </row>
    <row r="30" spans="1:44" ht="27">
      <c r="A30" s="2537" t="s">
        <v>615</v>
      </c>
      <c r="B30" s="2538">
        <v>200</v>
      </c>
      <c r="C30" s="2533"/>
      <c r="D30" s="2530"/>
      <c r="E30" s="1027"/>
      <c r="F30" s="1027"/>
      <c r="G30" s="2512"/>
      <c r="H30" s="2512"/>
      <c r="I30" s="2512"/>
      <c r="J30" s="2512"/>
      <c r="K30" s="2599"/>
      <c r="L30" s="2599"/>
      <c r="M30" s="2010"/>
      <c r="N30" s="2010"/>
      <c r="O30" s="2010"/>
      <c r="P30" s="2010"/>
      <c r="Q30" s="2010"/>
      <c r="R30" s="2010"/>
      <c r="S30" s="2010"/>
      <c r="T30" s="2010"/>
      <c r="U30" s="2010"/>
      <c r="V30" s="2010"/>
      <c r="W30" s="2010"/>
      <c r="X30" s="2010"/>
      <c r="Y30" s="2010"/>
      <c r="Z30" s="2010"/>
      <c r="AA30" s="2010"/>
      <c r="AB30" s="2010"/>
      <c r="AC30" s="2010"/>
      <c r="AD30" s="2010"/>
      <c r="AE30" s="2010"/>
      <c r="AF30" s="2010"/>
      <c r="AG30" s="2010"/>
      <c r="AH30" s="2010"/>
      <c r="AI30" s="2010"/>
      <c r="AJ30" s="2010"/>
      <c r="AK30" s="2010"/>
      <c r="AL30" s="2010"/>
      <c r="AM30" s="2010"/>
      <c r="AN30" s="2010"/>
      <c r="AO30" s="2010"/>
      <c r="AP30" s="2010"/>
      <c r="AQ30" s="2010"/>
      <c r="AR30" s="2010"/>
    </row>
    <row r="31" spans="1:44" ht="27">
      <c r="A31" s="2531" t="s">
        <v>616</v>
      </c>
      <c r="B31" s="2539">
        <f>B30-B32</f>
        <v>200</v>
      </c>
      <c r="C31" s="2540"/>
      <c r="D31" s="2530"/>
      <c r="E31" s="1027"/>
      <c r="F31" s="1027"/>
      <c r="G31" s="2512"/>
      <c r="H31" s="2512"/>
      <c r="I31" s="2512"/>
      <c r="J31" s="2512"/>
      <c r="K31" s="2599"/>
      <c r="L31" s="2599"/>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0"/>
      <c r="AM31" s="2010"/>
      <c r="AN31" s="2010"/>
      <c r="AO31" s="2010"/>
      <c r="AP31" s="2010"/>
      <c r="AQ31" s="2010"/>
      <c r="AR31" s="2010"/>
    </row>
    <row r="32" spans="1:44" ht="27">
      <c r="A32" s="2541" t="s">
        <v>617</v>
      </c>
      <c r="B32" s="2542">
        <v>0</v>
      </c>
      <c r="C32" s="2533"/>
      <c r="D32" s="2513"/>
      <c r="E32" s="2512"/>
      <c r="F32" s="2512"/>
      <c r="G32" s="2512"/>
      <c r="H32" s="2512"/>
      <c r="I32" s="2512"/>
      <c r="J32" s="2512"/>
      <c r="K32" s="2599"/>
      <c r="L32" s="2599"/>
      <c r="M32" s="2010"/>
      <c r="N32" s="2010"/>
      <c r="O32" s="2010"/>
      <c r="P32" s="2010"/>
      <c r="Q32" s="2010"/>
      <c r="R32" s="2010"/>
      <c r="S32" s="2010"/>
      <c r="T32" s="2010"/>
      <c r="U32" s="2010"/>
      <c r="V32" s="2010"/>
      <c r="W32" s="2010"/>
      <c r="X32" s="2010"/>
      <c r="Y32" s="2010"/>
      <c r="Z32" s="2010"/>
      <c r="AA32" s="2010"/>
      <c r="AB32" s="2010"/>
      <c r="AC32" s="2010"/>
      <c r="AD32" s="2010"/>
      <c r="AE32" s="2010"/>
      <c r="AF32" s="2010"/>
      <c r="AG32" s="2010"/>
      <c r="AH32" s="2010"/>
      <c r="AI32" s="2010"/>
      <c r="AJ32" s="2010"/>
      <c r="AK32" s="2010"/>
      <c r="AL32" s="2010"/>
      <c r="AM32" s="2010"/>
      <c r="AN32" s="2010"/>
      <c r="AO32" s="2010"/>
      <c r="AP32" s="2010"/>
      <c r="AQ32" s="2010"/>
      <c r="AR32" s="2010"/>
    </row>
    <row r="33" spans="1:44" ht="14.25">
      <c r="A33" s="2527" t="s">
        <v>618</v>
      </c>
      <c r="B33" s="3081">
        <v>0.03</v>
      </c>
      <c r="C33" s="2543" t="s">
        <v>619</v>
      </c>
      <c r="D33" s="2513"/>
      <c r="E33" s="2512"/>
      <c r="F33" s="2512"/>
      <c r="G33" s="2512"/>
      <c r="H33" s="2512"/>
      <c r="I33" s="2512"/>
      <c r="J33" s="2512"/>
      <c r="K33" s="2599"/>
      <c r="L33" s="2599"/>
      <c r="M33" s="2010"/>
      <c r="N33" s="2010"/>
      <c r="O33" s="2010"/>
      <c r="P33" s="2010"/>
      <c r="Q33" s="2010"/>
      <c r="R33" s="2010"/>
      <c r="S33" s="2010"/>
      <c r="T33" s="2010"/>
      <c r="U33" s="2010"/>
      <c r="V33" s="2010"/>
      <c r="W33" s="2010"/>
      <c r="X33" s="2010"/>
      <c r="Y33" s="2010"/>
      <c r="Z33" s="2010"/>
      <c r="AA33" s="2010"/>
      <c r="AB33" s="2010"/>
      <c r="AC33" s="2010"/>
      <c r="AD33" s="2010"/>
      <c r="AE33" s="2010"/>
      <c r="AF33" s="2010"/>
      <c r="AG33" s="2010"/>
      <c r="AH33" s="2010"/>
      <c r="AI33" s="2010"/>
      <c r="AJ33" s="2010"/>
      <c r="AK33" s="2010"/>
      <c r="AL33" s="2010"/>
      <c r="AM33" s="2010"/>
      <c r="AN33" s="2010"/>
      <c r="AO33" s="2010"/>
      <c r="AP33" s="2010"/>
      <c r="AQ33" s="2010"/>
      <c r="AR33" s="2010"/>
    </row>
    <row r="34" spans="1:44" ht="14.25">
      <c r="A34" s="2531" t="s">
        <v>620</v>
      </c>
      <c r="B34" s="3082">
        <v>0.05</v>
      </c>
      <c r="C34" s="2543" t="s">
        <v>621</v>
      </c>
      <c r="D34" s="2544" t="s">
        <v>622</v>
      </c>
      <c r="E34" s="2509"/>
      <c r="F34" s="2512"/>
      <c r="G34" s="2512"/>
      <c r="H34" s="2512"/>
      <c r="I34" s="2512"/>
      <c r="J34" s="2512"/>
      <c r="K34" s="2599"/>
      <c r="L34" s="2599"/>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c r="AK34" s="2010"/>
      <c r="AL34" s="2010"/>
      <c r="AM34" s="2010"/>
      <c r="AN34" s="2010"/>
      <c r="AO34" s="2010"/>
      <c r="AP34" s="2010"/>
      <c r="AQ34" s="2010"/>
      <c r="AR34" s="2010"/>
    </row>
    <row r="35" spans="1:44" ht="14.25">
      <c r="A35" s="2531" t="s">
        <v>623</v>
      </c>
      <c r="B35" s="3083">
        <v>200</v>
      </c>
      <c r="C35" s="2543" t="s">
        <v>624</v>
      </c>
      <c r="D35" s="2530"/>
      <c r="E35" s="1027"/>
      <c r="F35" s="1027"/>
      <c r="G35" s="2512"/>
      <c r="H35" s="2512"/>
      <c r="I35" s="2512"/>
      <c r="J35" s="2512"/>
      <c r="K35" s="2599"/>
      <c r="L35" s="2599"/>
      <c r="M35" s="2010"/>
      <c r="N35" s="2010"/>
      <c r="O35" s="2010"/>
      <c r="P35" s="2010"/>
      <c r="Q35" s="2010"/>
      <c r="R35" s="2010"/>
      <c r="S35" s="2010"/>
      <c r="T35" s="2010"/>
      <c r="U35" s="2010"/>
      <c r="V35" s="2010"/>
      <c r="W35" s="2010"/>
      <c r="X35" s="2010"/>
      <c r="Y35" s="2010"/>
      <c r="Z35" s="2010"/>
      <c r="AA35" s="2010"/>
      <c r="AB35" s="2010"/>
      <c r="AC35" s="2010"/>
      <c r="AD35" s="2010"/>
      <c r="AE35" s="2010"/>
      <c r="AF35" s="2010"/>
      <c r="AG35" s="2010"/>
      <c r="AH35" s="2010"/>
      <c r="AI35" s="2010"/>
      <c r="AJ35" s="2010"/>
      <c r="AK35" s="2010"/>
      <c r="AL35" s="2010"/>
      <c r="AM35" s="2010"/>
      <c r="AN35" s="2010"/>
      <c r="AO35" s="2010"/>
      <c r="AP35" s="2010"/>
      <c r="AQ35" s="2010"/>
      <c r="AR35" s="2010"/>
    </row>
    <row r="36" spans="1:44" ht="14.25">
      <c r="A36" s="2534" t="s">
        <v>625</v>
      </c>
      <c r="B36" s="2545">
        <v>1.4999999999999999E-2</v>
      </c>
      <c r="C36" s="2543" t="s">
        <v>626</v>
      </c>
      <c r="D36" s="2513"/>
      <c r="E36" s="2512"/>
      <c r="F36" s="2512"/>
      <c r="G36" s="2512"/>
      <c r="H36" s="2512"/>
      <c r="I36" s="2512"/>
      <c r="J36" s="2512"/>
      <c r="K36" s="2599"/>
      <c r="L36" s="2599"/>
      <c r="M36" s="2010"/>
      <c r="N36" s="2010"/>
      <c r="O36" s="2010"/>
      <c r="P36" s="2010"/>
      <c r="Q36" s="2010"/>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2010"/>
      <c r="AM36" s="2010"/>
      <c r="AN36" s="2010"/>
      <c r="AO36" s="2010"/>
      <c r="AP36" s="2010"/>
      <c r="AQ36" s="2010"/>
      <c r="AR36" s="2010"/>
    </row>
    <row r="37" spans="1:44" ht="14.25">
      <c r="A37" s="2537" t="s">
        <v>627</v>
      </c>
      <c r="B37" s="2546">
        <v>0.02</v>
      </c>
      <c r="C37" s="2543" t="s">
        <v>628</v>
      </c>
      <c r="D37" s="2513"/>
      <c r="E37" s="2512"/>
      <c r="F37" s="2512"/>
      <c r="G37" s="2512"/>
      <c r="H37" s="2512"/>
      <c r="I37" s="2512"/>
      <c r="J37" s="2512"/>
      <c r="K37" s="2599"/>
      <c r="L37" s="2599"/>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2010"/>
      <c r="AM37" s="2010"/>
      <c r="AN37" s="2010"/>
      <c r="AO37" s="2010"/>
      <c r="AP37" s="2010"/>
      <c r="AQ37" s="2010"/>
      <c r="AR37" s="2010"/>
    </row>
    <row r="38" spans="1:44" ht="14.25">
      <c r="A38" s="2531" t="s">
        <v>629</v>
      </c>
      <c r="B38" s="2547">
        <v>0.02</v>
      </c>
      <c r="C38" s="2543" t="s">
        <v>628</v>
      </c>
      <c r="D38" s="2513"/>
      <c r="E38" s="2512"/>
      <c r="F38" s="2512"/>
      <c r="G38" s="2512"/>
      <c r="H38" s="2512"/>
      <c r="I38" s="2512"/>
      <c r="J38" s="2512"/>
      <c r="K38" s="2599"/>
      <c r="L38" s="2599"/>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c r="AN38" s="2010"/>
      <c r="AO38" s="2010"/>
      <c r="AP38" s="2010"/>
      <c r="AQ38" s="2010"/>
      <c r="AR38" s="2010"/>
    </row>
    <row r="39" spans="1:44" ht="14.25">
      <c r="A39" s="2541" t="s">
        <v>630</v>
      </c>
      <c r="B39" s="2548">
        <f ca="1">存贷款利率!I1</f>
        <v>1.4999999999999999E-2</v>
      </c>
      <c r="C39" s="2549"/>
      <c r="D39" s="2513"/>
      <c r="E39" s="2512"/>
      <c r="F39" s="2512"/>
      <c r="G39" s="2512"/>
      <c r="H39" s="2512"/>
      <c r="I39" s="2512"/>
      <c r="J39" s="2512"/>
      <c r="K39" s="2599"/>
      <c r="L39" s="2599"/>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c r="AN39" s="2010"/>
      <c r="AO39" s="2010"/>
      <c r="AP39" s="2010"/>
      <c r="AQ39" s="2010"/>
      <c r="AR39" s="2010"/>
    </row>
    <row r="40" spans="1:44" ht="14.25">
      <c r="A40" s="2550" t="s">
        <v>3033</v>
      </c>
      <c r="B40" s="3084">
        <v>3.4500000000000003E-2</v>
      </c>
      <c r="C40" s="2551">
        <v>5.0000000000000001E-3</v>
      </c>
      <c r="D40" s="2010"/>
      <c r="E40" s="2513"/>
      <c r="F40" s="2512"/>
      <c r="G40" s="2512"/>
      <c r="H40" s="2512"/>
      <c r="I40" s="2512"/>
      <c r="J40" s="2512"/>
      <c r="K40" s="2599"/>
      <c r="L40" s="2599"/>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row>
    <row r="41" spans="1:44" ht="14.25">
      <c r="A41" s="2527" t="s">
        <v>631</v>
      </c>
      <c r="B41" s="2552">
        <f>B42+B43</f>
        <v>5.5E-2</v>
      </c>
      <c r="C41" s="2540"/>
      <c r="D41" s="2010"/>
      <c r="E41" s="2513"/>
      <c r="F41" s="2512"/>
      <c r="G41" s="2512"/>
      <c r="H41" s="2512"/>
      <c r="I41" s="2512"/>
      <c r="J41" s="2512"/>
      <c r="K41" s="2599"/>
      <c r="L41" s="2599"/>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row>
    <row r="42" spans="1:44" ht="14.25">
      <c r="A42" s="2553" t="s">
        <v>632</v>
      </c>
      <c r="B42" s="2554">
        <v>0.05</v>
      </c>
      <c r="C42" s="2555">
        <f>IF(B2&lt;DATE(2016,5,1),0,B42)</f>
        <v>0.05</v>
      </c>
      <c r="D42" s="2513"/>
      <c r="E42" s="2512"/>
      <c r="F42" s="2512"/>
      <c r="G42" s="2512"/>
      <c r="H42" s="2512"/>
      <c r="I42" s="2512"/>
      <c r="J42" s="2512"/>
      <c r="K42" s="2599"/>
      <c r="L42" s="2599"/>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2010"/>
      <c r="AM42" s="2010"/>
      <c r="AN42" s="2010"/>
      <c r="AO42" s="2010"/>
      <c r="AP42" s="2010"/>
      <c r="AQ42" s="2010"/>
      <c r="AR42" s="2010"/>
    </row>
    <row r="43" spans="1:44" ht="14.25">
      <c r="A43" s="2553" t="s">
        <v>633</v>
      </c>
      <c r="B43" s="2556">
        <f>B42*(B44+B45+B46)+B47</f>
        <v>5.0000000000000001E-3</v>
      </c>
      <c r="C43" s="2540"/>
      <c r="D43" s="2513"/>
      <c r="E43" s="2512"/>
      <c r="F43" s="2512"/>
      <c r="G43" s="2512"/>
      <c r="H43" s="2512"/>
      <c r="I43" s="2512"/>
      <c r="J43" s="2512"/>
      <c r="K43" s="2599"/>
      <c r="L43" s="2599"/>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c r="AN43" s="2010"/>
      <c r="AO43" s="2010"/>
      <c r="AP43" s="2010"/>
      <c r="AQ43" s="2010"/>
      <c r="AR43" s="2010"/>
    </row>
    <row r="44" spans="1:44" ht="14.25">
      <c r="A44" s="2557" t="s">
        <v>634</v>
      </c>
      <c r="B44" s="2558">
        <v>0.05</v>
      </c>
      <c r="C44" s="2543" t="s">
        <v>635</v>
      </c>
      <c r="D44" s="2513"/>
      <c r="E44" s="2512"/>
      <c r="F44" s="2512"/>
      <c r="G44" s="2512"/>
      <c r="H44" s="2512"/>
      <c r="I44" s="2512"/>
      <c r="J44" s="2512"/>
      <c r="K44" s="2599"/>
      <c r="L44" s="2599"/>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c r="AN44" s="2010"/>
      <c r="AO44" s="2010"/>
      <c r="AP44" s="2010"/>
      <c r="AQ44" s="2010"/>
      <c r="AR44" s="2010"/>
    </row>
    <row r="45" spans="1:44" ht="14.25">
      <c r="A45" s="2557" t="s">
        <v>636</v>
      </c>
      <c r="B45" s="2559">
        <v>0.03</v>
      </c>
      <c r="C45" s="2536" t="s">
        <v>637</v>
      </c>
      <c r="D45" s="2513"/>
      <c r="E45" s="2512"/>
      <c r="F45" s="2512"/>
      <c r="G45" s="2512"/>
      <c r="H45" s="2512"/>
      <c r="I45" s="2512"/>
      <c r="J45" s="2512"/>
      <c r="K45" s="2599"/>
      <c r="L45" s="2599"/>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2010"/>
      <c r="AM45" s="2010"/>
      <c r="AN45" s="2010"/>
      <c r="AO45" s="2010"/>
      <c r="AP45" s="2010"/>
      <c r="AQ45" s="2010"/>
      <c r="AR45" s="2010"/>
    </row>
    <row r="46" spans="1:44" ht="14.25">
      <c r="A46" s="2557" t="s">
        <v>638</v>
      </c>
      <c r="B46" s="2559">
        <v>0.02</v>
      </c>
      <c r="C46" s="2536" t="s">
        <v>639</v>
      </c>
      <c r="D46" s="2513"/>
      <c r="E46" s="2512"/>
      <c r="F46" s="2512"/>
      <c r="G46" s="2512"/>
      <c r="H46" s="2512"/>
      <c r="I46" s="2512"/>
      <c r="J46" s="2512"/>
      <c r="K46" s="2599"/>
      <c r="L46" s="2599"/>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2010"/>
      <c r="AM46" s="2010"/>
      <c r="AN46" s="2010"/>
      <c r="AO46" s="2010"/>
      <c r="AP46" s="2010"/>
      <c r="AQ46" s="2010"/>
      <c r="AR46" s="2010"/>
    </row>
    <row r="47" spans="1:44" ht="14.25">
      <c r="A47" s="2560" t="s">
        <v>640</v>
      </c>
      <c r="B47" s="2561">
        <v>0</v>
      </c>
      <c r="C47" s="2562" t="s">
        <v>641</v>
      </c>
      <c r="D47" s="2513"/>
      <c r="E47" s="2512"/>
      <c r="F47" s="2512"/>
      <c r="G47" s="2512"/>
      <c r="H47" s="2512"/>
      <c r="I47" s="2512"/>
      <c r="J47" s="2512"/>
      <c r="K47" s="2599"/>
      <c r="L47" s="2599"/>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0"/>
      <c r="AM47" s="2010"/>
      <c r="AN47" s="2010"/>
      <c r="AO47" s="2010"/>
      <c r="AP47" s="2010"/>
      <c r="AQ47" s="2010"/>
      <c r="AR47" s="2010"/>
    </row>
    <row r="48" spans="1:44" ht="14.25">
      <c r="A48" s="2563" t="s">
        <v>642</v>
      </c>
      <c r="B48" s="2564">
        <v>0.03</v>
      </c>
      <c r="C48" s="2536" t="s">
        <v>637</v>
      </c>
      <c r="D48" s="2513"/>
      <c r="E48" s="2512"/>
      <c r="F48" s="2512"/>
      <c r="G48" s="2512"/>
      <c r="H48" s="2512"/>
      <c r="I48" s="2512"/>
      <c r="J48" s="2512"/>
      <c r="K48" s="2599"/>
      <c r="L48" s="2599"/>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c r="AL48" s="2010"/>
      <c r="AM48" s="2010"/>
      <c r="AN48" s="2010"/>
      <c r="AO48" s="2010"/>
      <c r="AP48" s="2010"/>
      <c r="AQ48" s="2010"/>
      <c r="AR48" s="2010"/>
    </row>
    <row r="49" spans="1:44" ht="14.25">
      <c r="A49" s="2541" t="s">
        <v>643</v>
      </c>
      <c r="B49" s="2565">
        <v>5.0000000000000001E-4</v>
      </c>
      <c r="C49" s="2536" t="s">
        <v>644</v>
      </c>
      <c r="D49" s="2513"/>
      <c r="E49" s="2512"/>
      <c r="F49" s="2512"/>
      <c r="G49" s="2512"/>
      <c r="H49" s="2512"/>
      <c r="I49" s="2512"/>
      <c r="J49" s="2512"/>
      <c r="K49" s="2599"/>
      <c r="L49" s="2599"/>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010"/>
      <c r="AI49" s="2010"/>
      <c r="AJ49" s="2010"/>
      <c r="AK49" s="2010"/>
      <c r="AL49" s="2010"/>
      <c r="AM49" s="2010"/>
      <c r="AN49" s="2010"/>
      <c r="AO49" s="2010"/>
      <c r="AP49" s="2010"/>
      <c r="AQ49" s="2010"/>
      <c r="AR49" s="2010"/>
    </row>
    <row r="50" spans="1:44" ht="14.25">
      <c r="A50" s="2566" t="s">
        <v>645</v>
      </c>
      <c r="B50" s="2567">
        <v>1.2E-2</v>
      </c>
      <c r="C50" s="1027"/>
      <c r="D50" s="2513"/>
      <c r="E50" s="2512"/>
      <c r="F50" s="2512"/>
      <c r="G50" s="2512"/>
      <c r="H50" s="2512"/>
      <c r="I50" s="2512"/>
      <c r="J50" s="2512"/>
      <c r="K50" s="2599"/>
      <c r="L50" s="2599"/>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0"/>
      <c r="AP50" s="2010"/>
      <c r="AQ50" s="2010"/>
      <c r="AR50" s="2010"/>
    </row>
    <row r="51" spans="1:44" ht="14.25">
      <c r="A51" s="2534" t="s">
        <v>646</v>
      </c>
      <c r="B51" s="2568">
        <v>0.12</v>
      </c>
      <c r="C51" s="1027"/>
      <c r="D51" s="2513"/>
      <c r="E51" s="2512"/>
      <c r="F51" s="2512"/>
      <c r="G51" s="2512"/>
      <c r="H51" s="2512"/>
      <c r="I51" s="2512"/>
      <c r="J51" s="2512"/>
      <c r="K51" s="2599"/>
      <c r="L51" s="2599"/>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s="2010"/>
      <c r="AJ51" s="2010"/>
      <c r="AK51" s="2010"/>
      <c r="AL51" s="2010"/>
      <c r="AM51" s="2010"/>
      <c r="AN51" s="2010"/>
      <c r="AO51" s="2010"/>
      <c r="AP51" s="2010"/>
      <c r="AQ51" s="2010"/>
      <c r="AR51" s="2010"/>
    </row>
    <row r="52" spans="1:44" ht="14.25">
      <c r="A52" s="2566" t="s">
        <v>647</v>
      </c>
      <c r="B52" s="2569">
        <f>SUMIF(A54:A63,B53,B54:B63)</f>
        <v>1.5</v>
      </c>
      <c r="C52" s="1027"/>
      <c r="D52" s="2513"/>
      <c r="E52" s="2512"/>
      <c r="F52" s="2512"/>
      <c r="G52" s="2512"/>
      <c r="H52" s="2512"/>
      <c r="I52" s="2512"/>
      <c r="J52" s="2512"/>
      <c r="K52" s="2599"/>
      <c r="L52" s="2599"/>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c r="AN52" s="2010"/>
      <c r="AO52" s="2010"/>
      <c r="AP52" s="2010"/>
      <c r="AQ52" s="2010"/>
      <c r="AR52" s="2010"/>
    </row>
    <row r="53" spans="1:44" ht="27">
      <c r="A53" s="2531" t="s">
        <v>648</v>
      </c>
      <c r="B53" s="2570" t="s">
        <v>273</v>
      </c>
      <c r="C53" s="1027" t="s">
        <v>649</v>
      </c>
      <c r="D53" s="2571" t="s">
        <v>650</v>
      </c>
      <c r="E53" s="2512"/>
      <c r="F53" s="2512"/>
      <c r="G53" s="2512"/>
      <c r="H53" s="2512"/>
      <c r="I53" s="2512"/>
      <c r="J53" s="2512"/>
      <c r="K53" s="2599"/>
      <c r="L53" s="2599"/>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c r="AJ53" s="2010"/>
      <c r="AK53" s="2010"/>
      <c r="AL53" s="2010"/>
      <c r="AM53" s="2010"/>
      <c r="AN53" s="2010"/>
      <c r="AO53" s="2010"/>
      <c r="AP53" s="2010"/>
      <c r="AQ53" s="2010"/>
      <c r="AR53" s="2010"/>
    </row>
    <row r="54" spans="1:44" ht="14.25">
      <c r="A54" s="2572" t="s">
        <v>651</v>
      </c>
      <c r="B54" s="2573">
        <v>30</v>
      </c>
      <c r="C54" s="1027">
        <v>30</v>
      </c>
      <c r="D54" s="2513"/>
      <c r="E54" s="2512"/>
      <c r="F54" s="2512"/>
      <c r="G54" s="2512"/>
      <c r="H54" s="2512"/>
      <c r="I54" s="2512"/>
      <c r="J54" s="2512"/>
      <c r="K54" s="2599"/>
      <c r="L54" s="2599"/>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c r="AI54" s="2010"/>
      <c r="AJ54" s="2010"/>
      <c r="AK54" s="2010"/>
      <c r="AL54" s="2010"/>
      <c r="AM54" s="2010"/>
      <c r="AN54" s="2010"/>
      <c r="AO54" s="2010"/>
      <c r="AP54" s="2010"/>
      <c r="AQ54" s="2010"/>
      <c r="AR54" s="2010"/>
    </row>
    <row r="55" spans="1:44" ht="14.25">
      <c r="A55" s="2572" t="s">
        <v>652</v>
      </c>
      <c r="B55" s="2573">
        <v>24</v>
      </c>
      <c r="C55" s="1027">
        <v>24</v>
      </c>
      <c r="D55" s="2513"/>
      <c r="E55" s="2512"/>
      <c r="F55" s="2512"/>
      <c r="G55" s="2512"/>
      <c r="H55" s="2512"/>
      <c r="I55" s="2512"/>
      <c r="J55" s="2512"/>
      <c r="K55" s="2599"/>
      <c r="L55" s="2599"/>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2010"/>
      <c r="AQ55" s="2010"/>
      <c r="AR55" s="2010"/>
    </row>
    <row r="56" spans="1:44" ht="14.25">
      <c r="A56" s="2572" t="s">
        <v>653</v>
      </c>
      <c r="B56" s="2573">
        <v>18</v>
      </c>
      <c r="C56" s="1027">
        <v>18</v>
      </c>
      <c r="D56" s="2513"/>
      <c r="E56" s="2512"/>
      <c r="F56" s="2512"/>
      <c r="G56" s="2512"/>
      <c r="H56" s="2512"/>
      <c r="I56" s="2512"/>
      <c r="J56" s="2512"/>
      <c r="K56" s="2599"/>
      <c r="L56" s="2599"/>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P56" s="2010"/>
      <c r="AQ56" s="2010"/>
      <c r="AR56" s="2010"/>
    </row>
    <row r="57" spans="1:44" ht="14.25">
      <c r="A57" s="2572" t="s">
        <v>654</v>
      </c>
      <c r="B57" s="2573">
        <v>12</v>
      </c>
      <c r="C57" s="1027">
        <v>12</v>
      </c>
      <c r="D57" s="2513"/>
      <c r="E57" s="2512"/>
      <c r="F57" s="2512"/>
      <c r="G57" s="2512"/>
      <c r="H57" s="2512"/>
      <c r="I57" s="2512"/>
      <c r="J57" s="2512"/>
      <c r="K57" s="2599"/>
      <c r="L57" s="2599"/>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s="2010"/>
      <c r="AQ57" s="2010"/>
      <c r="AR57" s="2010"/>
    </row>
    <row r="58" spans="1:44" ht="14.25">
      <c r="A58" s="2572" t="s">
        <v>655</v>
      </c>
      <c r="B58" s="2573">
        <v>3</v>
      </c>
      <c r="C58" s="1027">
        <v>3</v>
      </c>
      <c r="D58" s="2513"/>
      <c r="E58" s="2512"/>
      <c r="F58" s="2512"/>
      <c r="G58" s="2512"/>
      <c r="H58" s="2512"/>
      <c r="I58" s="2512"/>
      <c r="J58" s="2512"/>
      <c r="K58" s="2599"/>
      <c r="L58" s="2599"/>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P58" s="2010"/>
      <c r="AQ58" s="2010"/>
      <c r="AR58" s="2010"/>
    </row>
    <row r="59" spans="1:44" ht="14.25">
      <c r="A59" s="2572" t="s">
        <v>656</v>
      </c>
      <c r="B59" s="2573">
        <v>1.5</v>
      </c>
      <c r="C59" s="1027">
        <v>1.5</v>
      </c>
      <c r="D59" s="2513"/>
      <c r="E59" s="2512"/>
      <c r="F59" s="2512"/>
      <c r="G59" s="2512"/>
      <c r="H59" s="2512"/>
      <c r="I59" s="2512"/>
      <c r="J59" s="2512"/>
      <c r="K59" s="2599"/>
      <c r="L59" s="2599"/>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P59" s="2010"/>
      <c r="AQ59" s="2010"/>
      <c r="AR59" s="2010"/>
    </row>
    <row r="60" spans="1:44" ht="14.25">
      <c r="A60" s="2572" t="s">
        <v>657</v>
      </c>
      <c r="B60" s="2573"/>
      <c r="C60" s="2512"/>
      <c r="D60" s="2513"/>
      <c r="E60" s="2512"/>
      <c r="F60" s="2512"/>
      <c r="G60" s="2512"/>
      <c r="H60" s="2512"/>
      <c r="I60" s="2512"/>
      <c r="J60" s="2512"/>
      <c r="K60" s="2599"/>
      <c r="L60" s="2599"/>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c r="AN60" s="2010"/>
      <c r="AO60" s="2010"/>
      <c r="AP60" s="2010"/>
      <c r="AQ60" s="2010"/>
      <c r="AR60" s="2010"/>
    </row>
    <row r="61" spans="1:44" ht="14.25">
      <c r="A61" s="2572" t="s">
        <v>658</v>
      </c>
      <c r="B61" s="2573"/>
      <c r="C61" s="2512"/>
      <c r="D61" s="2513"/>
      <c r="E61" s="2512"/>
      <c r="F61" s="2512"/>
      <c r="G61" s="2512"/>
      <c r="H61" s="2512"/>
      <c r="I61" s="2512"/>
      <c r="J61" s="2512"/>
      <c r="K61" s="2599"/>
      <c r="L61" s="2599"/>
      <c r="M61" s="2010"/>
      <c r="N61" s="2010"/>
      <c r="O61" s="2010"/>
      <c r="P61" s="2010"/>
      <c r="Q61" s="2010"/>
      <c r="R61" s="2010"/>
      <c r="S61" s="2010"/>
      <c r="T61" s="2010"/>
      <c r="U61" s="2010"/>
      <c r="V61" s="2010"/>
      <c r="W61" s="2010"/>
      <c r="X61" s="2010"/>
      <c r="Y61" s="2010"/>
      <c r="Z61" s="2010"/>
      <c r="AA61" s="2010"/>
      <c r="AB61" s="2010"/>
      <c r="AC61" s="2010"/>
      <c r="AD61" s="2010"/>
      <c r="AE61" s="2010"/>
      <c r="AF61" s="2010"/>
      <c r="AG61" s="2010"/>
      <c r="AH61" s="2010"/>
      <c r="AI61" s="2010"/>
      <c r="AJ61" s="2010"/>
      <c r="AK61" s="2010"/>
      <c r="AL61" s="2010"/>
      <c r="AM61" s="2010"/>
      <c r="AN61" s="2010"/>
      <c r="AO61" s="2010"/>
      <c r="AP61" s="2010"/>
      <c r="AQ61" s="2010"/>
      <c r="AR61" s="2010"/>
    </row>
    <row r="62" spans="1:44" ht="14.25">
      <c r="A62" s="2572" t="s">
        <v>659</v>
      </c>
      <c r="B62" s="2573"/>
      <c r="C62" s="2512"/>
      <c r="D62" s="2513"/>
      <c r="E62" s="2512"/>
      <c r="F62" s="2512"/>
      <c r="G62" s="2512"/>
      <c r="H62" s="2512"/>
      <c r="I62" s="2512"/>
      <c r="J62" s="2512"/>
      <c r="K62" s="2599"/>
      <c r="L62" s="2599"/>
      <c r="M62" s="2010"/>
      <c r="N62" s="2010"/>
      <c r="O62" s="2010"/>
      <c r="P62" s="2010"/>
      <c r="Q62" s="2010"/>
      <c r="R62" s="2010"/>
      <c r="S62" s="2010"/>
      <c r="T62" s="2010"/>
      <c r="U62" s="2010"/>
      <c r="V62" s="2010"/>
      <c r="W62" s="2010"/>
      <c r="X62" s="2010"/>
      <c r="Y62" s="2010"/>
      <c r="Z62" s="2010"/>
      <c r="AA62" s="2010"/>
      <c r="AB62" s="2010"/>
      <c r="AC62" s="2010"/>
      <c r="AD62" s="2010"/>
      <c r="AE62" s="2010"/>
      <c r="AF62" s="2010"/>
      <c r="AG62" s="2010"/>
      <c r="AH62" s="2010"/>
      <c r="AI62" s="2010"/>
      <c r="AJ62" s="2010"/>
      <c r="AK62" s="2010"/>
      <c r="AL62" s="2010"/>
      <c r="AM62" s="2010"/>
      <c r="AN62" s="2010"/>
      <c r="AO62" s="2010"/>
      <c r="AP62" s="2010"/>
      <c r="AQ62" s="2010"/>
      <c r="AR62" s="2010"/>
    </row>
    <row r="63" spans="1:44" ht="14.25">
      <c r="A63" s="2574" t="s">
        <v>660</v>
      </c>
      <c r="B63" s="2575"/>
      <c r="C63" s="2512"/>
      <c r="D63" s="2513"/>
      <c r="E63" s="2512"/>
      <c r="F63" s="2512"/>
      <c r="G63" s="2512"/>
      <c r="H63" s="2512"/>
      <c r="I63" s="2512"/>
      <c r="J63" s="2512"/>
      <c r="K63" s="2599"/>
      <c r="L63" s="2599"/>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0"/>
      <c r="AK63" s="2010"/>
      <c r="AL63" s="2010"/>
      <c r="AM63" s="2010"/>
      <c r="AN63" s="2010"/>
      <c r="AO63" s="2010"/>
      <c r="AP63" s="2010"/>
      <c r="AQ63" s="2010"/>
      <c r="AR63" s="2010"/>
    </row>
    <row r="64" spans="1:44" s="232" customFormat="1">
      <c r="A64" s="2576"/>
      <c r="B64" s="2010"/>
      <c r="C64" s="2010"/>
      <c r="D64" s="2510"/>
      <c r="E64" s="2010"/>
      <c r="F64" s="2010"/>
      <c r="G64" s="2010"/>
      <c r="H64" s="2010"/>
      <c r="I64" s="2010"/>
      <c r="J64" s="2010"/>
      <c r="K64" s="2599"/>
      <c r="L64" s="2599"/>
      <c r="M64" s="2010"/>
      <c r="N64" s="2010"/>
      <c r="O64" s="2010"/>
      <c r="P64" s="2010"/>
      <c r="Q64" s="2010"/>
      <c r="R64" s="2010"/>
      <c r="S64" s="2010"/>
      <c r="T64" s="2010"/>
      <c r="U64" s="2010"/>
      <c r="V64" s="2010"/>
      <c r="W64" s="2010"/>
      <c r="X64" s="2010"/>
      <c r="Y64" s="2010"/>
      <c r="Z64" s="2010"/>
      <c r="AA64" s="2010"/>
      <c r="AB64" s="2010"/>
      <c r="AC64" s="2010"/>
      <c r="AD64" s="2010"/>
      <c r="AE64" s="2010"/>
      <c r="AF64" s="2010"/>
      <c r="AG64" s="2010"/>
      <c r="AH64" s="2010"/>
      <c r="AI64" s="2010"/>
      <c r="AJ64" s="2010"/>
      <c r="AK64" s="2010"/>
      <c r="AL64" s="2010"/>
      <c r="AM64" s="2010"/>
      <c r="AN64" s="2010"/>
      <c r="AO64" s="2010"/>
      <c r="AP64" s="2010"/>
      <c r="AQ64" s="2010"/>
      <c r="AR64" s="2010"/>
    </row>
    <row r="65" spans="1:44" s="232" customFormat="1">
      <c r="A65" s="2576"/>
      <c r="B65" s="2010"/>
      <c r="C65" s="2010"/>
      <c r="D65" s="2510"/>
      <c r="E65" s="2010"/>
      <c r="F65" s="2010"/>
      <c r="G65" s="2010"/>
      <c r="H65" s="2010"/>
      <c r="I65" s="2010"/>
      <c r="J65" s="2010"/>
      <c r="K65" s="2599"/>
      <c r="L65" s="2599"/>
      <c r="M65" s="2010"/>
      <c r="N65" s="2010"/>
      <c r="O65" s="2010"/>
      <c r="P65" s="2010"/>
      <c r="Q65" s="2010"/>
      <c r="R65" s="2010"/>
      <c r="S65" s="2010"/>
      <c r="T65" s="2010"/>
      <c r="U65" s="2010"/>
      <c r="V65" s="2010"/>
      <c r="W65" s="2010"/>
      <c r="X65" s="2010"/>
      <c r="Y65" s="2010"/>
      <c r="Z65" s="2010"/>
      <c r="AA65" s="2010"/>
      <c r="AB65" s="2010"/>
      <c r="AC65" s="2010"/>
      <c r="AD65" s="2010"/>
      <c r="AE65" s="2010"/>
      <c r="AF65" s="2010"/>
      <c r="AG65" s="2010"/>
      <c r="AH65" s="2010"/>
      <c r="AI65" s="2010"/>
      <c r="AJ65" s="2010"/>
      <c r="AK65" s="2010"/>
      <c r="AL65" s="2010"/>
      <c r="AM65" s="2010"/>
      <c r="AN65" s="2010"/>
      <c r="AO65" s="2010"/>
      <c r="AP65" s="2010"/>
      <c r="AQ65" s="2010"/>
      <c r="AR65" s="2010"/>
    </row>
    <row r="66" spans="1:44" s="232" customFormat="1">
      <c r="A66" s="2576"/>
      <c r="B66" s="2010"/>
      <c r="C66" s="2010"/>
      <c r="D66" s="2510"/>
      <c r="E66" s="2010"/>
      <c r="F66" s="2010"/>
      <c r="G66" s="2010"/>
      <c r="H66" s="2010"/>
      <c r="I66" s="2010"/>
      <c r="J66" s="2010"/>
      <c r="K66" s="2599"/>
      <c r="L66" s="2599"/>
      <c r="M66" s="2010"/>
      <c r="N66" s="2010"/>
      <c r="O66" s="2010"/>
      <c r="P66" s="2010"/>
      <c r="Q66" s="2010"/>
      <c r="R66" s="2010"/>
      <c r="S66" s="2010"/>
      <c r="T66" s="2010"/>
      <c r="U66" s="2010"/>
      <c r="V66" s="2010"/>
      <c r="W66" s="2010"/>
      <c r="X66" s="2010"/>
      <c r="Y66" s="2010"/>
      <c r="Z66" s="2010"/>
      <c r="AA66" s="2010"/>
      <c r="AB66" s="2010"/>
      <c r="AC66" s="2010"/>
      <c r="AD66" s="2010"/>
      <c r="AE66" s="2010"/>
      <c r="AF66" s="2010"/>
      <c r="AG66" s="2010"/>
      <c r="AH66" s="2010"/>
      <c r="AI66" s="2010"/>
      <c r="AJ66" s="2010"/>
      <c r="AK66" s="2010"/>
      <c r="AL66" s="2010"/>
      <c r="AM66" s="2010"/>
      <c r="AN66" s="2010"/>
      <c r="AO66" s="2010"/>
      <c r="AP66" s="2010"/>
      <c r="AQ66" s="2010"/>
      <c r="AR66" s="2010"/>
    </row>
    <row r="67" spans="1:44" s="232" customFormat="1">
      <c r="A67" s="2576"/>
      <c r="B67" s="2010"/>
      <c r="C67" s="2010"/>
      <c r="D67" s="2510"/>
      <c r="E67" s="2010"/>
      <c r="F67" s="2010"/>
      <c r="G67" s="2010"/>
      <c r="H67" s="2010"/>
      <c r="I67" s="2010"/>
      <c r="J67" s="2010"/>
      <c r="K67" s="2599"/>
      <c r="L67" s="2599"/>
      <c r="M67" s="2010"/>
      <c r="N67" s="2010"/>
      <c r="O67" s="2010"/>
      <c r="P67" s="2010"/>
      <c r="Q67" s="2010"/>
      <c r="R67" s="2010"/>
      <c r="S67" s="2010"/>
      <c r="T67" s="2010"/>
      <c r="U67" s="2010"/>
      <c r="V67" s="2010"/>
      <c r="W67" s="2010"/>
      <c r="X67" s="2010"/>
      <c r="Y67" s="2010"/>
      <c r="Z67" s="2010"/>
      <c r="AA67" s="2010"/>
      <c r="AB67" s="2010"/>
      <c r="AC67" s="2010"/>
      <c r="AD67" s="2010"/>
      <c r="AE67" s="2010"/>
      <c r="AF67" s="2010"/>
      <c r="AG67" s="2010"/>
      <c r="AH67" s="2010"/>
      <c r="AI67" s="2010"/>
      <c r="AJ67" s="2010"/>
      <c r="AK67" s="2010"/>
      <c r="AL67" s="2010"/>
      <c r="AM67" s="2010"/>
      <c r="AN67" s="2010"/>
      <c r="AO67" s="2010"/>
      <c r="AP67" s="2010"/>
      <c r="AQ67" s="2010"/>
      <c r="AR67" s="2010"/>
    </row>
    <row r="68" spans="1:44" s="232" customFormat="1">
      <c r="A68" s="2576"/>
      <c r="B68" s="2010"/>
      <c r="C68" s="2010"/>
      <c r="D68" s="2510"/>
      <c r="E68" s="2010"/>
      <c r="F68" s="2010"/>
      <c r="G68" s="2010"/>
      <c r="H68" s="2010"/>
      <c r="I68" s="2010"/>
      <c r="J68" s="2010"/>
      <c r="K68" s="2599"/>
      <c r="L68" s="2599"/>
      <c r="M68" s="2010"/>
      <c r="N68" s="2010"/>
      <c r="O68" s="2010"/>
      <c r="P68" s="2010"/>
      <c r="Q68" s="2010"/>
      <c r="R68" s="2010"/>
      <c r="S68" s="2010"/>
      <c r="T68" s="2010"/>
      <c r="U68" s="2010"/>
      <c r="V68" s="2010"/>
      <c r="W68" s="2010"/>
      <c r="X68" s="2010"/>
      <c r="Y68" s="2010"/>
      <c r="Z68" s="2010"/>
      <c r="AA68" s="2010"/>
      <c r="AB68" s="2010"/>
      <c r="AC68" s="2010"/>
      <c r="AD68" s="2010"/>
      <c r="AE68" s="2010"/>
      <c r="AF68" s="2010"/>
      <c r="AG68" s="2010"/>
      <c r="AH68" s="2010"/>
      <c r="AI68" s="2010"/>
      <c r="AJ68" s="2010"/>
      <c r="AK68" s="2010"/>
      <c r="AL68" s="2010"/>
      <c r="AM68" s="2010"/>
      <c r="AN68" s="2010"/>
      <c r="AO68" s="2010"/>
      <c r="AP68" s="2010"/>
      <c r="AQ68" s="2010"/>
      <c r="AR68" s="2010"/>
    </row>
    <row r="69" spans="1:44" s="232" customFormat="1">
      <c r="A69" s="2400"/>
      <c r="D69" s="2653"/>
      <c r="K69" s="323"/>
      <c r="L69" s="323"/>
    </row>
    <row r="70" spans="1:44" s="232" customFormat="1">
      <c r="A70" s="2400"/>
      <c r="D70" s="2653"/>
      <c r="K70" s="323"/>
      <c r="L70" s="323"/>
    </row>
    <row r="71" spans="1:44" s="232" customFormat="1">
      <c r="A71" s="2400"/>
      <c r="D71" s="2653"/>
      <c r="K71" s="323"/>
      <c r="L71" s="323"/>
    </row>
    <row r="72" spans="1:44" s="232" customFormat="1">
      <c r="A72" s="2400"/>
      <c r="D72" s="2653"/>
      <c r="K72" s="323"/>
      <c r="L72" s="323"/>
    </row>
    <row r="73" spans="1:44" s="232" customFormat="1">
      <c r="A73" s="2400"/>
      <c r="D73" s="2653"/>
      <c r="K73" s="323"/>
      <c r="L73" s="323"/>
    </row>
    <row r="74" spans="1:44" s="232" customFormat="1">
      <c r="A74" s="2400"/>
      <c r="D74" s="2653"/>
      <c r="K74" s="323"/>
      <c r="L74" s="323"/>
    </row>
    <row r="75" spans="1:44" s="232" customFormat="1">
      <c r="A75" s="2400"/>
      <c r="D75" s="2653"/>
      <c r="K75" s="323"/>
      <c r="L75" s="323"/>
    </row>
    <row r="76" spans="1:44" s="232" customFormat="1">
      <c r="A76" s="2400"/>
      <c r="D76" s="2653"/>
      <c r="K76" s="323"/>
      <c r="L76" s="323"/>
    </row>
    <row r="77" spans="1:44" s="232" customFormat="1">
      <c r="A77" s="2400"/>
      <c r="D77" s="2653"/>
      <c r="K77" s="323"/>
      <c r="L77" s="323"/>
    </row>
    <row r="78" spans="1:44" s="232" customFormat="1">
      <c r="A78" s="2400"/>
      <c r="D78" s="2653"/>
      <c r="K78" s="323"/>
      <c r="L78" s="323"/>
    </row>
    <row r="79" spans="1:44" s="232" customFormat="1">
      <c r="A79" s="2400"/>
      <c r="D79" s="2653"/>
      <c r="K79" s="323"/>
      <c r="L79" s="323"/>
    </row>
    <row r="80" spans="1:44" s="232" customFormat="1">
      <c r="A80" s="2400"/>
      <c r="D80" s="2653"/>
      <c r="K80" s="323"/>
      <c r="L80" s="323"/>
    </row>
    <row r="81" spans="1:12" s="232" customFormat="1">
      <c r="A81" s="2400"/>
      <c r="D81" s="2653"/>
      <c r="K81" s="323"/>
      <c r="L81" s="323"/>
    </row>
    <row r="82" spans="1:12" s="232" customFormat="1">
      <c r="A82" s="2400"/>
      <c r="D82" s="2653"/>
      <c r="K82" s="323"/>
      <c r="L82" s="323"/>
    </row>
    <row r="83" spans="1:12" s="232" customFormat="1">
      <c r="A83" s="2400"/>
      <c r="D83" s="2653"/>
      <c r="K83" s="323"/>
      <c r="L83" s="323"/>
    </row>
    <row r="84" spans="1:12" s="232" customFormat="1">
      <c r="A84" s="2400"/>
      <c r="D84" s="2653"/>
      <c r="K84" s="323"/>
      <c r="L84" s="323"/>
    </row>
    <row r="85" spans="1:12" s="232" customFormat="1">
      <c r="A85" s="2400"/>
      <c r="D85" s="2653"/>
      <c r="K85" s="323"/>
      <c r="L85" s="323"/>
    </row>
    <row r="86" spans="1:12" s="232" customFormat="1">
      <c r="A86" s="2400"/>
      <c r="D86" s="2653"/>
      <c r="K86" s="323"/>
      <c r="L86" s="323"/>
    </row>
    <row r="87" spans="1:12" s="232" customFormat="1">
      <c r="A87" s="2400"/>
      <c r="D87" s="2653"/>
      <c r="K87" s="323"/>
      <c r="L87" s="323"/>
    </row>
    <row r="88" spans="1:12" s="232" customFormat="1">
      <c r="A88" s="2400"/>
      <c r="D88" s="2653"/>
      <c r="K88" s="323"/>
      <c r="L88" s="323"/>
    </row>
    <row r="89" spans="1:12" s="232" customFormat="1">
      <c r="A89" s="2400"/>
      <c r="D89" s="2653"/>
      <c r="K89" s="323"/>
      <c r="L89" s="323"/>
    </row>
    <row r="90" spans="1:12" s="232" customFormat="1">
      <c r="A90" s="2400"/>
      <c r="D90" s="2653"/>
      <c r="K90" s="323"/>
      <c r="L90" s="323"/>
    </row>
    <row r="91" spans="1:12" s="232" customFormat="1">
      <c r="A91" s="2400"/>
      <c r="D91" s="2653"/>
      <c r="K91" s="323"/>
      <c r="L91" s="323"/>
    </row>
    <row r="92" spans="1:12" s="232" customFormat="1">
      <c r="A92" s="2400"/>
      <c r="D92" s="2653"/>
      <c r="K92" s="323"/>
      <c r="L92" s="323"/>
    </row>
    <row r="93" spans="1:12" s="232" customFormat="1">
      <c r="A93" s="2400"/>
      <c r="D93" s="2653"/>
      <c r="K93" s="323"/>
      <c r="L93" s="323"/>
    </row>
    <row r="94" spans="1:12" s="232" customFormat="1">
      <c r="A94" s="2400"/>
      <c r="D94" s="2653"/>
      <c r="K94" s="323"/>
      <c r="L94" s="323"/>
    </row>
    <row r="95" spans="1:12" s="232" customFormat="1">
      <c r="A95" s="2400"/>
      <c r="D95" s="2653"/>
      <c r="K95" s="323"/>
      <c r="L95" s="323"/>
    </row>
    <row r="96" spans="1:12" s="232" customFormat="1">
      <c r="A96" s="2400"/>
      <c r="D96" s="2653"/>
      <c r="K96" s="323"/>
      <c r="L96" s="323"/>
    </row>
    <row r="97" spans="1:12" s="232" customFormat="1">
      <c r="A97" s="2400"/>
      <c r="D97" s="2653"/>
      <c r="K97" s="323"/>
      <c r="L97" s="323"/>
    </row>
    <row r="98" spans="1:12" s="232" customFormat="1">
      <c r="A98" s="2400"/>
      <c r="D98" s="2653"/>
      <c r="K98" s="323"/>
      <c r="L98" s="323"/>
    </row>
    <row r="99" spans="1:12" s="232" customFormat="1">
      <c r="A99" s="2400"/>
      <c r="D99" s="2653"/>
      <c r="K99" s="323"/>
      <c r="L99" s="323"/>
    </row>
    <row r="100" spans="1:12" s="232" customFormat="1">
      <c r="A100" s="2400"/>
      <c r="D100" s="2653"/>
      <c r="K100" s="323"/>
      <c r="L100" s="323"/>
    </row>
    <row r="101" spans="1:12" s="232" customFormat="1">
      <c r="A101" s="2400"/>
      <c r="D101" s="2653"/>
      <c r="K101" s="323"/>
      <c r="L101" s="323"/>
    </row>
    <row r="102" spans="1:12" s="232" customFormat="1">
      <c r="A102" s="2400"/>
      <c r="D102" s="2653"/>
      <c r="K102" s="323"/>
      <c r="L102" s="323"/>
    </row>
    <row r="103" spans="1:12" s="232" customFormat="1">
      <c r="A103" s="2400"/>
      <c r="D103" s="2653"/>
      <c r="K103" s="323"/>
      <c r="L103" s="323"/>
    </row>
    <row r="104" spans="1:12" s="232" customFormat="1">
      <c r="A104" s="2400"/>
      <c r="D104" s="2653"/>
      <c r="K104" s="323"/>
      <c r="L104" s="323"/>
    </row>
    <row r="105" spans="1:12" s="232" customFormat="1">
      <c r="A105" s="2400"/>
      <c r="D105" s="2653"/>
      <c r="K105" s="323"/>
      <c r="L105" s="323"/>
    </row>
    <row r="106" spans="1:12" s="232" customFormat="1">
      <c r="A106" s="2400"/>
      <c r="D106" s="2653"/>
      <c r="K106" s="323"/>
      <c r="L106" s="323"/>
    </row>
    <row r="107" spans="1:12" s="232" customFormat="1">
      <c r="A107" s="2400"/>
      <c r="D107" s="2653"/>
      <c r="K107" s="323"/>
      <c r="L107" s="323"/>
    </row>
    <row r="108" spans="1:12" s="232" customFormat="1">
      <c r="A108" s="2400"/>
      <c r="D108" s="2653"/>
      <c r="K108" s="323"/>
      <c r="L108" s="323"/>
    </row>
    <row r="109" spans="1:12" s="232" customFormat="1">
      <c r="A109" s="2400"/>
      <c r="D109" s="2653"/>
      <c r="K109" s="323"/>
      <c r="L109" s="323"/>
    </row>
    <row r="110" spans="1:12" s="232" customFormat="1">
      <c r="A110" s="2400"/>
      <c r="D110" s="2653"/>
      <c r="K110" s="323"/>
      <c r="L110" s="323"/>
    </row>
    <row r="111" spans="1:12" s="232" customFormat="1">
      <c r="A111" s="2400"/>
      <c r="D111" s="2653"/>
      <c r="K111" s="323"/>
      <c r="L111" s="323"/>
    </row>
    <row r="112" spans="1:12" s="232" customFormat="1">
      <c r="A112" s="2400"/>
      <c r="D112" s="2653"/>
      <c r="K112" s="323"/>
      <c r="L112" s="323"/>
    </row>
    <row r="113" spans="1:12" s="232" customFormat="1">
      <c r="A113" s="2400"/>
      <c r="D113" s="2653"/>
      <c r="K113" s="323"/>
      <c r="L113" s="323"/>
    </row>
    <row r="114" spans="1:12" s="232" customFormat="1">
      <c r="A114" s="2400"/>
      <c r="D114" s="2653"/>
      <c r="K114" s="323"/>
      <c r="L114" s="323"/>
    </row>
    <row r="115" spans="1:12" s="232" customFormat="1">
      <c r="A115" s="2400"/>
      <c r="D115" s="2653"/>
      <c r="K115" s="323"/>
      <c r="L115" s="323"/>
    </row>
    <row r="116" spans="1:12" s="232" customFormat="1">
      <c r="A116" s="2400"/>
      <c r="D116" s="2653"/>
      <c r="K116" s="323"/>
      <c r="L116" s="323"/>
    </row>
    <row r="117" spans="1:12" s="232" customFormat="1">
      <c r="A117" s="2400"/>
      <c r="D117" s="2653"/>
      <c r="K117" s="323"/>
      <c r="L117" s="323"/>
    </row>
    <row r="118" spans="1:12" s="232" customFormat="1">
      <c r="A118" s="2400"/>
      <c r="D118" s="2653"/>
      <c r="K118" s="323"/>
      <c r="L118" s="323"/>
    </row>
    <row r="119" spans="1:12" s="232" customFormat="1">
      <c r="A119" s="2400"/>
      <c r="D119" s="2653"/>
      <c r="K119" s="323"/>
      <c r="L119" s="323"/>
    </row>
    <row r="120" spans="1:12" s="232" customFormat="1">
      <c r="A120" s="2400"/>
      <c r="D120" s="2653"/>
      <c r="K120" s="323"/>
      <c r="L120" s="323"/>
    </row>
    <row r="121" spans="1:12" s="232" customFormat="1">
      <c r="A121" s="2400"/>
      <c r="D121" s="2653"/>
      <c r="K121" s="323"/>
      <c r="L121" s="323"/>
    </row>
    <row r="122" spans="1:12" s="232" customFormat="1">
      <c r="A122" s="2400"/>
      <c r="D122" s="2653"/>
      <c r="K122" s="323"/>
      <c r="L122" s="323"/>
    </row>
    <row r="123" spans="1:12" s="232" customFormat="1">
      <c r="A123" s="2400"/>
      <c r="D123" s="2653"/>
      <c r="K123" s="323"/>
      <c r="L123" s="323"/>
    </row>
    <row r="124" spans="1:12" s="232" customFormat="1">
      <c r="A124" s="2400"/>
      <c r="D124" s="2653"/>
      <c r="K124" s="323"/>
      <c r="L124" s="323"/>
    </row>
    <row r="125" spans="1:12" s="232" customFormat="1">
      <c r="A125" s="2400"/>
      <c r="D125" s="2653"/>
      <c r="K125" s="323"/>
      <c r="L125" s="323"/>
    </row>
    <row r="126" spans="1:12" s="232" customFormat="1">
      <c r="A126" s="2400"/>
      <c r="D126" s="2653"/>
      <c r="K126" s="323"/>
      <c r="L126" s="323"/>
    </row>
    <row r="127" spans="1:12" s="232" customFormat="1">
      <c r="A127" s="2400"/>
      <c r="D127" s="2653"/>
      <c r="K127" s="323"/>
      <c r="L127" s="323"/>
    </row>
    <row r="128" spans="1:12" s="232" customFormat="1">
      <c r="A128" s="2400"/>
      <c r="D128" s="2653"/>
      <c r="K128" s="323"/>
      <c r="L128" s="323"/>
    </row>
    <row r="129" spans="1:12" s="232" customFormat="1">
      <c r="A129" s="2400"/>
      <c r="D129" s="2653"/>
      <c r="K129" s="323"/>
      <c r="L129" s="323"/>
    </row>
    <row r="130" spans="1:12" s="232" customFormat="1">
      <c r="A130" s="2400"/>
      <c r="D130" s="2653"/>
      <c r="K130" s="323"/>
      <c r="L130" s="323"/>
    </row>
    <row r="131" spans="1:12" s="232" customFormat="1">
      <c r="A131" s="2400"/>
      <c r="D131" s="2653"/>
      <c r="K131" s="323"/>
      <c r="L131" s="323"/>
    </row>
    <row r="132" spans="1:12" s="232" customFormat="1">
      <c r="A132" s="2400"/>
      <c r="D132" s="2653"/>
      <c r="K132" s="323"/>
      <c r="L132" s="323"/>
    </row>
    <row r="133" spans="1:12" s="232" customFormat="1">
      <c r="A133" s="2400"/>
      <c r="D133" s="2653"/>
      <c r="K133" s="323"/>
      <c r="L133" s="323"/>
    </row>
    <row r="134" spans="1:12" s="231" customFormat="1">
      <c r="A134" s="2654"/>
      <c r="D134" s="2655"/>
      <c r="K134" s="228"/>
      <c r="L134" s="228"/>
    </row>
    <row r="135" spans="1:12" s="231" customFormat="1">
      <c r="A135" s="2654"/>
      <c r="D135" s="2655"/>
      <c r="K135" s="228"/>
      <c r="L135" s="228"/>
    </row>
    <row r="136" spans="1:12" s="231" customFormat="1">
      <c r="A136" s="2654"/>
      <c r="D136" s="2655"/>
      <c r="K136" s="228"/>
      <c r="L136" s="228"/>
    </row>
    <row r="137" spans="1:12" s="231" customFormat="1">
      <c r="A137" s="2654"/>
      <c r="D137" s="2655"/>
      <c r="K137" s="228"/>
      <c r="L137" s="228"/>
    </row>
    <row r="138" spans="1:12" s="231" customFormat="1">
      <c r="A138" s="2654"/>
      <c r="D138" s="2655"/>
      <c r="K138" s="228"/>
      <c r="L138" s="228"/>
    </row>
    <row r="139" spans="1:12" s="231" customFormat="1">
      <c r="A139" s="2654"/>
      <c r="D139" s="2655"/>
      <c r="K139" s="228"/>
      <c r="L139" s="228"/>
    </row>
    <row r="140" spans="1:12" s="231" customFormat="1">
      <c r="A140" s="2654"/>
      <c r="D140" s="2655"/>
      <c r="K140" s="228"/>
      <c r="L140" s="228"/>
    </row>
    <row r="141" spans="1:12" s="231" customFormat="1">
      <c r="A141" s="2654"/>
      <c r="D141" s="2655"/>
      <c r="K141" s="228"/>
      <c r="L141" s="228"/>
    </row>
    <row r="142" spans="1:12" s="231" customFormat="1">
      <c r="A142" s="2654"/>
      <c r="D142" s="2655"/>
      <c r="K142" s="228"/>
      <c r="L142" s="228"/>
    </row>
    <row r="143" spans="1:12" s="231" customFormat="1">
      <c r="A143" s="2654"/>
      <c r="D143" s="2655"/>
      <c r="K143" s="228"/>
      <c r="L143" s="228"/>
    </row>
    <row r="144" spans="1:12" s="231" customFormat="1">
      <c r="A144" s="2654"/>
      <c r="D144" s="2655"/>
      <c r="K144" s="228"/>
      <c r="L144" s="228"/>
    </row>
    <row r="145" spans="1:12" s="231" customFormat="1">
      <c r="A145" s="2654"/>
      <c r="D145" s="2655"/>
      <c r="K145" s="228"/>
      <c r="L145" s="228"/>
    </row>
    <row r="146" spans="1:12" s="231" customFormat="1">
      <c r="A146" s="2654"/>
      <c r="D146" s="2655"/>
      <c r="K146" s="228"/>
      <c r="L146" s="228"/>
    </row>
    <row r="147" spans="1:12" s="231" customFormat="1">
      <c r="A147" s="2654"/>
      <c r="D147" s="2655"/>
      <c r="K147" s="228"/>
      <c r="L147" s="228"/>
    </row>
    <row r="148" spans="1:12" s="231" customFormat="1">
      <c r="A148" s="2654"/>
      <c r="D148" s="2655"/>
      <c r="K148" s="228"/>
      <c r="L148" s="228"/>
    </row>
    <row r="149" spans="1:12" s="231" customFormat="1">
      <c r="A149" s="2654"/>
      <c r="D149" s="2655"/>
      <c r="K149" s="228"/>
      <c r="L149" s="228"/>
    </row>
    <row r="150" spans="1:12" s="231" customFormat="1">
      <c r="A150" s="2654"/>
      <c r="D150" s="2655"/>
      <c r="K150" s="228"/>
      <c r="L150" s="228"/>
    </row>
    <row r="151" spans="1:12" s="231" customFormat="1">
      <c r="A151" s="2654"/>
      <c r="D151" s="2655"/>
      <c r="K151" s="228"/>
      <c r="L151" s="228"/>
    </row>
    <row r="152" spans="1:12" s="231" customFormat="1">
      <c r="A152" s="2654"/>
      <c r="D152" s="2655"/>
      <c r="K152" s="228"/>
      <c r="L152" s="228"/>
    </row>
    <row r="153" spans="1:12" s="231" customFormat="1">
      <c r="A153" s="2654"/>
      <c r="D153" s="2655"/>
      <c r="K153" s="228"/>
      <c r="L153" s="228"/>
    </row>
    <row r="154" spans="1:12" s="231" customFormat="1">
      <c r="A154" s="2654"/>
      <c r="D154" s="2655"/>
      <c r="K154" s="228"/>
      <c r="L154" s="228"/>
    </row>
    <row r="155" spans="1:12" s="231" customFormat="1">
      <c r="A155" s="2654"/>
      <c r="D155" s="2655"/>
      <c r="K155" s="228"/>
      <c r="L155" s="228"/>
    </row>
    <row r="156" spans="1:12" s="231" customFormat="1">
      <c r="A156" s="2654"/>
      <c r="D156" s="2655"/>
      <c r="K156" s="228"/>
      <c r="L156" s="228"/>
    </row>
    <row r="157" spans="1:12" s="231" customFormat="1">
      <c r="A157" s="2654"/>
      <c r="D157" s="2655"/>
      <c r="K157" s="228"/>
      <c r="L157" s="228"/>
    </row>
    <row r="158" spans="1:12" s="231" customFormat="1">
      <c r="A158" s="2654"/>
      <c r="D158" s="2655"/>
      <c r="K158" s="228"/>
      <c r="L158" s="228"/>
    </row>
    <row r="159" spans="1:12" s="231" customFormat="1">
      <c r="A159" s="2654"/>
      <c r="D159" s="2655"/>
      <c r="K159" s="228"/>
      <c r="L159" s="228"/>
    </row>
    <row r="160" spans="1:12" s="231" customFormat="1">
      <c r="A160" s="2654"/>
      <c r="D160" s="2655"/>
      <c r="K160" s="228"/>
      <c r="L160" s="228"/>
    </row>
    <row r="161" spans="1:12" s="231" customFormat="1">
      <c r="A161" s="2654"/>
      <c r="D161" s="2655"/>
      <c r="K161" s="228"/>
      <c r="L161" s="228"/>
    </row>
    <row r="162" spans="1:12" s="231" customFormat="1">
      <c r="A162" s="2654"/>
      <c r="D162" s="2655"/>
      <c r="K162" s="228"/>
      <c r="L162" s="228"/>
    </row>
    <row r="163" spans="1:12" s="231" customFormat="1">
      <c r="A163" s="2654"/>
      <c r="D163" s="2655"/>
      <c r="K163" s="228"/>
      <c r="L163" s="228"/>
    </row>
    <row r="164" spans="1:12" s="231" customFormat="1">
      <c r="A164" s="2654"/>
      <c r="D164" s="2655"/>
      <c r="K164" s="228"/>
      <c r="L164" s="228"/>
    </row>
    <row r="165" spans="1:12" s="231" customFormat="1">
      <c r="A165" s="2654"/>
      <c r="D165" s="2655"/>
      <c r="K165" s="228"/>
      <c r="L165" s="228"/>
    </row>
    <row r="166" spans="1:12" s="231" customFormat="1">
      <c r="A166" s="2654"/>
      <c r="D166" s="2655"/>
      <c r="K166" s="228"/>
      <c r="L166" s="228"/>
    </row>
    <row r="167" spans="1:12" s="231" customFormat="1">
      <c r="A167" s="2654"/>
      <c r="D167" s="2655"/>
      <c r="K167" s="228"/>
      <c r="L167" s="228"/>
    </row>
    <row r="168" spans="1:12" s="231" customFormat="1">
      <c r="A168" s="2654"/>
      <c r="D168" s="2655"/>
      <c r="K168" s="228"/>
      <c r="L168" s="228"/>
    </row>
    <row r="169" spans="1:12" s="231" customFormat="1">
      <c r="A169" s="2654"/>
      <c r="D169" s="2655"/>
      <c r="K169" s="228"/>
      <c r="L169" s="228"/>
    </row>
    <row r="170" spans="1:12" s="231" customFormat="1">
      <c r="A170" s="2654"/>
      <c r="D170" s="2655"/>
      <c r="K170" s="228"/>
      <c r="L170" s="228"/>
    </row>
    <row r="171" spans="1:12" s="231" customFormat="1">
      <c r="A171" s="2654"/>
      <c r="D171" s="2655"/>
      <c r="K171" s="228"/>
      <c r="L171" s="228"/>
    </row>
    <row r="172" spans="1:12" s="231" customFormat="1">
      <c r="A172" s="2654"/>
      <c r="D172" s="2655"/>
      <c r="K172" s="228"/>
      <c r="L172" s="228"/>
    </row>
    <row r="173" spans="1:12" s="231" customFormat="1">
      <c r="A173" s="2654"/>
      <c r="D173" s="2655"/>
      <c r="K173" s="228"/>
      <c r="L173" s="228"/>
    </row>
    <row r="174" spans="1:12" s="231" customFormat="1">
      <c r="A174" s="2654"/>
      <c r="D174" s="2655"/>
      <c r="K174" s="228"/>
      <c r="L174" s="228"/>
    </row>
  </sheetData>
  <sheetProtection formatCells="0" formatColumns="0" formatRows="0"/>
  <phoneticPr fontId="215"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filterMode="1"/>
  <dimension ref="A1:G1075"/>
  <sheetViews>
    <sheetView workbookViewId="0">
      <selection activeCell="K157" sqref="K157"/>
    </sheetView>
  </sheetViews>
  <sheetFormatPr defaultRowHeight="13.5"/>
  <sheetData>
    <row r="1" spans="1:7" ht="26.25" thickBot="1">
      <c r="A1" s="3094" t="s">
        <v>2250</v>
      </c>
      <c r="B1" s="3209" t="s">
        <v>3162</v>
      </c>
      <c r="C1" s="3210"/>
      <c r="D1" s="3095" t="s">
        <v>3019</v>
      </c>
      <c r="E1" s="3095" t="s">
        <v>3163</v>
      </c>
      <c r="F1" s="3096" t="s">
        <v>3695</v>
      </c>
      <c r="G1" s="3097"/>
    </row>
    <row r="2" spans="1:7" s="3111" customFormat="1" ht="15" hidden="1" thickBot="1">
      <c r="A2" s="3107">
        <v>115</v>
      </c>
      <c r="B2" s="3211" t="s">
        <v>3696</v>
      </c>
      <c r="C2" s="3212"/>
      <c r="D2" s="3108" t="s">
        <v>3697</v>
      </c>
      <c r="E2" s="3108" t="s">
        <v>463</v>
      </c>
      <c r="F2" s="3109">
        <v>89.53</v>
      </c>
      <c r="G2" s="3110" t="s">
        <v>3166</v>
      </c>
    </row>
    <row r="3" spans="1:7" ht="15" hidden="1" thickBot="1">
      <c r="A3" s="3103">
        <v>116</v>
      </c>
      <c r="B3" s="3205" t="s">
        <v>3696</v>
      </c>
      <c r="C3" s="3206"/>
      <c r="D3" s="3104" t="s">
        <v>3698</v>
      </c>
      <c r="E3" s="3104" t="s">
        <v>463</v>
      </c>
      <c r="F3" s="3105">
        <v>89.53</v>
      </c>
      <c r="G3" s="3106" t="s">
        <v>3166</v>
      </c>
    </row>
    <row r="4" spans="1:7" ht="15" hidden="1" thickBot="1">
      <c r="A4" s="3103">
        <v>120</v>
      </c>
      <c r="B4" s="3205" t="s">
        <v>3696</v>
      </c>
      <c r="C4" s="3206"/>
      <c r="D4" s="3104" t="s">
        <v>3699</v>
      </c>
      <c r="E4" s="3104" t="s">
        <v>463</v>
      </c>
      <c r="F4" s="3105">
        <v>81.77</v>
      </c>
      <c r="G4" s="3106" t="s">
        <v>3166</v>
      </c>
    </row>
    <row r="5" spans="1:7" ht="15" hidden="1" thickBot="1">
      <c r="A5" s="3103">
        <v>121</v>
      </c>
      <c r="B5" s="3205" t="s">
        <v>3696</v>
      </c>
      <c r="C5" s="3206"/>
      <c r="D5" s="3104" t="s">
        <v>3700</v>
      </c>
      <c r="E5" s="3104" t="s">
        <v>463</v>
      </c>
      <c r="F5" s="3105">
        <v>89.53</v>
      </c>
      <c r="G5" s="3106" t="s">
        <v>3166</v>
      </c>
    </row>
    <row r="6" spans="1:7" ht="15" hidden="1" thickBot="1">
      <c r="A6" s="3103">
        <v>156</v>
      </c>
      <c r="B6" s="3205" t="s">
        <v>3696</v>
      </c>
      <c r="C6" s="3206"/>
      <c r="D6" s="3104" t="s">
        <v>3701</v>
      </c>
      <c r="E6" s="3104" t="s">
        <v>463</v>
      </c>
      <c r="F6" s="3105">
        <v>70.12</v>
      </c>
      <c r="G6" s="3106" t="s">
        <v>3166</v>
      </c>
    </row>
    <row r="7" spans="1:7" ht="15" hidden="1" thickBot="1">
      <c r="A7" s="3103">
        <v>160</v>
      </c>
      <c r="B7" s="3205" t="s">
        <v>3696</v>
      </c>
      <c r="C7" s="3206"/>
      <c r="D7" s="3104" t="s">
        <v>3702</v>
      </c>
      <c r="E7" s="3104" t="s">
        <v>463</v>
      </c>
      <c r="F7" s="3105">
        <v>70.12</v>
      </c>
      <c r="G7" s="3106" t="s">
        <v>3166</v>
      </c>
    </row>
    <row r="8" spans="1:7" ht="15" hidden="1" thickBot="1">
      <c r="A8" s="3103">
        <v>200</v>
      </c>
      <c r="B8" s="3205" t="s">
        <v>3696</v>
      </c>
      <c r="C8" s="3206"/>
      <c r="D8" s="3104" t="s">
        <v>3703</v>
      </c>
      <c r="E8" s="3104" t="s">
        <v>463</v>
      </c>
      <c r="F8" s="3105">
        <v>119.11</v>
      </c>
      <c r="G8" s="3106" t="s">
        <v>3166</v>
      </c>
    </row>
    <row r="9" spans="1:7" ht="15" hidden="1" thickBot="1">
      <c r="A9" s="3103">
        <v>201</v>
      </c>
      <c r="B9" s="3205" t="s">
        <v>3696</v>
      </c>
      <c r="C9" s="3206"/>
      <c r="D9" s="3104" t="s">
        <v>3704</v>
      </c>
      <c r="E9" s="3104" t="s">
        <v>463</v>
      </c>
      <c r="F9" s="3105">
        <v>118.38</v>
      </c>
      <c r="G9" s="3106" t="s">
        <v>3166</v>
      </c>
    </row>
    <row r="10" spans="1:7" ht="15" hidden="1" thickBot="1">
      <c r="A10" s="3103">
        <v>202</v>
      </c>
      <c r="B10" s="3205" t="s">
        <v>3696</v>
      </c>
      <c r="C10" s="3206"/>
      <c r="D10" s="3104" t="s">
        <v>3705</v>
      </c>
      <c r="E10" s="3104" t="s">
        <v>463</v>
      </c>
      <c r="F10" s="3105">
        <v>119.11</v>
      </c>
      <c r="G10" s="3106" t="s">
        <v>3166</v>
      </c>
    </row>
    <row r="11" spans="1:7" ht="15" hidden="1" thickBot="1">
      <c r="A11" s="3103">
        <v>204</v>
      </c>
      <c r="B11" s="3205" t="s">
        <v>3696</v>
      </c>
      <c r="C11" s="3206"/>
      <c r="D11" s="3104" t="s">
        <v>3706</v>
      </c>
      <c r="E11" s="3104" t="s">
        <v>463</v>
      </c>
      <c r="F11" s="3105">
        <v>119.11</v>
      </c>
      <c r="G11" s="3106" t="s">
        <v>3166</v>
      </c>
    </row>
    <row r="12" spans="1:7" ht="15" hidden="1" thickBot="1">
      <c r="A12" s="3103">
        <v>205</v>
      </c>
      <c r="B12" s="3205" t="s">
        <v>3696</v>
      </c>
      <c r="C12" s="3206"/>
      <c r="D12" s="3104" t="s">
        <v>3707</v>
      </c>
      <c r="E12" s="3104" t="s">
        <v>463</v>
      </c>
      <c r="F12" s="3105">
        <v>118.38</v>
      </c>
      <c r="G12" s="3106" t="s">
        <v>3166</v>
      </c>
    </row>
    <row r="13" spans="1:7" ht="15" hidden="1" thickBot="1">
      <c r="A13" s="3103">
        <v>206</v>
      </c>
      <c r="B13" s="3205" t="s">
        <v>3696</v>
      </c>
      <c r="C13" s="3206"/>
      <c r="D13" s="3104" t="s">
        <v>3708</v>
      </c>
      <c r="E13" s="3104" t="s">
        <v>463</v>
      </c>
      <c r="F13" s="3105">
        <v>119.11</v>
      </c>
      <c r="G13" s="3106" t="s">
        <v>3166</v>
      </c>
    </row>
    <row r="14" spans="1:7" ht="15" hidden="1" thickBot="1">
      <c r="A14" s="3103">
        <v>209</v>
      </c>
      <c r="B14" s="3205" t="s">
        <v>3696</v>
      </c>
      <c r="C14" s="3206"/>
      <c r="D14" s="3104" t="s">
        <v>3709</v>
      </c>
      <c r="E14" s="3104" t="s">
        <v>463</v>
      </c>
      <c r="F14" s="3105">
        <v>118.38</v>
      </c>
      <c r="G14" s="3106" t="s">
        <v>3166</v>
      </c>
    </row>
    <row r="15" spans="1:7" ht="15" hidden="1" thickBot="1">
      <c r="A15" s="3103">
        <v>210</v>
      </c>
      <c r="B15" s="3205" t="s">
        <v>3696</v>
      </c>
      <c r="C15" s="3206"/>
      <c r="D15" s="3104" t="s">
        <v>3710</v>
      </c>
      <c r="E15" s="3104" t="s">
        <v>463</v>
      </c>
      <c r="F15" s="3105">
        <v>118.38</v>
      </c>
      <c r="G15" s="3106" t="s">
        <v>3166</v>
      </c>
    </row>
    <row r="16" spans="1:7" ht="15" hidden="1" thickBot="1">
      <c r="A16" s="3103">
        <v>217</v>
      </c>
      <c r="B16" s="3205" t="s">
        <v>3696</v>
      </c>
      <c r="C16" s="3206"/>
      <c r="D16" s="3104" t="s">
        <v>3711</v>
      </c>
      <c r="E16" s="3104" t="s">
        <v>463</v>
      </c>
      <c r="F16" s="3105">
        <v>118.38</v>
      </c>
      <c r="G16" s="3106" t="s">
        <v>3166</v>
      </c>
    </row>
    <row r="17" spans="1:7" ht="15" hidden="1" thickBot="1">
      <c r="A17" s="3103">
        <v>218</v>
      </c>
      <c r="B17" s="3205" t="s">
        <v>3696</v>
      </c>
      <c r="C17" s="3206"/>
      <c r="D17" s="3104" t="s">
        <v>3712</v>
      </c>
      <c r="E17" s="3104" t="s">
        <v>463</v>
      </c>
      <c r="F17" s="3105">
        <v>119.11</v>
      </c>
      <c r="G17" s="3106" t="s">
        <v>3166</v>
      </c>
    </row>
    <row r="18" spans="1:7" ht="15" hidden="1" thickBot="1">
      <c r="A18" s="3103">
        <v>219</v>
      </c>
      <c r="B18" s="3205" t="s">
        <v>3696</v>
      </c>
      <c r="C18" s="3206"/>
      <c r="D18" s="3104" t="s">
        <v>3713</v>
      </c>
      <c r="E18" s="3104" t="s">
        <v>463</v>
      </c>
      <c r="F18" s="3105">
        <v>118.38</v>
      </c>
      <c r="G18" s="3106" t="s">
        <v>3166</v>
      </c>
    </row>
    <row r="19" spans="1:7" ht="15" hidden="1" thickBot="1">
      <c r="A19" s="3103">
        <v>220</v>
      </c>
      <c r="B19" s="3205" t="s">
        <v>3696</v>
      </c>
      <c r="C19" s="3206"/>
      <c r="D19" s="3104" t="s">
        <v>3714</v>
      </c>
      <c r="E19" s="3104" t="s">
        <v>463</v>
      </c>
      <c r="F19" s="3105">
        <v>119.11</v>
      </c>
      <c r="G19" s="3106" t="s">
        <v>3166</v>
      </c>
    </row>
    <row r="20" spans="1:7" ht="15" hidden="1" thickBot="1">
      <c r="A20" s="3103">
        <v>221</v>
      </c>
      <c r="B20" s="3205" t="s">
        <v>3696</v>
      </c>
      <c r="C20" s="3206"/>
      <c r="D20" s="3104" t="s">
        <v>3715</v>
      </c>
      <c r="E20" s="3104" t="s">
        <v>463</v>
      </c>
      <c r="F20" s="3105">
        <v>118.38</v>
      </c>
      <c r="G20" s="3106" t="s">
        <v>3166</v>
      </c>
    </row>
    <row r="21" spans="1:7" ht="15" hidden="1" thickBot="1">
      <c r="A21" s="3103">
        <v>222</v>
      </c>
      <c r="B21" s="3205" t="s">
        <v>3696</v>
      </c>
      <c r="C21" s="3206"/>
      <c r="D21" s="3104" t="s">
        <v>3716</v>
      </c>
      <c r="E21" s="3104" t="s">
        <v>463</v>
      </c>
      <c r="F21" s="3105">
        <v>119.11</v>
      </c>
      <c r="G21" s="3106" t="s">
        <v>3166</v>
      </c>
    </row>
    <row r="22" spans="1:7" ht="15" hidden="1" thickBot="1">
      <c r="A22" s="3103">
        <v>224</v>
      </c>
      <c r="B22" s="3205" t="s">
        <v>3696</v>
      </c>
      <c r="C22" s="3206"/>
      <c r="D22" s="3104" t="s">
        <v>3717</v>
      </c>
      <c r="E22" s="3104" t="s">
        <v>463</v>
      </c>
      <c r="F22" s="3105">
        <v>119.11</v>
      </c>
      <c r="G22" s="3106" t="s">
        <v>3166</v>
      </c>
    </row>
    <row r="23" spans="1:7" ht="15" hidden="1" thickBot="1">
      <c r="A23" s="3103">
        <v>228</v>
      </c>
      <c r="B23" s="3205" t="s">
        <v>3696</v>
      </c>
      <c r="C23" s="3206"/>
      <c r="D23" s="3104" t="s">
        <v>3718</v>
      </c>
      <c r="E23" s="3104" t="s">
        <v>463</v>
      </c>
      <c r="F23" s="3105">
        <v>118.38</v>
      </c>
      <c r="G23" s="3106" t="s">
        <v>3166</v>
      </c>
    </row>
    <row r="24" spans="1:7" ht="15" hidden="1" thickBot="1">
      <c r="A24" s="3103">
        <v>229</v>
      </c>
      <c r="B24" s="3205" t="s">
        <v>3696</v>
      </c>
      <c r="C24" s="3206"/>
      <c r="D24" s="3104" t="s">
        <v>3719</v>
      </c>
      <c r="E24" s="3104" t="s">
        <v>463</v>
      </c>
      <c r="F24" s="3105">
        <v>119.11</v>
      </c>
      <c r="G24" s="3106" t="s">
        <v>3166</v>
      </c>
    </row>
    <row r="25" spans="1:7" ht="15" hidden="1" thickBot="1">
      <c r="A25" s="3103">
        <v>231</v>
      </c>
      <c r="B25" s="3205" t="s">
        <v>3696</v>
      </c>
      <c r="C25" s="3206"/>
      <c r="D25" s="3104" t="s">
        <v>3720</v>
      </c>
      <c r="E25" s="3104" t="s">
        <v>463</v>
      </c>
      <c r="F25" s="3105">
        <v>119.11</v>
      </c>
      <c r="G25" s="3106" t="s">
        <v>3166</v>
      </c>
    </row>
    <row r="26" spans="1:7" ht="15" hidden="1" thickBot="1">
      <c r="A26" s="3103">
        <v>233</v>
      </c>
      <c r="B26" s="3205" t="s">
        <v>3696</v>
      </c>
      <c r="C26" s="3206"/>
      <c r="D26" s="3104" t="s">
        <v>3721</v>
      </c>
      <c r="E26" s="3104" t="s">
        <v>463</v>
      </c>
      <c r="F26" s="3105">
        <v>119.11</v>
      </c>
      <c r="G26" s="3106" t="s">
        <v>3166</v>
      </c>
    </row>
    <row r="27" spans="1:7" ht="15" hidden="1" thickBot="1">
      <c r="A27" s="3103">
        <v>235</v>
      </c>
      <c r="B27" s="3205" t="s">
        <v>3696</v>
      </c>
      <c r="C27" s="3206"/>
      <c r="D27" s="3104" t="s">
        <v>3722</v>
      </c>
      <c r="E27" s="3104" t="s">
        <v>463</v>
      </c>
      <c r="F27" s="3105">
        <v>119.11</v>
      </c>
      <c r="G27" s="3106" t="s">
        <v>3166</v>
      </c>
    </row>
    <row r="28" spans="1:7" ht="15" hidden="1" thickBot="1">
      <c r="A28" s="3103">
        <v>236</v>
      </c>
      <c r="B28" s="3205" t="s">
        <v>3696</v>
      </c>
      <c r="C28" s="3206"/>
      <c r="D28" s="3104" t="s">
        <v>3723</v>
      </c>
      <c r="E28" s="3104" t="s">
        <v>463</v>
      </c>
      <c r="F28" s="3105">
        <v>119.11</v>
      </c>
      <c r="G28" s="3106" t="s">
        <v>3166</v>
      </c>
    </row>
    <row r="29" spans="1:7" ht="15" hidden="1" thickBot="1">
      <c r="A29" s="3103">
        <v>238</v>
      </c>
      <c r="B29" s="3205" t="s">
        <v>3696</v>
      </c>
      <c r="C29" s="3206"/>
      <c r="D29" s="3104" t="s">
        <v>3724</v>
      </c>
      <c r="E29" s="3104" t="s">
        <v>463</v>
      </c>
      <c r="F29" s="3105">
        <v>118.38</v>
      </c>
      <c r="G29" s="3106" t="s">
        <v>3166</v>
      </c>
    </row>
    <row r="30" spans="1:7" ht="15" hidden="1" thickBot="1">
      <c r="A30" s="3103">
        <v>239</v>
      </c>
      <c r="B30" s="3205" t="s">
        <v>3696</v>
      </c>
      <c r="C30" s="3206"/>
      <c r="D30" s="3104" t="s">
        <v>3725</v>
      </c>
      <c r="E30" s="3104" t="s">
        <v>463</v>
      </c>
      <c r="F30" s="3105">
        <v>118.38</v>
      </c>
      <c r="G30" s="3106" t="s">
        <v>3166</v>
      </c>
    </row>
    <row r="31" spans="1:7" ht="15" hidden="1" thickBot="1">
      <c r="A31" s="3103">
        <v>240</v>
      </c>
      <c r="B31" s="3205" t="s">
        <v>3696</v>
      </c>
      <c r="C31" s="3206"/>
      <c r="D31" s="3104" t="s">
        <v>3726</v>
      </c>
      <c r="E31" s="3104" t="s">
        <v>463</v>
      </c>
      <c r="F31" s="3105">
        <v>119.11</v>
      </c>
      <c r="G31" s="3106" t="s">
        <v>3166</v>
      </c>
    </row>
    <row r="32" spans="1:7" ht="15" hidden="1" thickBot="1">
      <c r="A32" s="3103">
        <v>242</v>
      </c>
      <c r="B32" s="3205" t="s">
        <v>3696</v>
      </c>
      <c r="C32" s="3206"/>
      <c r="D32" s="3104" t="s">
        <v>3727</v>
      </c>
      <c r="E32" s="3104" t="s">
        <v>463</v>
      </c>
      <c r="F32" s="3105">
        <v>118.58</v>
      </c>
      <c r="G32" s="3106" t="s">
        <v>3166</v>
      </c>
    </row>
    <row r="33" spans="1:7" ht="15" hidden="1" thickBot="1">
      <c r="A33" s="3103">
        <v>243</v>
      </c>
      <c r="B33" s="3205" t="s">
        <v>3696</v>
      </c>
      <c r="C33" s="3206"/>
      <c r="D33" s="3104" t="s">
        <v>3728</v>
      </c>
      <c r="E33" s="3104" t="s">
        <v>463</v>
      </c>
      <c r="F33" s="3105">
        <v>119.28</v>
      </c>
      <c r="G33" s="3106" t="s">
        <v>3166</v>
      </c>
    </row>
    <row r="34" spans="1:7" ht="15" hidden="1" thickBot="1">
      <c r="A34" s="3103">
        <v>244</v>
      </c>
      <c r="B34" s="3205" t="s">
        <v>3696</v>
      </c>
      <c r="C34" s="3206"/>
      <c r="D34" s="3104" t="s">
        <v>3729</v>
      </c>
      <c r="E34" s="3104" t="s">
        <v>463</v>
      </c>
      <c r="F34" s="3105">
        <v>118.58</v>
      </c>
      <c r="G34" s="3106" t="s">
        <v>3166</v>
      </c>
    </row>
    <row r="35" spans="1:7" ht="15" hidden="1" thickBot="1">
      <c r="A35" s="3103">
        <v>247</v>
      </c>
      <c r="B35" s="3205" t="s">
        <v>3696</v>
      </c>
      <c r="C35" s="3206"/>
      <c r="D35" s="3104" t="s">
        <v>3730</v>
      </c>
      <c r="E35" s="3104" t="s">
        <v>463</v>
      </c>
      <c r="F35" s="3105">
        <v>119.28</v>
      </c>
      <c r="G35" s="3106" t="s">
        <v>3166</v>
      </c>
    </row>
    <row r="36" spans="1:7" ht="15" hidden="1" thickBot="1">
      <c r="A36" s="3103">
        <v>248</v>
      </c>
      <c r="B36" s="3205" t="s">
        <v>3696</v>
      </c>
      <c r="C36" s="3206"/>
      <c r="D36" s="3104" t="s">
        <v>3731</v>
      </c>
      <c r="E36" s="3104" t="s">
        <v>463</v>
      </c>
      <c r="F36" s="3105">
        <v>118.58</v>
      </c>
      <c r="G36" s="3106" t="s">
        <v>3166</v>
      </c>
    </row>
    <row r="37" spans="1:7" ht="15" hidden="1" thickBot="1">
      <c r="A37" s="3103">
        <v>253</v>
      </c>
      <c r="B37" s="3205" t="s">
        <v>3696</v>
      </c>
      <c r="C37" s="3206"/>
      <c r="D37" s="3104" t="s">
        <v>3732</v>
      </c>
      <c r="E37" s="3104" t="s">
        <v>463</v>
      </c>
      <c r="F37" s="3105">
        <v>119.28</v>
      </c>
      <c r="G37" s="3106" t="s">
        <v>3166</v>
      </c>
    </row>
    <row r="38" spans="1:7" ht="15" hidden="1" thickBot="1">
      <c r="A38" s="3103">
        <v>254</v>
      </c>
      <c r="B38" s="3205" t="s">
        <v>3696</v>
      </c>
      <c r="C38" s="3206"/>
      <c r="D38" s="3104" t="s">
        <v>3733</v>
      </c>
      <c r="E38" s="3104" t="s">
        <v>463</v>
      </c>
      <c r="F38" s="3105">
        <v>118.58</v>
      </c>
      <c r="G38" s="3106" t="s">
        <v>3166</v>
      </c>
    </row>
    <row r="39" spans="1:7" ht="15" hidden="1" thickBot="1">
      <c r="A39" s="3103">
        <v>256</v>
      </c>
      <c r="B39" s="3205" t="s">
        <v>3696</v>
      </c>
      <c r="C39" s="3206"/>
      <c r="D39" s="3104" t="s">
        <v>3734</v>
      </c>
      <c r="E39" s="3104" t="s">
        <v>463</v>
      </c>
      <c r="F39" s="3105">
        <v>119.28</v>
      </c>
      <c r="G39" s="3106" t="s">
        <v>3166</v>
      </c>
    </row>
    <row r="40" spans="1:7" ht="15" hidden="1" thickBot="1">
      <c r="A40" s="3103">
        <v>258</v>
      </c>
      <c r="B40" s="3205" t="s">
        <v>3696</v>
      </c>
      <c r="C40" s="3206"/>
      <c r="D40" s="3104" t="s">
        <v>3735</v>
      </c>
      <c r="E40" s="3104" t="s">
        <v>463</v>
      </c>
      <c r="F40" s="3105">
        <v>119.28</v>
      </c>
      <c r="G40" s="3106" t="s">
        <v>3166</v>
      </c>
    </row>
    <row r="41" spans="1:7" ht="15" hidden="1" thickBot="1">
      <c r="A41" s="3103">
        <v>259</v>
      </c>
      <c r="B41" s="3205" t="s">
        <v>3696</v>
      </c>
      <c r="C41" s="3206"/>
      <c r="D41" s="3104" t="s">
        <v>3736</v>
      </c>
      <c r="E41" s="3104" t="s">
        <v>463</v>
      </c>
      <c r="F41" s="3105">
        <v>118.58</v>
      </c>
      <c r="G41" s="3106" t="s">
        <v>3166</v>
      </c>
    </row>
    <row r="42" spans="1:7" ht="15" hidden="1" thickBot="1">
      <c r="A42" s="3103">
        <v>263</v>
      </c>
      <c r="B42" s="3205" t="s">
        <v>3696</v>
      </c>
      <c r="C42" s="3206"/>
      <c r="D42" s="3104" t="s">
        <v>3737</v>
      </c>
      <c r="E42" s="3104" t="s">
        <v>463</v>
      </c>
      <c r="F42" s="3105">
        <v>118.58</v>
      </c>
      <c r="G42" s="3106" t="s">
        <v>3166</v>
      </c>
    </row>
    <row r="43" spans="1:7" ht="15" hidden="1" thickBot="1">
      <c r="A43" s="3103">
        <v>267</v>
      </c>
      <c r="B43" s="3205" t="s">
        <v>3696</v>
      </c>
      <c r="C43" s="3206"/>
      <c r="D43" s="3104" t="s">
        <v>3738</v>
      </c>
      <c r="E43" s="3104" t="s">
        <v>463</v>
      </c>
      <c r="F43" s="3105">
        <v>118.58</v>
      </c>
      <c r="G43" s="3106" t="s">
        <v>3166</v>
      </c>
    </row>
    <row r="44" spans="1:7" ht="15" hidden="1" thickBot="1">
      <c r="A44" s="3103">
        <v>268</v>
      </c>
      <c r="B44" s="3205" t="s">
        <v>3696</v>
      </c>
      <c r="C44" s="3206"/>
      <c r="D44" s="3104" t="s">
        <v>3739</v>
      </c>
      <c r="E44" s="3104" t="s">
        <v>463</v>
      </c>
      <c r="F44" s="3105">
        <v>119.28</v>
      </c>
      <c r="G44" s="3106" t="s">
        <v>3166</v>
      </c>
    </row>
    <row r="45" spans="1:7" ht="15" hidden="1" thickBot="1">
      <c r="A45" s="3103">
        <v>272</v>
      </c>
      <c r="B45" s="3205" t="s">
        <v>3696</v>
      </c>
      <c r="C45" s="3206"/>
      <c r="D45" s="3104" t="s">
        <v>3740</v>
      </c>
      <c r="E45" s="3104" t="s">
        <v>463</v>
      </c>
      <c r="F45" s="3105">
        <v>70.78</v>
      </c>
      <c r="G45" s="3106" t="s">
        <v>3166</v>
      </c>
    </row>
    <row r="46" spans="1:7" ht="15" hidden="1" thickBot="1">
      <c r="A46" s="3103">
        <v>285</v>
      </c>
      <c r="B46" s="3205" t="s">
        <v>3696</v>
      </c>
      <c r="C46" s="3206"/>
      <c r="D46" s="3104" t="s">
        <v>3741</v>
      </c>
      <c r="E46" s="3104" t="s">
        <v>463</v>
      </c>
      <c r="F46" s="3105">
        <v>70.209999999999994</v>
      </c>
      <c r="G46" s="3106" t="s">
        <v>3166</v>
      </c>
    </row>
    <row r="47" spans="1:7" ht="15" hidden="1" thickBot="1">
      <c r="A47" s="3103">
        <v>291</v>
      </c>
      <c r="B47" s="3205" t="s">
        <v>3696</v>
      </c>
      <c r="C47" s="3206"/>
      <c r="D47" s="3104" t="s">
        <v>3742</v>
      </c>
      <c r="E47" s="3104" t="s">
        <v>463</v>
      </c>
      <c r="F47" s="3105">
        <v>70.209999999999994</v>
      </c>
      <c r="G47" s="3106" t="s">
        <v>3166</v>
      </c>
    </row>
    <row r="48" spans="1:7" ht="15" hidden="1" thickBot="1">
      <c r="A48" s="3103">
        <v>292</v>
      </c>
      <c r="B48" s="3205" t="s">
        <v>3696</v>
      </c>
      <c r="C48" s="3206"/>
      <c r="D48" s="3104" t="s">
        <v>3743</v>
      </c>
      <c r="E48" s="3104" t="s">
        <v>463</v>
      </c>
      <c r="F48" s="3105">
        <v>70.78</v>
      </c>
      <c r="G48" s="3106" t="s">
        <v>3166</v>
      </c>
    </row>
    <row r="49" spans="1:7" ht="15" hidden="1" thickBot="1">
      <c r="A49" s="3103">
        <v>323</v>
      </c>
      <c r="B49" s="3205" t="s">
        <v>3696</v>
      </c>
      <c r="C49" s="3206"/>
      <c r="D49" s="3104" t="s">
        <v>3744</v>
      </c>
      <c r="E49" s="3104" t="s">
        <v>463</v>
      </c>
      <c r="F49" s="3105">
        <v>69.45</v>
      </c>
      <c r="G49" s="3106" t="s">
        <v>3166</v>
      </c>
    </row>
    <row r="50" spans="1:7" ht="15" hidden="1" thickBot="1">
      <c r="A50" s="3103">
        <v>324</v>
      </c>
      <c r="B50" s="3205" t="s">
        <v>3696</v>
      </c>
      <c r="C50" s="3206"/>
      <c r="D50" s="3104" t="s">
        <v>3745</v>
      </c>
      <c r="E50" s="3104" t="s">
        <v>463</v>
      </c>
      <c r="F50" s="3105">
        <v>68.48</v>
      </c>
      <c r="G50" s="3106" t="s">
        <v>3166</v>
      </c>
    </row>
    <row r="51" spans="1:7" ht="15" hidden="1" thickBot="1">
      <c r="A51" s="3103">
        <v>325</v>
      </c>
      <c r="B51" s="3205" t="s">
        <v>3696</v>
      </c>
      <c r="C51" s="3206"/>
      <c r="D51" s="3104" t="s">
        <v>3746</v>
      </c>
      <c r="E51" s="3104" t="s">
        <v>463</v>
      </c>
      <c r="F51" s="3105">
        <v>69.45</v>
      </c>
      <c r="G51" s="3106" t="s">
        <v>3166</v>
      </c>
    </row>
    <row r="52" spans="1:7" ht="15" hidden="1" thickBot="1">
      <c r="A52" s="3103">
        <v>329</v>
      </c>
      <c r="B52" s="3205" t="s">
        <v>3696</v>
      </c>
      <c r="C52" s="3206"/>
      <c r="D52" s="3104" t="s">
        <v>3747</v>
      </c>
      <c r="E52" s="3104" t="s">
        <v>463</v>
      </c>
      <c r="F52" s="3105">
        <v>69.45</v>
      </c>
      <c r="G52" s="3106" t="s">
        <v>3166</v>
      </c>
    </row>
    <row r="53" spans="1:7" ht="15" hidden="1" thickBot="1">
      <c r="A53" s="3103">
        <v>330</v>
      </c>
      <c r="B53" s="3205" t="s">
        <v>3696</v>
      </c>
      <c r="C53" s="3206"/>
      <c r="D53" s="3104" t="s">
        <v>3748</v>
      </c>
      <c r="E53" s="3104" t="s">
        <v>463</v>
      </c>
      <c r="F53" s="3105">
        <v>68.48</v>
      </c>
      <c r="G53" s="3106" t="s">
        <v>3166</v>
      </c>
    </row>
    <row r="54" spans="1:7" ht="15" hidden="1" thickBot="1">
      <c r="A54" s="3103">
        <v>332</v>
      </c>
      <c r="B54" s="3205" t="s">
        <v>3696</v>
      </c>
      <c r="C54" s="3206"/>
      <c r="D54" s="3104" t="s">
        <v>3749</v>
      </c>
      <c r="E54" s="3104" t="s">
        <v>463</v>
      </c>
      <c r="F54" s="3105">
        <v>68.48</v>
      </c>
      <c r="G54" s="3106" t="s">
        <v>3166</v>
      </c>
    </row>
    <row r="55" spans="1:7" ht="15" hidden="1" thickBot="1">
      <c r="A55" s="3103">
        <v>333</v>
      </c>
      <c r="B55" s="3205" t="s">
        <v>3696</v>
      </c>
      <c r="C55" s="3206"/>
      <c r="D55" s="3104" t="s">
        <v>3750</v>
      </c>
      <c r="E55" s="3104" t="s">
        <v>463</v>
      </c>
      <c r="F55" s="3105">
        <v>69.45</v>
      </c>
      <c r="G55" s="3106" t="s">
        <v>3166</v>
      </c>
    </row>
    <row r="56" spans="1:7" ht="26.25" hidden="1" thickBot="1">
      <c r="A56" s="3103">
        <v>335</v>
      </c>
      <c r="B56" s="3205" t="s">
        <v>3696</v>
      </c>
      <c r="C56" s="3206"/>
      <c r="D56" s="3104" t="s">
        <v>3751</v>
      </c>
      <c r="E56" s="3104" t="s">
        <v>463</v>
      </c>
      <c r="F56" s="3105">
        <v>69.45</v>
      </c>
      <c r="G56" s="3106" t="s">
        <v>3166</v>
      </c>
    </row>
    <row r="57" spans="1:7" ht="15" hidden="1" thickBot="1">
      <c r="A57" s="3103">
        <v>342</v>
      </c>
      <c r="B57" s="3205" t="s">
        <v>3696</v>
      </c>
      <c r="C57" s="3206"/>
      <c r="D57" s="3104" t="s">
        <v>3752</v>
      </c>
      <c r="E57" s="3104" t="s">
        <v>463</v>
      </c>
      <c r="F57" s="3105">
        <v>81.19</v>
      </c>
      <c r="G57" s="3106" t="s">
        <v>3166</v>
      </c>
    </row>
    <row r="58" spans="1:7" ht="15" hidden="1" thickBot="1">
      <c r="A58" s="3103">
        <v>348</v>
      </c>
      <c r="B58" s="3205" t="s">
        <v>3696</v>
      </c>
      <c r="C58" s="3206"/>
      <c r="D58" s="3104" t="s">
        <v>3753</v>
      </c>
      <c r="E58" s="3104" t="s">
        <v>463</v>
      </c>
      <c r="F58" s="3105">
        <v>89.26</v>
      </c>
      <c r="G58" s="3106" t="s">
        <v>3166</v>
      </c>
    </row>
    <row r="59" spans="1:7" ht="26.25" hidden="1" thickBot="1">
      <c r="A59" s="3103">
        <v>351</v>
      </c>
      <c r="B59" s="3205" t="s">
        <v>3696</v>
      </c>
      <c r="C59" s="3206"/>
      <c r="D59" s="3104" t="s">
        <v>3754</v>
      </c>
      <c r="E59" s="3104" t="s">
        <v>463</v>
      </c>
      <c r="F59" s="3105">
        <v>81.19</v>
      </c>
      <c r="G59" s="3106" t="s">
        <v>3166</v>
      </c>
    </row>
    <row r="60" spans="1:7" ht="26.25" hidden="1" thickBot="1">
      <c r="A60" s="3103">
        <v>353</v>
      </c>
      <c r="B60" s="3205" t="s">
        <v>3696</v>
      </c>
      <c r="C60" s="3206"/>
      <c r="D60" s="3104" t="s">
        <v>3755</v>
      </c>
      <c r="E60" s="3104" t="s">
        <v>463</v>
      </c>
      <c r="F60" s="3105">
        <v>81.19</v>
      </c>
      <c r="G60" s="3106" t="s">
        <v>3166</v>
      </c>
    </row>
    <row r="61" spans="1:7" ht="26.25" hidden="1" thickBot="1">
      <c r="A61" s="3103">
        <v>355</v>
      </c>
      <c r="B61" s="3205" t="s">
        <v>3696</v>
      </c>
      <c r="C61" s="3206"/>
      <c r="D61" s="3104" t="s">
        <v>3756</v>
      </c>
      <c r="E61" s="3104" t="s">
        <v>463</v>
      </c>
      <c r="F61" s="3105">
        <v>82.09</v>
      </c>
      <c r="G61" s="3106" t="s">
        <v>3166</v>
      </c>
    </row>
    <row r="62" spans="1:7" ht="26.25" hidden="1" thickBot="1">
      <c r="A62" s="3103">
        <v>357</v>
      </c>
      <c r="B62" s="3205" t="s">
        <v>3696</v>
      </c>
      <c r="C62" s="3206"/>
      <c r="D62" s="3104" t="s">
        <v>3757</v>
      </c>
      <c r="E62" s="3104" t="s">
        <v>463</v>
      </c>
      <c r="F62" s="3105">
        <v>81.19</v>
      </c>
      <c r="G62" s="3106" t="s">
        <v>3166</v>
      </c>
    </row>
    <row r="63" spans="1:7" ht="26.25" hidden="1" thickBot="1">
      <c r="A63" s="3103">
        <v>359</v>
      </c>
      <c r="B63" s="3205" t="s">
        <v>3696</v>
      </c>
      <c r="C63" s="3206"/>
      <c r="D63" s="3104" t="s">
        <v>3758</v>
      </c>
      <c r="E63" s="3104" t="s">
        <v>463</v>
      </c>
      <c r="F63" s="3105">
        <v>89.26</v>
      </c>
      <c r="G63" s="3106" t="s">
        <v>3166</v>
      </c>
    </row>
    <row r="64" spans="1:7" ht="15" hidden="1" thickBot="1">
      <c r="A64" s="3103">
        <v>361</v>
      </c>
      <c r="B64" s="3205" t="s">
        <v>3696</v>
      </c>
      <c r="C64" s="3206"/>
      <c r="D64" s="3104" t="s">
        <v>3759</v>
      </c>
      <c r="E64" s="3104" t="s">
        <v>463</v>
      </c>
      <c r="F64" s="3105">
        <v>81.19</v>
      </c>
      <c r="G64" s="3106" t="s">
        <v>3166</v>
      </c>
    </row>
    <row r="65" spans="1:7" ht="15" hidden="1" thickBot="1">
      <c r="A65" s="3103">
        <v>365</v>
      </c>
      <c r="B65" s="3205" t="s">
        <v>3696</v>
      </c>
      <c r="C65" s="3206"/>
      <c r="D65" s="3104" t="s">
        <v>3760</v>
      </c>
      <c r="E65" s="3104" t="s">
        <v>463</v>
      </c>
      <c r="F65" s="3105">
        <v>89.26</v>
      </c>
      <c r="G65" s="3106" t="s">
        <v>3166</v>
      </c>
    </row>
    <row r="66" spans="1:7" ht="15" hidden="1" thickBot="1">
      <c r="A66" s="3103">
        <v>367</v>
      </c>
      <c r="B66" s="3205" t="s">
        <v>3696</v>
      </c>
      <c r="C66" s="3206"/>
      <c r="D66" s="3104" t="s">
        <v>3761</v>
      </c>
      <c r="E66" s="3104" t="s">
        <v>463</v>
      </c>
      <c r="F66" s="3105">
        <v>81.19</v>
      </c>
      <c r="G66" s="3106" t="s">
        <v>3166</v>
      </c>
    </row>
    <row r="67" spans="1:7" ht="26.25" hidden="1" thickBot="1">
      <c r="A67" s="3103">
        <v>373</v>
      </c>
      <c r="B67" s="3205" t="s">
        <v>3696</v>
      </c>
      <c r="C67" s="3206"/>
      <c r="D67" s="3104" t="s">
        <v>3762</v>
      </c>
      <c r="E67" s="3104" t="s">
        <v>463</v>
      </c>
      <c r="F67" s="3105">
        <v>82.09</v>
      </c>
      <c r="G67" s="3106" t="s">
        <v>3166</v>
      </c>
    </row>
    <row r="68" spans="1:7" ht="26.25" hidden="1" thickBot="1">
      <c r="A68" s="3103">
        <v>375</v>
      </c>
      <c r="B68" s="3205" t="s">
        <v>3696</v>
      </c>
      <c r="C68" s="3206"/>
      <c r="D68" s="3104" t="s">
        <v>3763</v>
      </c>
      <c r="E68" s="3104" t="s">
        <v>463</v>
      </c>
      <c r="F68" s="3105">
        <v>81.19</v>
      </c>
      <c r="G68" s="3106" t="s">
        <v>3166</v>
      </c>
    </row>
    <row r="69" spans="1:7" ht="26.25" hidden="1" thickBot="1">
      <c r="A69" s="3103">
        <v>376</v>
      </c>
      <c r="B69" s="3205" t="s">
        <v>3696</v>
      </c>
      <c r="C69" s="3206"/>
      <c r="D69" s="3104" t="s">
        <v>3764</v>
      </c>
      <c r="E69" s="3104" t="s">
        <v>463</v>
      </c>
      <c r="F69" s="3105">
        <v>89.26</v>
      </c>
      <c r="G69" s="3106" t="s">
        <v>3166</v>
      </c>
    </row>
    <row r="70" spans="1:7" ht="15" hidden="1" thickBot="1">
      <c r="A70" s="3103">
        <v>379</v>
      </c>
      <c r="B70" s="3205" t="s">
        <v>3696</v>
      </c>
      <c r="C70" s="3206"/>
      <c r="D70" s="3104" t="s">
        <v>3765</v>
      </c>
      <c r="E70" s="3104" t="s">
        <v>463</v>
      </c>
      <c r="F70" s="3105">
        <v>81.19</v>
      </c>
      <c r="G70" s="3106" t="s">
        <v>3166</v>
      </c>
    </row>
    <row r="71" spans="1:7" ht="15" hidden="1" thickBot="1">
      <c r="A71" s="3103">
        <v>382</v>
      </c>
      <c r="B71" s="3205" t="s">
        <v>3696</v>
      </c>
      <c r="C71" s="3206"/>
      <c r="D71" s="3104" t="s">
        <v>3766</v>
      </c>
      <c r="E71" s="3104" t="s">
        <v>463</v>
      </c>
      <c r="F71" s="3105">
        <v>81.19</v>
      </c>
      <c r="G71" s="3106" t="s">
        <v>3166</v>
      </c>
    </row>
    <row r="72" spans="1:7" ht="15" hidden="1" thickBot="1">
      <c r="A72" s="3103">
        <v>386</v>
      </c>
      <c r="B72" s="3205" t="s">
        <v>3696</v>
      </c>
      <c r="C72" s="3206"/>
      <c r="D72" s="3104" t="s">
        <v>3767</v>
      </c>
      <c r="E72" s="3104" t="s">
        <v>463</v>
      </c>
      <c r="F72" s="3105">
        <v>81.19</v>
      </c>
      <c r="G72" s="3106" t="s">
        <v>3166</v>
      </c>
    </row>
    <row r="73" spans="1:7" ht="26.25" hidden="1" thickBot="1">
      <c r="A73" s="3103">
        <v>389</v>
      </c>
      <c r="B73" s="3205" t="s">
        <v>3696</v>
      </c>
      <c r="C73" s="3206"/>
      <c r="D73" s="3104" t="s">
        <v>3768</v>
      </c>
      <c r="E73" s="3104" t="s">
        <v>463</v>
      </c>
      <c r="F73" s="3105">
        <v>81.19</v>
      </c>
      <c r="G73" s="3106" t="s">
        <v>3166</v>
      </c>
    </row>
    <row r="74" spans="1:7" ht="26.25" hidden="1" thickBot="1">
      <c r="A74" s="3103">
        <v>392</v>
      </c>
      <c r="B74" s="3205" t="s">
        <v>3696</v>
      </c>
      <c r="C74" s="3206"/>
      <c r="D74" s="3104" t="s">
        <v>3769</v>
      </c>
      <c r="E74" s="3104" t="s">
        <v>463</v>
      </c>
      <c r="F74" s="3105">
        <v>89.26</v>
      </c>
      <c r="G74" s="3106" t="s">
        <v>3166</v>
      </c>
    </row>
    <row r="75" spans="1:7" ht="26.25" hidden="1" thickBot="1">
      <c r="A75" s="3103">
        <v>394</v>
      </c>
      <c r="B75" s="3205" t="s">
        <v>3696</v>
      </c>
      <c r="C75" s="3206"/>
      <c r="D75" s="3104" t="s">
        <v>3770</v>
      </c>
      <c r="E75" s="3104" t="s">
        <v>463</v>
      </c>
      <c r="F75" s="3105">
        <v>81.19</v>
      </c>
      <c r="G75" s="3106" t="s">
        <v>3166</v>
      </c>
    </row>
    <row r="76" spans="1:7" ht="26.25" hidden="1" thickBot="1">
      <c r="A76" s="3103">
        <v>396</v>
      </c>
      <c r="B76" s="3205" t="s">
        <v>3696</v>
      </c>
      <c r="C76" s="3206"/>
      <c r="D76" s="3104" t="s">
        <v>3771</v>
      </c>
      <c r="E76" s="3104" t="s">
        <v>463</v>
      </c>
      <c r="F76" s="3105">
        <v>81.19</v>
      </c>
      <c r="G76" s="3106" t="s">
        <v>3166</v>
      </c>
    </row>
    <row r="77" spans="1:7" ht="26.25" hidden="1" thickBot="1">
      <c r="A77" s="3103">
        <v>398</v>
      </c>
      <c r="B77" s="3205" t="s">
        <v>3696</v>
      </c>
      <c r="C77" s="3206"/>
      <c r="D77" s="3104" t="s">
        <v>3772</v>
      </c>
      <c r="E77" s="3104" t="s">
        <v>463</v>
      </c>
      <c r="F77" s="3105">
        <v>81.19</v>
      </c>
      <c r="G77" s="3106" t="s">
        <v>3166</v>
      </c>
    </row>
    <row r="78" spans="1:7" ht="15" hidden="1" thickBot="1">
      <c r="A78" s="3103">
        <v>400</v>
      </c>
      <c r="B78" s="3205" t="s">
        <v>3696</v>
      </c>
      <c r="C78" s="3206"/>
      <c r="D78" s="3104" t="s">
        <v>3773</v>
      </c>
      <c r="E78" s="3104" t="s">
        <v>463</v>
      </c>
      <c r="F78" s="3105">
        <v>89.88</v>
      </c>
      <c r="G78" s="3106" t="s">
        <v>3166</v>
      </c>
    </row>
    <row r="79" spans="1:7" ht="15" hidden="1" thickBot="1">
      <c r="A79" s="3103">
        <v>401</v>
      </c>
      <c r="B79" s="3205" t="s">
        <v>3696</v>
      </c>
      <c r="C79" s="3206"/>
      <c r="D79" s="3104" t="s">
        <v>3774</v>
      </c>
      <c r="E79" s="3104" t="s">
        <v>463</v>
      </c>
      <c r="F79" s="3105">
        <v>89.26</v>
      </c>
      <c r="G79" s="3106" t="s">
        <v>3166</v>
      </c>
    </row>
    <row r="80" spans="1:7" ht="15" hidden="1" thickBot="1">
      <c r="A80" s="3103">
        <v>403</v>
      </c>
      <c r="B80" s="3205" t="s">
        <v>3696</v>
      </c>
      <c r="C80" s="3206"/>
      <c r="D80" s="3104" t="s">
        <v>3775</v>
      </c>
      <c r="E80" s="3104" t="s">
        <v>463</v>
      </c>
      <c r="F80" s="3105">
        <v>89.26</v>
      </c>
      <c r="G80" s="3106" t="s">
        <v>3166</v>
      </c>
    </row>
    <row r="81" spans="1:7" ht="15" hidden="1" thickBot="1">
      <c r="A81" s="3103">
        <v>405</v>
      </c>
      <c r="B81" s="3205" t="s">
        <v>3696</v>
      </c>
      <c r="C81" s="3206"/>
      <c r="D81" s="3104" t="s">
        <v>3776</v>
      </c>
      <c r="E81" s="3104" t="s">
        <v>463</v>
      </c>
      <c r="F81" s="3105">
        <v>89.88</v>
      </c>
      <c r="G81" s="3106" t="s">
        <v>3166</v>
      </c>
    </row>
    <row r="82" spans="1:7" ht="15" hidden="1" thickBot="1">
      <c r="A82" s="3103">
        <v>406</v>
      </c>
      <c r="B82" s="3205" t="s">
        <v>3696</v>
      </c>
      <c r="C82" s="3206"/>
      <c r="D82" s="3104" t="s">
        <v>3777</v>
      </c>
      <c r="E82" s="3104" t="s">
        <v>463</v>
      </c>
      <c r="F82" s="3105">
        <v>89.26</v>
      </c>
      <c r="G82" s="3106" t="s">
        <v>3166</v>
      </c>
    </row>
    <row r="83" spans="1:7" ht="15" hidden="1" thickBot="1">
      <c r="A83" s="3103">
        <v>407</v>
      </c>
      <c r="B83" s="3205" t="s">
        <v>3696</v>
      </c>
      <c r="C83" s="3206"/>
      <c r="D83" s="3104" t="s">
        <v>3778</v>
      </c>
      <c r="E83" s="3104" t="s">
        <v>463</v>
      </c>
      <c r="F83" s="3105">
        <v>89.88</v>
      </c>
      <c r="G83" s="3106" t="s">
        <v>3166</v>
      </c>
    </row>
    <row r="84" spans="1:7" ht="15" hidden="1" thickBot="1">
      <c r="A84" s="3103">
        <v>408</v>
      </c>
      <c r="B84" s="3205" t="s">
        <v>3696</v>
      </c>
      <c r="C84" s="3206"/>
      <c r="D84" s="3104" t="s">
        <v>3779</v>
      </c>
      <c r="E84" s="3104" t="s">
        <v>463</v>
      </c>
      <c r="F84" s="3105">
        <v>89.26</v>
      </c>
      <c r="G84" s="3106" t="s">
        <v>3166</v>
      </c>
    </row>
    <row r="85" spans="1:7" ht="15" hidden="1" thickBot="1">
      <c r="A85" s="3103">
        <v>409</v>
      </c>
      <c r="B85" s="3205" t="s">
        <v>3696</v>
      </c>
      <c r="C85" s="3206"/>
      <c r="D85" s="3104" t="s">
        <v>3780</v>
      </c>
      <c r="E85" s="3104" t="s">
        <v>463</v>
      </c>
      <c r="F85" s="3105">
        <v>89.88</v>
      </c>
      <c r="G85" s="3106" t="s">
        <v>3166</v>
      </c>
    </row>
    <row r="86" spans="1:7" ht="15" hidden="1" thickBot="1">
      <c r="A86" s="3103">
        <v>410</v>
      </c>
      <c r="B86" s="3205" t="s">
        <v>3696</v>
      </c>
      <c r="C86" s="3206"/>
      <c r="D86" s="3104" t="s">
        <v>3781</v>
      </c>
      <c r="E86" s="3104" t="s">
        <v>463</v>
      </c>
      <c r="F86" s="3105">
        <v>89.88</v>
      </c>
      <c r="G86" s="3106" t="s">
        <v>3166</v>
      </c>
    </row>
    <row r="87" spans="1:7" ht="26.25" hidden="1" thickBot="1">
      <c r="A87" s="3103">
        <v>411</v>
      </c>
      <c r="B87" s="3205" t="s">
        <v>3696</v>
      </c>
      <c r="C87" s="3206"/>
      <c r="D87" s="3104" t="s">
        <v>3782</v>
      </c>
      <c r="E87" s="3104" t="s">
        <v>463</v>
      </c>
      <c r="F87" s="3105">
        <v>89.26</v>
      </c>
      <c r="G87" s="3106" t="s">
        <v>3166</v>
      </c>
    </row>
    <row r="88" spans="1:7" ht="26.25" hidden="1" thickBot="1">
      <c r="A88" s="3103">
        <v>414</v>
      </c>
      <c r="B88" s="3205" t="s">
        <v>3696</v>
      </c>
      <c r="C88" s="3206"/>
      <c r="D88" s="3104" t="s">
        <v>3783</v>
      </c>
      <c r="E88" s="3104" t="s">
        <v>463</v>
      </c>
      <c r="F88" s="3105">
        <v>89.88</v>
      </c>
      <c r="G88" s="3106" t="s">
        <v>3166</v>
      </c>
    </row>
    <row r="89" spans="1:7" ht="26.25" hidden="1" thickBot="1">
      <c r="A89" s="3103">
        <v>416</v>
      </c>
      <c r="B89" s="3205" t="s">
        <v>3696</v>
      </c>
      <c r="C89" s="3206"/>
      <c r="D89" s="3104" t="s">
        <v>3784</v>
      </c>
      <c r="E89" s="3104" t="s">
        <v>463</v>
      </c>
      <c r="F89" s="3105">
        <v>89.88</v>
      </c>
      <c r="G89" s="3106" t="s">
        <v>3166</v>
      </c>
    </row>
    <row r="90" spans="1:7" ht="26.25" hidden="1" thickBot="1">
      <c r="A90" s="3103">
        <v>418</v>
      </c>
      <c r="B90" s="3205" t="s">
        <v>3696</v>
      </c>
      <c r="C90" s="3206"/>
      <c r="D90" s="3104" t="s">
        <v>3785</v>
      </c>
      <c r="E90" s="3104" t="s">
        <v>463</v>
      </c>
      <c r="F90" s="3105">
        <v>89.88</v>
      </c>
      <c r="G90" s="3106" t="s">
        <v>3166</v>
      </c>
    </row>
    <row r="91" spans="1:7" ht="15" hidden="1" thickBot="1">
      <c r="A91" s="3103">
        <v>422</v>
      </c>
      <c r="B91" s="3205" t="s">
        <v>3696</v>
      </c>
      <c r="C91" s="3206"/>
      <c r="D91" s="3104" t="s">
        <v>3786</v>
      </c>
      <c r="E91" s="3104" t="s">
        <v>463</v>
      </c>
      <c r="F91" s="3105">
        <v>89.32</v>
      </c>
      <c r="G91" s="3106" t="s">
        <v>3166</v>
      </c>
    </row>
    <row r="92" spans="1:7" ht="26.25" hidden="1" thickBot="1">
      <c r="A92" s="3103">
        <v>439</v>
      </c>
      <c r="B92" s="3205" t="s">
        <v>3696</v>
      </c>
      <c r="C92" s="3206"/>
      <c r="D92" s="3104" t="s">
        <v>3787</v>
      </c>
      <c r="E92" s="3104" t="s">
        <v>463</v>
      </c>
      <c r="F92" s="3105">
        <v>89.94</v>
      </c>
      <c r="G92" s="3106" t="s">
        <v>3166</v>
      </c>
    </row>
    <row r="93" spans="1:7" ht="26.25" hidden="1" thickBot="1">
      <c r="A93" s="3103">
        <v>440</v>
      </c>
      <c r="B93" s="3205" t="s">
        <v>3696</v>
      </c>
      <c r="C93" s="3206"/>
      <c r="D93" s="3104" t="s">
        <v>3788</v>
      </c>
      <c r="E93" s="3104" t="s">
        <v>463</v>
      </c>
      <c r="F93" s="3105">
        <v>89.32</v>
      </c>
      <c r="G93" s="3106" t="s">
        <v>3166</v>
      </c>
    </row>
    <row r="94" spans="1:7" ht="26.25" hidden="1" thickBot="1">
      <c r="A94" s="3103">
        <v>441</v>
      </c>
      <c r="B94" s="3205" t="s">
        <v>3696</v>
      </c>
      <c r="C94" s="3206"/>
      <c r="D94" s="3104" t="s">
        <v>3789</v>
      </c>
      <c r="E94" s="3104" t="s">
        <v>463</v>
      </c>
      <c r="F94" s="3105">
        <v>89.94</v>
      </c>
      <c r="G94" s="3106" t="s">
        <v>3166</v>
      </c>
    </row>
    <row r="95" spans="1:7" ht="26.25" hidden="1" thickBot="1">
      <c r="A95" s="3103">
        <v>443</v>
      </c>
      <c r="B95" s="3205" t="s">
        <v>3696</v>
      </c>
      <c r="C95" s="3206"/>
      <c r="D95" s="3104" t="s">
        <v>3790</v>
      </c>
      <c r="E95" s="3104" t="s">
        <v>463</v>
      </c>
      <c r="F95" s="3105">
        <v>89.94</v>
      </c>
      <c r="G95" s="3106" t="s">
        <v>3166</v>
      </c>
    </row>
    <row r="96" spans="1:7" ht="26.25" hidden="1" thickBot="1">
      <c r="A96" s="3103">
        <v>444</v>
      </c>
      <c r="B96" s="3205" t="s">
        <v>3696</v>
      </c>
      <c r="C96" s="3206"/>
      <c r="D96" s="3104" t="s">
        <v>3791</v>
      </c>
      <c r="E96" s="3104" t="s">
        <v>463</v>
      </c>
      <c r="F96" s="3105">
        <v>89.32</v>
      </c>
      <c r="G96" s="3106" t="s">
        <v>3166</v>
      </c>
    </row>
    <row r="97" spans="1:7" ht="26.25" hidden="1" thickBot="1">
      <c r="A97" s="3103">
        <v>445</v>
      </c>
      <c r="B97" s="3205" t="s">
        <v>3696</v>
      </c>
      <c r="C97" s="3206"/>
      <c r="D97" s="3104" t="s">
        <v>3792</v>
      </c>
      <c r="E97" s="3104" t="s">
        <v>463</v>
      </c>
      <c r="F97" s="3105">
        <v>89.94</v>
      </c>
      <c r="G97" s="3106" t="s">
        <v>3166</v>
      </c>
    </row>
    <row r="98" spans="1:7" ht="26.25" hidden="1" thickBot="1">
      <c r="A98" s="3103">
        <v>446</v>
      </c>
      <c r="B98" s="3205" t="s">
        <v>3696</v>
      </c>
      <c r="C98" s="3206"/>
      <c r="D98" s="3104" t="s">
        <v>3793</v>
      </c>
      <c r="E98" s="3104" t="s">
        <v>463</v>
      </c>
      <c r="F98" s="3105">
        <v>89.32</v>
      </c>
      <c r="G98" s="3106" t="s">
        <v>3166</v>
      </c>
    </row>
    <row r="99" spans="1:7" ht="26.25" hidden="1" thickBot="1">
      <c r="A99" s="3103">
        <v>447</v>
      </c>
      <c r="B99" s="3205" t="s">
        <v>3696</v>
      </c>
      <c r="C99" s="3206"/>
      <c r="D99" s="3104" t="s">
        <v>3794</v>
      </c>
      <c r="E99" s="3104" t="s">
        <v>463</v>
      </c>
      <c r="F99" s="3105">
        <v>89.94</v>
      </c>
      <c r="G99" s="3106" t="s">
        <v>3166</v>
      </c>
    </row>
    <row r="100" spans="1:7" ht="26.25" hidden="1" thickBot="1">
      <c r="A100" s="3103">
        <v>448</v>
      </c>
      <c r="B100" s="3205" t="s">
        <v>3696</v>
      </c>
      <c r="C100" s="3206"/>
      <c r="D100" s="3104" t="s">
        <v>3795</v>
      </c>
      <c r="E100" s="3104" t="s">
        <v>463</v>
      </c>
      <c r="F100" s="3105">
        <v>89.32</v>
      </c>
      <c r="G100" s="3106" t="s">
        <v>3166</v>
      </c>
    </row>
    <row r="101" spans="1:7" ht="15" hidden="1" thickBot="1">
      <c r="A101" s="3103">
        <v>456</v>
      </c>
      <c r="B101" s="3205" t="s">
        <v>3696</v>
      </c>
      <c r="C101" s="3206"/>
      <c r="D101" s="3104" t="s">
        <v>3796</v>
      </c>
      <c r="E101" s="3104" t="s">
        <v>463</v>
      </c>
      <c r="F101" s="3105">
        <v>89.32</v>
      </c>
      <c r="G101" s="3106" t="s">
        <v>3166</v>
      </c>
    </row>
    <row r="102" spans="1:7" ht="15" hidden="1" thickBot="1">
      <c r="A102" s="3103">
        <v>466</v>
      </c>
      <c r="B102" s="3205" t="s">
        <v>3696</v>
      </c>
      <c r="C102" s="3206"/>
      <c r="D102" s="3104" t="s">
        <v>3797</v>
      </c>
      <c r="E102" s="3104" t="s">
        <v>463</v>
      </c>
      <c r="F102" s="3105">
        <v>89.32</v>
      </c>
      <c r="G102" s="3106" t="s">
        <v>3166</v>
      </c>
    </row>
    <row r="103" spans="1:7" ht="26.25" hidden="1" thickBot="1">
      <c r="A103" s="3103">
        <v>469</v>
      </c>
      <c r="B103" s="3205" t="s">
        <v>3696</v>
      </c>
      <c r="C103" s="3206"/>
      <c r="D103" s="3104" t="s">
        <v>3798</v>
      </c>
      <c r="E103" s="3104" t="s">
        <v>463</v>
      </c>
      <c r="F103" s="3105">
        <v>81.25</v>
      </c>
      <c r="G103" s="3106" t="s">
        <v>3166</v>
      </c>
    </row>
    <row r="104" spans="1:7" ht="26.25" hidden="1" thickBot="1">
      <c r="A104" s="3103">
        <v>470</v>
      </c>
      <c r="B104" s="3205" t="s">
        <v>3696</v>
      </c>
      <c r="C104" s="3206"/>
      <c r="D104" s="3104" t="s">
        <v>3799</v>
      </c>
      <c r="E104" s="3104" t="s">
        <v>463</v>
      </c>
      <c r="F104" s="3105">
        <v>89.32</v>
      </c>
      <c r="G104" s="3106" t="s">
        <v>3166</v>
      </c>
    </row>
    <row r="105" spans="1:7" ht="26.25" hidden="1" thickBot="1">
      <c r="A105" s="3103">
        <v>474</v>
      </c>
      <c r="B105" s="3205" t="s">
        <v>3696</v>
      </c>
      <c r="C105" s="3206"/>
      <c r="D105" s="3104" t="s">
        <v>3800</v>
      </c>
      <c r="E105" s="3104" t="s">
        <v>463</v>
      </c>
      <c r="F105" s="3105">
        <v>89.32</v>
      </c>
      <c r="G105" s="3106" t="s">
        <v>3166</v>
      </c>
    </row>
    <row r="106" spans="1:7" ht="15" hidden="1" thickBot="1">
      <c r="A106" s="3103">
        <v>481</v>
      </c>
      <c r="B106" s="3205" t="s">
        <v>3696</v>
      </c>
      <c r="C106" s="3206"/>
      <c r="D106" s="3104" t="s">
        <v>3801</v>
      </c>
      <c r="E106" s="3104" t="s">
        <v>463</v>
      </c>
      <c r="F106" s="3105">
        <v>89.32</v>
      </c>
      <c r="G106" s="3106" t="s">
        <v>3166</v>
      </c>
    </row>
    <row r="107" spans="1:7" ht="15" hidden="1" thickBot="1">
      <c r="A107" s="3103">
        <v>493</v>
      </c>
      <c r="B107" s="3205" t="s">
        <v>3696</v>
      </c>
      <c r="C107" s="3206"/>
      <c r="D107" s="3104" t="s">
        <v>3802</v>
      </c>
      <c r="E107" s="3104" t="s">
        <v>463</v>
      </c>
      <c r="F107" s="3105">
        <v>89.32</v>
      </c>
      <c r="G107" s="3106" t="s">
        <v>3166</v>
      </c>
    </row>
    <row r="108" spans="1:7" ht="15" hidden="1" thickBot="1">
      <c r="A108" s="3103">
        <v>495</v>
      </c>
      <c r="B108" s="3205" t="s">
        <v>3696</v>
      </c>
      <c r="C108" s="3206"/>
      <c r="D108" s="3104" t="s">
        <v>3803</v>
      </c>
      <c r="E108" s="3104" t="s">
        <v>463</v>
      </c>
      <c r="F108" s="3105">
        <v>89.32</v>
      </c>
      <c r="G108" s="3106" t="s">
        <v>3166</v>
      </c>
    </row>
    <row r="109" spans="1:7" ht="15" hidden="1" thickBot="1">
      <c r="A109" s="3103">
        <v>496</v>
      </c>
      <c r="B109" s="3205" t="s">
        <v>3696</v>
      </c>
      <c r="C109" s="3206"/>
      <c r="D109" s="3104" t="s">
        <v>3804</v>
      </c>
      <c r="E109" s="3104" t="s">
        <v>463</v>
      </c>
      <c r="F109" s="3105">
        <v>81.25</v>
      </c>
      <c r="G109" s="3106" t="s">
        <v>3166</v>
      </c>
    </row>
    <row r="110" spans="1:7" ht="26.25" hidden="1" thickBot="1">
      <c r="A110" s="3103">
        <v>501</v>
      </c>
      <c r="B110" s="3205" t="s">
        <v>3696</v>
      </c>
      <c r="C110" s="3206"/>
      <c r="D110" s="3104" t="s">
        <v>3805</v>
      </c>
      <c r="E110" s="3104" t="s">
        <v>463</v>
      </c>
      <c r="F110" s="3105">
        <v>82.14</v>
      </c>
      <c r="G110" s="3106" t="s">
        <v>3166</v>
      </c>
    </row>
    <row r="111" spans="1:7" ht="26.25" hidden="1" thickBot="1">
      <c r="A111" s="3103">
        <v>504</v>
      </c>
      <c r="B111" s="3205" t="s">
        <v>3696</v>
      </c>
      <c r="C111" s="3206"/>
      <c r="D111" s="3104" t="s">
        <v>3806</v>
      </c>
      <c r="E111" s="3104" t="s">
        <v>463</v>
      </c>
      <c r="F111" s="3105">
        <v>81.25</v>
      </c>
      <c r="G111" s="3106" t="s">
        <v>3166</v>
      </c>
    </row>
    <row r="112" spans="1:7" ht="15" hidden="1" thickBot="1">
      <c r="A112" s="3103">
        <v>516</v>
      </c>
      <c r="B112" s="3205" t="s">
        <v>3696</v>
      </c>
      <c r="C112" s="3206"/>
      <c r="D112" s="3104" t="s">
        <v>3807</v>
      </c>
      <c r="E112" s="3104" t="s">
        <v>463</v>
      </c>
      <c r="F112" s="3105">
        <v>89.32</v>
      </c>
      <c r="G112" s="3106" t="s">
        <v>3166</v>
      </c>
    </row>
    <row r="113" spans="1:7" ht="15" hidden="1" thickBot="1">
      <c r="A113" s="3103">
        <v>519</v>
      </c>
      <c r="B113" s="3205" t="s">
        <v>3696</v>
      </c>
      <c r="C113" s="3206"/>
      <c r="D113" s="3104" t="s">
        <v>3808</v>
      </c>
      <c r="E113" s="3104" t="s">
        <v>463</v>
      </c>
      <c r="F113" s="3105">
        <v>81.25</v>
      </c>
      <c r="G113" s="3106" t="s">
        <v>3166</v>
      </c>
    </row>
    <row r="114" spans="1:7" ht="15" hidden="1" thickBot="1">
      <c r="A114" s="3103">
        <v>523</v>
      </c>
      <c r="B114" s="3205" t="s">
        <v>3696</v>
      </c>
      <c r="C114" s="3206"/>
      <c r="D114" s="3104" t="s">
        <v>3809</v>
      </c>
      <c r="E114" s="3104" t="s">
        <v>463</v>
      </c>
      <c r="F114" s="3105">
        <v>81.25</v>
      </c>
      <c r="G114" s="3106" t="s">
        <v>3166</v>
      </c>
    </row>
    <row r="115" spans="1:7" ht="15" hidden="1" thickBot="1">
      <c r="A115" s="3103">
        <v>524</v>
      </c>
      <c r="B115" s="3205" t="s">
        <v>3696</v>
      </c>
      <c r="C115" s="3206"/>
      <c r="D115" s="3104" t="s">
        <v>3810</v>
      </c>
      <c r="E115" s="3104" t="s">
        <v>463</v>
      </c>
      <c r="F115" s="3105">
        <v>89.32</v>
      </c>
      <c r="G115" s="3106" t="s">
        <v>3166</v>
      </c>
    </row>
    <row r="116" spans="1:7" ht="26.25" hidden="1" thickBot="1">
      <c r="A116" s="3103">
        <v>532</v>
      </c>
      <c r="B116" s="3205" t="s">
        <v>3696</v>
      </c>
      <c r="C116" s="3206"/>
      <c r="D116" s="3104" t="s">
        <v>3811</v>
      </c>
      <c r="E116" s="3104" t="s">
        <v>463</v>
      </c>
      <c r="F116" s="3105">
        <v>82.14</v>
      </c>
      <c r="G116" s="3106" t="s">
        <v>3166</v>
      </c>
    </row>
    <row r="117" spans="1:7" ht="26.25" hidden="1" thickBot="1">
      <c r="A117" s="3103">
        <v>535</v>
      </c>
      <c r="B117" s="3205" t="s">
        <v>3696</v>
      </c>
      <c r="C117" s="3206"/>
      <c r="D117" s="3104" t="s">
        <v>3812</v>
      </c>
      <c r="E117" s="3104" t="s">
        <v>463</v>
      </c>
      <c r="F117" s="3105">
        <v>81.25</v>
      </c>
      <c r="G117" s="3106" t="s">
        <v>3166</v>
      </c>
    </row>
    <row r="118" spans="1:7" ht="15" hidden="1" thickBot="1">
      <c r="A118" s="3103">
        <v>541</v>
      </c>
      <c r="B118" s="3205" t="s">
        <v>3696</v>
      </c>
      <c r="C118" s="3206"/>
      <c r="D118" s="3104" t="s">
        <v>3813</v>
      </c>
      <c r="E118" s="3104" t="s">
        <v>463</v>
      </c>
      <c r="F118" s="3105">
        <v>89.32</v>
      </c>
      <c r="G118" s="3106" t="s">
        <v>3166</v>
      </c>
    </row>
    <row r="119" spans="1:7" ht="15" hidden="1" thickBot="1">
      <c r="A119" s="3103">
        <v>546</v>
      </c>
      <c r="B119" s="3205" t="s">
        <v>3696</v>
      </c>
      <c r="C119" s="3206"/>
      <c r="D119" s="3104" t="s">
        <v>3814</v>
      </c>
      <c r="E119" s="3104" t="s">
        <v>463</v>
      </c>
      <c r="F119" s="3105">
        <v>89.94</v>
      </c>
      <c r="G119" s="3106" t="s">
        <v>3166</v>
      </c>
    </row>
    <row r="120" spans="1:7" ht="15" hidden="1" thickBot="1">
      <c r="A120" s="3103">
        <v>547</v>
      </c>
      <c r="B120" s="3205" t="s">
        <v>3696</v>
      </c>
      <c r="C120" s="3206"/>
      <c r="D120" s="3104" t="s">
        <v>3815</v>
      </c>
      <c r="E120" s="3104" t="s">
        <v>463</v>
      </c>
      <c r="F120" s="3105">
        <v>89.32</v>
      </c>
      <c r="G120" s="3106" t="s">
        <v>3166</v>
      </c>
    </row>
    <row r="121" spans="1:7" ht="15" hidden="1" thickBot="1">
      <c r="A121" s="3103">
        <v>551</v>
      </c>
      <c r="B121" s="3205" t="s">
        <v>3696</v>
      </c>
      <c r="C121" s="3206"/>
      <c r="D121" s="3104" t="s">
        <v>3816</v>
      </c>
      <c r="E121" s="3104" t="s">
        <v>463</v>
      </c>
      <c r="F121" s="3105">
        <v>89.32</v>
      </c>
      <c r="G121" s="3106" t="s">
        <v>3166</v>
      </c>
    </row>
    <row r="122" spans="1:7" ht="15" hidden="1" thickBot="1">
      <c r="A122" s="3103">
        <v>572</v>
      </c>
      <c r="B122" s="3205" t="s">
        <v>3696</v>
      </c>
      <c r="C122" s="3206"/>
      <c r="D122" s="3104" t="s">
        <v>3817</v>
      </c>
      <c r="E122" s="3104" t="s">
        <v>463</v>
      </c>
      <c r="F122" s="3105">
        <v>89.14</v>
      </c>
      <c r="G122" s="3106" t="s">
        <v>3166</v>
      </c>
    </row>
    <row r="123" spans="1:7" ht="26.25" hidden="1" thickBot="1">
      <c r="A123" s="3103">
        <v>589</v>
      </c>
      <c r="B123" s="3205" t="s">
        <v>3696</v>
      </c>
      <c r="C123" s="3206"/>
      <c r="D123" s="3104" t="s">
        <v>3818</v>
      </c>
      <c r="E123" s="3104" t="s">
        <v>463</v>
      </c>
      <c r="F123" s="3105">
        <v>81.98</v>
      </c>
      <c r="G123" s="3106" t="s">
        <v>3166</v>
      </c>
    </row>
    <row r="124" spans="1:7" ht="15" hidden="1" thickBot="1">
      <c r="A124" s="3103">
        <v>596</v>
      </c>
      <c r="B124" s="3205" t="s">
        <v>3696</v>
      </c>
      <c r="C124" s="3206"/>
      <c r="D124" s="3104" t="s">
        <v>3819</v>
      </c>
      <c r="E124" s="3104" t="s">
        <v>463</v>
      </c>
      <c r="F124" s="3105">
        <v>89.14</v>
      </c>
      <c r="G124" s="3106" t="s">
        <v>3166</v>
      </c>
    </row>
    <row r="125" spans="1:7" ht="15" hidden="1" thickBot="1">
      <c r="A125" s="3103">
        <v>599</v>
      </c>
      <c r="B125" s="3205" t="s">
        <v>3696</v>
      </c>
      <c r="C125" s="3206"/>
      <c r="D125" s="3104" t="s">
        <v>3820</v>
      </c>
      <c r="E125" s="3104" t="s">
        <v>463</v>
      </c>
      <c r="F125" s="3105">
        <v>81.09</v>
      </c>
      <c r="G125" s="3106" t="s">
        <v>3166</v>
      </c>
    </row>
    <row r="126" spans="1:7" ht="26.25" hidden="1" thickBot="1">
      <c r="A126" s="3103">
        <v>609</v>
      </c>
      <c r="B126" s="3205" t="s">
        <v>3696</v>
      </c>
      <c r="C126" s="3206"/>
      <c r="D126" s="3104" t="s">
        <v>3821</v>
      </c>
      <c r="E126" s="3104" t="s">
        <v>463</v>
      </c>
      <c r="F126" s="3105">
        <v>81.98</v>
      </c>
      <c r="G126" s="3106" t="s">
        <v>3166</v>
      </c>
    </row>
    <row r="127" spans="1:7" ht="26.25" hidden="1" thickBot="1">
      <c r="A127" s="3103">
        <v>613</v>
      </c>
      <c r="B127" s="3205" t="s">
        <v>3696</v>
      </c>
      <c r="C127" s="3206"/>
      <c r="D127" s="3104" t="s">
        <v>3822</v>
      </c>
      <c r="E127" s="3104" t="s">
        <v>463</v>
      </c>
      <c r="F127" s="3105">
        <v>89.14</v>
      </c>
      <c r="G127" s="3106" t="s">
        <v>3166</v>
      </c>
    </row>
    <row r="128" spans="1:7" ht="15" hidden="1" thickBot="1">
      <c r="A128" s="3103">
        <v>619</v>
      </c>
      <c r="B128" s="3205" t="s">
        <v>3696</v>
      </c>
      <c r="C128" s="3206"/>
      <c r="D128" s="3104" t="s">
        <v>3823</v>
      </c>
      <c r="E128" s="3104" t="s">
        <v>463</v>
      </c>
      <c r="F128" s="3105">
        <v>81.09</v>
      </c>
      <c r="G128" s="3106" t="s">
        <v>3166</v>
      </c>
    </row>
    <row r="129" spans="1:7" ht="15" hidden="1" thickBot="1">
      <c r="A129" s="3103">
        <v>620</v>
      </c>
      <c r="B129" s="3205" t="s">
        <v>3696</v>
      </c>
      <c r="C129" s="3206"/>
      <c r="D129" s="3104" t="s">
        <v>3824</v>
      </c>
      <c r="E129" s="3104" t="s">
        <v>463</v>
      </c>
      <c r="F129" s="3105">
        <v>89.14</v>
      </c>
      <c r="G129" s="3106" t="s">
        <v>3166</v>
      </c>
    </row>
    <row r="130" spans="1:7" ht="15" hidden="1" thickBot="1">
      <c r="A130" s="3103">
        <v>621</v>
      </c>
      <c r="B130" s="3205" t="s">
        <v>3696</v>
      </c>
      <c r="C130" s="3206"/>
      <c r="D130" s="3104" t="s">
        <v>3825</v>
      </c>
      <c r="E130" s="3104" t="s">
        <v>463</v>
      </c>
      <c r="F130" s="3105">
        <v>81.09</v>
      </c>
      <c r="G130" s="3106" t="s">
        <v>3166</v>
      </c>
    </row>
    <row r="131" spans="1:7" ht="15" hidden="1" thickBot="1">
      <c r="A131" s="3103">
        <v>622</v>
      </c>
      <c r="B131" s="3205" t="s">
        <v>3696</v>
      </c>
      <c r="C131" s="3206"/>
      <c r="D131" s="3104" t="s">
        <v>3826</v>
      </c>
      <c r="E131" s="3104" t="s">
        <v>463</v>
      </c>
      <c r="F131" s="3105">
        <v>81.09</v>
      </c>
      <c r="G131" s="3106" t="s">
        <v>3166</v>
      </c>
    </row>
    <row r="132" spans="1:7" ht="26.25" hidden="1" thickBot="1">
      <c r="A132" s="3103">
        <v>631</v>
      </c>
      <c r="B132" s="3205" t="s">
        <v>3696</v>
      </c>
      <c r="C132" s="3206"/>
      <c r="D132" s="3104" t="s">
        <v>3827</v>
      </c>
      <c r="E132" s="3104" t="s">
        <v>463</v>
      </c>
      <c r="F132" s="3105">
        <v>81.98</v>
      </c>
      <c r="G132" s="3106" t="s">
        <v>3166</v>
      </c>
    </row>
    <row r="133" spans="1:7" ht="15" hidden="1" thickBot="1">
      <c r="A133" s="3103">
        <v>644</v>
      </c>
      <c r="B133" s="3205" t="s">
        <v>3696</v>
      </c>
      <c r="C133" s="3206"/>
      <c r="D133" s="3104" t="s">
        <v>3828</v>
      </c>
      <c r="E133" s="3104" t="s">
        <v>463</v>
      </c>
      <c r="F133" s="3105">
        <v>89.77</v>
      </c>
      <c r="G133" s="3106" t="s">
        <v>3166</v>
      </c>
    </row>
    <row r="134" spans="1:7" ht="26.25" hidden="1" thickBot="1">
      <c r="A134" s="3103">
        <v>645</v>
      </c>
      <c r="B134" s="3205" t="s">
        <v>3696</v>
      </c>
      <c r="C134" s="3206"/>
      <c r="D134" s="3104" t="s">
        <v>3829</v>
      </c>
      <c r="E134" s="3104" t="s">
        <v>463</v>
      </c>
      <c r="F134" s="3105">
        <v>89.14</v>
      </c>
      <c r="G134" s="3106" t="s">
        <v>3166</v>
      </c>
    </row>
    <row r="135" spans="1:7" ht="26.25" hidden="1" thickBot="1">
      <c r="A135" s="3103">
        <v>647</v>
      </c>
      <c r="B135" s="3205" t="s">
        <v>3696</v>
      </c>
      <c r="C135" s="3206"/>
      <c r="D135" s="3104" t="s">
        <v>3830</v>
      </c>
      <c r="E135" s="3104" t="s">
        <v>463</v>
      </c>
      <c r="F135" s="3105">
        <v>81.98</v>
      </c>
      <c r="G135" s="3106" t="s">
        <v>3166</v>
      </c>
    </row>
    <row r="136" spans="1:7" ht="15" hidden="1" thickBot="1">
      <c r="A136" s="3103">
        <v>675</v>
      </c>
      <c r="B136" s="3205" t="s">
        <v>3696</v>
      </c>
      <c r="C136" s="3206"/>
      <c r="D136" s="3104" t="s">
        <v>3831</v>
      </c>
      <c r="E136" s="3104" t="s">
        <v>463</v>
      </c>
      <c r="F136" s="3105">
        <v>82.01</v>
      </c>
      <c r="G136" s="3106" t="s">
        <v>3166</v>
      </c>
    </row>
    <row r="137" spans="1:7" ht="15" hidden="1" thickBot="1">
      <c r="A137" s="3103">
        <v>679</v>
      </c>
      <c r="B137" s="3205" t="s">
        <v>3696</v>
      </c>
      <c r="C137" s="3206"/>
      <c r="D137" s="3104" t="s">
        <v>3832</v>
      </c>
      <c r="E137" s="3104" t="s">
        <v>463</v>
      </c>
      <c r="F137" s="3105">
        <v>89.18</v>
      </c>
      <c r="G137" s="3106" t="s">
        <v>3166</v>
      </c>
    </row>
    <row r="138" spans="1:7" ht="15" hidden="1" thickBot="1">
      <c r="A138" s="3103">
        <v>683</v>
      </c>
      <c r="B138" s="3205" t="s">
        <v>3696</v>
      </c>
      <c r="C138" s="3206"/>
      <c r="D138" s="3104" t="s">
        <v>3833</v>
      </c>
      <c r="E138" s="3104" t="s">
        <v>463</v>
      </c>
      <c r="F138" s="3105">
        <v>81.12</v>
      </c>
      <c r="G138" s="3106" t="s">
        <v>3166</v>
      </c>
    </row>
    <row r="139" spans="1:7" ht="15" hidden="1" thickBot="1">
      <c r="A139" s="3103">
        <v>692</v>
      </c>
      <c r="B139" s="3205" t="s">
        <v>3696</v>
      </c>
      <c r="C139" s="3206"/>
      <c r="D139" s="3104" t="s">
        <v>3834</v>
      </c>
      <c r="E139" s="3104" t="s">
        <v>463</v>
      </c>
      <c r="F139" s="3105">
        <v>89.18</v>
      </c>
      <c r="G139" s="3106" t="s">
        <v>3166</v>
      </c>
    </row>
    <row r="140" spans="1:7" ht="15" hidden="1" thickBot="1">
      <c r="A140" s="3103">
        <v>696</v>
      </c>
      <c r="B140" s="3205" t="s">
        <v>3696</v>
      </c>
      <c r="C140" s="3206"/>
      <c r="D140" s="3104" t="s">
        <v>3835</v>
      </c>
      <c r="E140" s="3104" t="s">
        <v>463</v>
      </c>
      <c r="F140" s="3105">
        <v>89.18</v>
      </c>
      <c r="G140" s="3106" t="s">
        <v>3166</v>
      </c>
    </row>
    <row r="141" spans="1:7" ht="15" hidden="1" thickBot="1">
      <c r="A141" s="3103">
        <v>704</v>
      </c>
      <c r="B141" s="3205" t="s">
        <v>3696</v>
      </c>
      <c r="C141" s="3206"/>
      <c r="D141" s="3104" t="s">
        <v>3836</v>
      </c>
      <c r="E141" s="3104" t="s">
        <v>463</v>
      </c>
      <c r="F141" s="3105">
        <v>82.01</v>
      </c>
      <c r="G141" s="3106" t="s">
        <v>3166</v>
      </c>
    </row>
    <row r="142" spans="1:7" ht="15" hidden="1" thickBot="1">
      <c r="A142" s="3103">
        <v>728</v>
      </c>
      <c r="B142" s="3205" t="s">
        <v>3696</v>
      </c>
      <c r="C142" s="3206"/>
      <c r="D142" s="3104" t="s">
        <v>3837</v>
      </c>
      <c r="E142" s="3104" t="s">
        <v>463</v>
      </c>
      <c r="F142" s="3105">
        <v>89.18</v>
      </c>
      <c r="G142" s="3106" t="s">
        <v>3166</v>
      </c>
    </row>
    <row r="143" spans="1:7" ht="15" hidden="1" thickBot="1">
      <c r="A143" s="3103">
        <v>730</v>
      </c>
      <c r="B143" s="3205" t="s">
        <v>3696</v>
      </c>
      <c r="C143" s="3206"/>
      <c r="D143" s="3104" t="s">
        <v>3838</v>
      </c>
      <c r="E143" s="3104" t="s">
        <v>463</v>
      </c>
      <c r="F143" s="3105">
        <v>89.18</v>
      </c>
      <c r="G143" s="3106" t="s">
        <v>3166</v>
      </c>
    </row>
    <row r="144" spans="1:7" ht="15" hidden="1" thickBot="1">
      <c r="A144" s="3103">
        <v>734</v>
      </c>
      <c r="B144" s="3205" t="s">
        <v>3696</v>
      </c>
      <c r="C144" s="3206"/>
      <c r="D144" s="3104" t="s">
        <v>3839</v>
      </c>
      <c r="E144" s="3104" t="s">
        <v>463</v>
      </c>
      <c r="F144" s="3105">
        <v>82.01</v>
      </c>
      <c r="G144" s="3106" t="s">
        <v>3166</v>
      </c>
    </row>
    <row r="145" spans="1:7" ht="15" hidden="1" thickBot="1">
      <c r="A145" s="3103">
        <v>736</v>
      </c>
      <c r="B145" s="3205" t="s">
        <v>3696</v>
      </c>
      <c r="C145" s="3206"/>
      <c r="D145" s="3104" t="s">
        <v>3840</v>
      </c>
      <c r="E145" s="3104" t="s">
        <v>463</v>
      </c>
      <c r="F145" s="3105">
        <v>89.18</v>
      </c>
      <c r="G145" s="3106" t="s">
        <v>3166</v>
      </c>
    </row>
    <row r="146" spans="1:7" ht="15" hidden="1" thickBot="1">
      <c r="A146" s="3103">
        <v>740</v>
      </c>
      <c r="B146" s="3205" t="s">
        <v>3696</v>
      </c>
      <c r="C146" s="3206"/>
      <c r="D146" s="3104" t="s">
        <v>3841</v>
      </c>
      <c r="E146" s="3104" t="s">
        <v>463</v>
      </c>
      <c r="F146" s="3105">
        <v>89.18</v>
      </c>
      <c r="G146" s="3106" t="s">
        <v>3166</v>
      </c>
    </row>
    <row r="147" spans="1:7" ht="15" hidden="1" thickBot="1">
      <c r="A147" s="3103">
        <v>743</v>
      </c>
      <c r="B147" s="3205" t="s">
        <v>3696</v>
      </c>
      <c r="C147" s="3206"/>
      <c r="D147" s="3104" t="s">
        <v>3842</v>
      </c>
      <c r="E147" s="3104" t="s">
        <v>463</v>
      </c>
      <c r="F147" s="3105">
        <v>70.52</v>
      </c>
      <c r="G147" s="3106" t="s">
        <v>3166</v>
      </c>
    </row>
    <row r="148" spans="1:7" ht="15" thickBot="1">
      <c r="A148" s="3103">
        <v>748</v>
      </c>
      <c r="B148" s="3205" t="s">
        <v>3164</v>
      </c>
      <c r="C148" s="3206"/>
      <c r="D148" s="3104" t="s">
        <v>3843</v>
      </c>
      <c r="E148" s="3104" t="s">
        <v>463</v>
      </c>
      <c r="F148" s="3105">
        <v>54.07</v>
      </c>
      <c r="G148" s="3106" t="s">
        <v>3166</v>
      </c>
    </row>
    <row r="149" spans="1:7" ht="15" thickBot="1">
      <c r="A149" s="3103">
        <v>749</v>
      </c>
      <c r="B149" s="3205" t="s">
        <v>3164</v>
      </c>
      <c r="C149" s="3206"/>
      <c r="D149" s="3104" t="s">
        <v>3844</v>
      </c>
      <c r="E149" s="3104" t="s">
        <v>463</v>
      </c>
      <c r="F149" s="3105">
        <v>51.67</v>
      </c>
      <c r="G149" s="3106" t="s">
        <v>3166</v>
      </c>
    </row>
    <row r="150" spans="1:7" ht="15" thickBot="1">
      <c r="A150" s="3103">
        <v>750</v>
      </c>
      <c r="B150" s="3205" t="s">
        <v>3164</v>
      </c>
      <c r="C150" s="3206"/>
      <c r="D150" s="3104" t="s">
        <v>3845</v>
      </c>
      <c r="E150" s="3104" t="s">
        <v>463</v>
      </c>
      <c r="F150" s="3105">
        <v>51.47</v>
      </c>
      <c r="G150" s="3106" t="s">
        <v>3166</v>
      </c>
    </row>
    <row r="151" spans="1:7" ht="15" thickBot="1">
      <c r="A151" s="3103">
        <v>751</v>
      </c>
      <c r="B151" s="3205" t="s">
        <v>3164</v>
      </c>
      <c r="C151" s="3206"/>
      <c r="D151" s="3104" t="s">
        <v>3846</v>
      </c>
      <c r="E151" s="3104" t="s">
        <v>463</v>
      </c>
      <c r="F151" s="3105">
        <v>49.68</v>
      </c>
      <c r="G151" s="3106" t="s">
        <v>3166</v>
      </c>
    </row>
    <row r="152" spans="1:7" ht="15" thickBot="1">
      <c r="A152" s="3103">
        <v>752</v>
      </c>
      <c r="B152" s="3205" t="s">
        <v>3164</v>
      </c>
      <c r="C152" s="3206"/>
      <c r="D152" s="3104" t="s">
        <v>3847</v>
      </c>
      <c r="E152" s="3104" t="s">
        <v>463</v>
      </c>
      <c r="F152" s="3105">
        <v>76.73</v>
      </c>
      <c r="G152" s="3106" t="s">
        <v>3166</v>
      </c>
    </row>
    <row r="153" spans="1:7" ht="15" thickBot="1">
      <c r="A153" s="3103">
        <v>753</v>
      </c>
      <c r="B153" s="3205" t="s">
        <v>3164</v>
      </c>
      <c r="C153" s="3206"/>
      <c r="D153" s="3104" t="s">
        <v>3848</v>
      </c>
      <c r="E153" s="3104" t="s">
        <v>463</v>
      </c>
      <c r="F153" s="3105">
        <v>54.07</v>
      </c>
      <c r="G153" s="3106" t="s">
        <v>3166</v>
      </c>
    </row>
    <row r="154" spans="1:7" ht="15" thickBot="1">
      <c r="A154" s="3103">
        <v>754</v>
      </c>
      <c r="B154" s="3205" t="s">
        <v>3164</v>
      </c>
      <c r="C154" s="3206"/>
      <c r="D154" s="3104" t="s">
        <v>3849</v>
      </c>
      <c r="E154" s="3104" t="s">
        <v>463</v>
      </c>
      <c r="F154" s="3105">
        <v>51.67</v>
      </c>
      <c r="G154" s="3106" t="s">
        <v>3166</v>
      </c>
    </row>
    <row r="155" spans="1:7" ht="15" thickBot="1">
      <c r="A155" s="3103">
        <v>756</v>
      </c>
      <c r="B155" s="3205" t="s">
        <v>3164</v>
      </c>
      <c r="C155" s="3206"/>
      <c r="D155" s="3104" t="s">
        <v>3850</v>
      </c>
      <c r="E155" s="3104" t="s">
        <v>463</v>
      </c>
      <c r="F155" s="3105">
        <v>49.79</v>
      </c>
      <c r="G155" s="3106" t="s">
        <v>3166</v>
      </c>
    </row>
    <row r="156" spans="1:7" ht="15" thickBot="1">
      <c r="A156" s="3103">
        <v>757</v>
      </c>
      <c r="B156" s="3205" t="s">
        <v>3164</v>
      </c>
      <c r="C156" s="3206"/>
      <c r="D156" s="3104" t="s">
        <v>3851</v>
      </c>
      <c r="E156" s="3104" t="s">
        <v>463</v>
      </c>
      <c r="F156" s="3105">
        <v>49.88</v>
      </c>
      <c r="G156" s="3106" t="s">
        <v>3166</v>
      </c>
    </row>
    <row r="157" spans="1:7" ht="15" thickBot="1">
      <c r="A157" s="3103">
        <v>758</v>
      </c>
      <c r="B157" s="3205" t="s">
        <v>3164</v>
      </c>
      <c r="C157" s="3206"/>
      <c r="D157" s="3104" t="s">
        <v>3852</v>
      </c>
      <c r="E157" s="3104" t="s">
        <v>463</v>
      </c>
      <c r="F157" s="3105">
        <v>49.27</v>
      </c>
      <c r="G157" s="3106" t="s">
        <v>3166</v>
      </c>
    </row>
    <row r="158" spans="1:7" ht="15" thickBot="1">
      <c r="A158" s="3103">
        <v>760</v>
      </c>
      <c r="B158" s="3205" t="s">
        <v>3164</v>
      </c>
      <c r="C158" s="3206"/>
      <c r="D158" s="3104" t="s">
        <v>3853</v>
      </c>
      <c r="E158" s="3104" t="s">
        <v>463</v>
      </c>
      <c r="F158" s="3105">
        <v>51.67</v>
      </c>
      <c r="G158" s="3106" t="s">
        <v>3166</v>
      </c>
    </row>
    <row r="159" spans="1:7" ht="15" thickBot="1">
      <c r="A159" s="3103">
        <v>763</v>
      </c>
      <c r="B159" s="3205" t="s">
        <v>3164</v>
      </c>
      <c r="C159" s="3206"/>
      <c r="D159" s="3104" t="s">
        <v>3854</v>
      </c>
      <c r="E159" s="3104" t="s">
        <v>463</v>
      </c>
      <c r="F159" s="3105">
        <v>49.27</v>
      </c>
      <c r="G159" s="3106" t="s">
        <v>3166</v>
      </c>
    </row>
    <row r="160" spans="1:7" ht="15" thickBot="1">
      <c r="A160" s="3103">
        <v>765</v>
      </c>
      <c r="B160" s="3205" t="s">
        <v>3164</v>
      </c>
      <c r="C160" s="3206"/>
      <c r="D160" s="3104" t="s">
        <v>3855</v>
      </c>
      <c r="E160" s="3104" t="s">
        <v>463</v>
      </c>
      <c r="F160" s="3105">
        <v>51.67</v>
      </c>
      <c r="G160" s="3106" t="s">
        <v>3166</v>
      </c>
    </row>
    <row r="161" spans="1:7" ht="15" thickBot="1">
      <c r="A161" s="3103">
        <v>766</v>
      </c>
      <c r="B161" s="3205" t="s">
        <v>3164</v>
      </c>
      <c r="C161" s="3206"/>
      <c r="D161" s="3104" t="s">
        <v>3856</v>
      </c>
      <c r="E161" s="3104" t="s">
        <v>463</v>
      </c>
      <c r="F161" s="3105">
        <v>49.79</v>
      </c>
      <c r="G161" s="3106" t="s">
        <v>3166</v>
      </c>
    </row>
    <row r="162" spans="1:7" ht="15" thickBot="1">
      <c r="A162" s="3103">
        <v>768</v>
      </c>
      <c r="B162" s="3205" t="s">
        <v>3164</v>
      </c>
      <c r="C162" s="3206"/>
      <c r="D162" s="3104" t="s">
        <v>3857</v>
      </c>
      <c r="E162" s="3104" t="s">
        <v>463</v>
      </c>
      <c r="F162" s="3105">
        <v>49.27</v>
      </c>
      <c r="G162" s="3106" t="s">
        <v>3166</v>
      </c>
    </row>
    <row r="163" spans="1:7" ht="15" thickBot="1">
      <c r="A163" s="3103">
        <v>769</v>
      </c>
      <c r="B163" s="3205" t="s">
        <v>3164</v>
      </c>
      <c r="C163" s="3206"/>
      <c r="D163" s="3104" t="s">
        <v>3858</v>
      </c>
      <c r="E163" s="3104" t="s">
        <v>463</v>
      </c>
      <c r="F163" s="3105">
        <v>54.07</v>
      </c>
      <c r="G163" s="3106" t="s">
        <v>3166</v>
      </c>
    </row>
    <row r="164" spans="1:7" ht="15" thickBot="1">
      <c r="A164" s="3103">
        <v>770</v>
      </c>
      <c r="B164" s="3205" t="s">
        <v>3164</v>
      </c>
      <c r="C164" s="3206"/>
      <c r="D164" s="3104" t="s">
        <v>3859</v>
      </c>
      <c r="E164" s="3104" t="s">
        <v>463</v>
      </c>
      <c r="F164" s="3105">
        <v>51.67</v>
      </c>
      <c r="G164" s="3106" t="s">
        <v>3166</v>
      </c>
    </row>
    <row r="165" spans="1:7" ht="15" thickBot="1">
      <c r="A165" s="3103">
        <v>773</v>
      </c>
      <c r="B165" s="3205" t="s">
        <v>3164</v>
      </c>
      <c r="C165" s="3206"/>
      <c r="D165" s="3104" t="s">
        <v>3860</v>
      </c>
      <c r="E165" s="3104" t="s">
        <v>463</v>
      </c>
      <c r="F165" s="3105">
        <v>49.27</v>
      </c>
      <c r="G165" s="3106" t="s">
        <v>3166</v>
      </c>
    </row>
    <row r="166" spans="1:7" s="3102" customFormat="1" ht="15" thickBot="1">
      <c r="A166" s="3098">
        <v>774</v>
      </c>
      <c r="B166" s="3207" t="s">
        <v>3164</v>
      </c>
      <c r="C166" s="3208"/>
      <c r="D166" s="3099" t="s">
        <v>3861</v>
      </c>
      <c r="E166" s="3099" t="s">
        <v>463</v>
      </c>
      <c r="F166" s="3100">
        <v>54.07</v>
      </c>
      <c r="G166" s="3101" t="s">
        <v>3166</v>
      </c>
    </row>
    <row r="167" spans="1:7" ht="15" thickBot="1">
      <c r="A167" s="3103">
        <v>775</v>
      </c>
      <c r="B167" s="3205" t="s">
        <v>3164</v>
      </c>
      <c r="C167" s="3206"/>
      <c r="D167" s="3104" t="s">
        <v>3862</v>
      </c>
      <c r="E167" s="3104" t="s">
        <v>463</v>
      </c>
      <c r="F167" s="3105">
        <v>51.67</v>
      </c>
      <c r="G167" s="3106" t="s">
        <v>3166</v>
      </c>
    </row>
    <row r="168" spans="1:7" ht="15" thickBot="1">
      <c r="A168" s="3103">
        <v>778</v>
      </c>
      <c r="B168" s="3205" t="s">
        <v>3164</v>
      </c>
      <c r="C168" s="3206"/>
      <c r="D168" s="3104" t="s">
        <v>3863</v>
      </c>
      <c r="E168" s="3104" t="s">
        <v>463</v>
      </c>
      <c r="F168" s="3105">
        <v>49.27</v>
      </c>
      <c r="G168" s="3106" t="s">
        <v>3166</v>
      </c>
    </row>
    <row r="169" spans="1:7" ht="15" thickBot="1">
      <c r="A169" s="3103">
        <v>779</v>
      </c>
      <c r="B169" s="3205" t="s">
        <v>3164</v>
      </c>
      <c r="C169" s="3206"/>
      <c r="D169" s="3104" t="s">
        <v>3864</v>
      </c>
      <c r="E169" s="3104" t="s">
        <v>463</v>
      </c>
      <c r="F169" s="3105">
        <v>54.07</v>
      </c>
      <c r="G169" s="3106" t="s">
        <v>3166</v>
      </c>
    </row>
    <row r="170" spans="1:7" ht="15" thickBot="1">
      <c r="A170" s="3103">
        <v>783</v>
      </c>
      <c r="B170" s="3205" t="s">
        <v>3164</v>
      </c>
      <c r="C170" s="3206"/>
      <c r="D170" s="3104" t="s">
        <v>3865</v>
      </c>
      <c r="E170" s="3104" t="s">
        <v>463</v>
      </c>
      <c r="F170" s="3105">
        <v>49.27</v>
      </c>
      <c r="G170" s="3106" t="s">
        <v>3166</v>
      </c>
    </row>
    <row r="171" spans="1:7" ht="15" thickBot="1">
      <c r="A171" s="3103">
        <v>785</v>
      </c>
      <c r="B171" s="3205" t="s">
        <v>3164</v>
      </c>
      <c r="C171" s="3206"/>
      <c r="D171" s="3104" t="s">
        <v>3866</v>
      </c>
      <c r="E171" s="3104" t="s">
        <v>463</v>
      </c>
      <c r="F171" s="3105">
        <v>51.67</v>
      </c>
      <c r="G171" s="3106" t="s">
        <v>3166</v>
      </c>
    </row>
    <row r="172" spans="1:7" ht="15" thickBot="1">
      <c r="A172" s="3103">
        <v>787</v>
      </c>
      <c r="B172" s="3205" t="s">
        <v>3164</v>
      </c>
      <c r="C172" s="3206"/>
      <c r="D172" s="3104" t="s">
        <v>3867</v>
      </c>
      <c r="E172" s="3104" t="s">
        <v>463</v>
      </c>
      <c r="F172" s="3105">
        <v>49.88</v>
      </c>
      <c r="G172" s="3106" t="s">
        <v>3166</v>
      </c>
    </row>
    <row r="173" spans="1:7" ht="15" thickBot="1">
      <c r="A173" s="3103">
        <v>788</v>
      </c>
      <c r="B173" s="3205" t="s">
        <v>3164</v>
      </c>
      <c r="C173" s="3206"/>
      <c r="D173" s="3104" t="s">
        <v>3868</v>
      </c>
      <c r="E173" s="3104" t="s">
        <v>463</v>
      </c>
      <c r="F173" s="3105">
        <v>49.27</v>
      </c>
      <c r="G173" s="3106" t="s">
        <v>3166</v>
      </c>
    </row>
    <row r="174" spans="1:7" ht="15" thickBot="1">
      <c r="A174" s="3103">
        <v>789</v>
      </c>
      <c r="B174" s="3205" t="s">
        <v>3164</v>
      </c>
      <c r="C174" s="3206"/>
      <c r="D174" s="3104" t="s">
        <v>3869</v>
      </c>
      <c r="E174" s="3104" t="s">
        <v>463</v>
      </c>
      <c r="F174" s="3105">
        <v>54.07</v>
      </c>
      <c r="G174" s="3106" t="s">
        <v>3166</v>
      </c>
    </row>
    <row r="175" spans="1:7" ht="15" thickBot="1">
      <c r="A175" s="3103">
        <v>790</v>
      </c>
      <c r="B175" s="3205" t="s">
        <v>3164</v>
      </c>
      <c r="C175" s="3206"/>
      <c r="D175" s="3104" t="s">
        <v>3870</v>
      </c>
      <c r="E175" s="3104" t="s">
        <v>463</v>
      </c>
      <c r="F175" s="3105">
        <v>51.67</v>
      </c>
      <c r="G175" s="3106" t="s">
        <v>3166</v>
      </c>
    </row>
    <row r="176" spans="1:7" ht="15" thickBot="1">
      <c r="A176" s="3103">
        <v>793</v>
      </c>
      <c r="B176" s="3205" t="s">
        <v>3164</v>
      </c>
      <c r="C176" s="3206"/>
      <c r="D176" s="3104" t="s">
        <v>3871</v>
      </c>
      <c r="E176" s="3104" t="s">
        <v>463</v>
      </c>
      <c r="F176" s="3105">
        <v>49.27</v>
      </c>
      <c r="G176" s="3106" t="s">
        <v>3166</v>
      </c>
    </row>
    <row r="177" spans="1:7" ht="15" thickBot="1">
      <c r="A177" s="3103">
        <v>794</v>
      </c>
      <c r="B177" s="3205" t="s">
        <v>3164</v>
      </c>
      <c r="C177" s="3206"/>
      <c r="D177" s="3104" t="s">
        <v>3872</v>
      </c>
      <c r="E177" s="3104" t="s">
        <v>463</v>
      </c>
      <c r="F177" s="3105">
        <v>54.07</v>
      </c>
      <c r="G177" s="3106" t="s">
        <v>3166</v>
      </c>
    </row>
    <row r="178" spans="1:7" ht="15" thickBot="1">
      <c r="A178" s="3103">
        <v>795</v>
      </c>
      <c r="B178" s="3205" t="s">
        <v>3164</v>
      </c>
      <c r="C178" s="3206"/>
      <c r="D178" s="3104" t="s">
        <v>3873</v>
      </c>
      <c r="E178" s="3104" t="s">
        <v>463</v>
      </c>
      <c r="F178" s="3105">
        <v>51.67</v>
      </c>
      <c r="G178" s="3106" t="s">
        <v>3166</v>
      </c>
    </row>
    <row r="179" spans="1:7" ht="15" thickBot="1">
      <c r="A179" s="3103">
        <v>796</v>
      </c>
      <c r="B179" s="3205" t="s">
        <v>3164</v>
      </c>
      <c r="C179" s="3206"/>
      <c r="D179" s="3104" t="s">
        <v>3874</v>
      </c>
      <c r="E179" s="3104" t="s">
        <v>463</v>
      </c>
      <c r="F179" s="3105">
        <v>51.76</v>
      </c>
      <c r="G179" s="3106" t="s">
        <v>3166</v>
      </c>
    </row>
    <row r="180" spans="1:7" ht="15" thickBot="1">
      <c r="A180" s="3103">
        <v>799</v>
      </c>
      <c r="B180" s="3205" t="s">
        <v>3164</v>
      </c>
      <c r="C180" s="3206"/>
      <c r="D180" s="3104" t="s">
        <v>3875</v>
      </c>
      <c r="E180" s="3104" t="s">
        <v>463</v>
      </c>
      <c r="F180" s="3105">
        <v>49.27</v>
      </c>
      <c r="G180" s="3106" t="s">
        <v>3166</v>
      </c>
    </row>
    <row r="181" spans="1:7" ht="15" thickBot="1">
      <c r="A181" s="3103">
        <v>800</v>
      </c>
      <c r="B181" s="3205" t="s">
        <v>3164</v>
      </c>
      <c r="C181" s="3206"/>
      <c r="D181" s="3104" t="s">
        <v>3876</v>
      </c>
      <c r="E181" s="3104" t="s">
        <v>463</v>
      </c>
      <c r="F181" s="3105">
        <v>54.07</v>
      </c>
      <c r="G181" s="3106" t="s">
        <v>3166</v>
      </c>
    </row>
    <row r="182" spans="1:7" ht="15" thickBot="1">
      <c r="A182" s="3103">
        <v>801</v>
      </c>
      <c r="B182" s="3205" t="s">
        <v>3164</v>
      </c>
      <c r="C182" s="3206"/>
      <c r="D182" s="3104" t="s">
        <v>3877</v>
      </c>
      <c r="E182" s="3104" t="s">
        <v>463</v>
      </c>
      <c r="F182" s="3105">
        <v>51.67</v>
      </c>
      <c r="G182" s="3106" t="s">
        <v>3166</v>
      </c>
    </row>
    <row r="183" spans="1:7" ht="15" thickBot="1">
      <c r="A183" s="3103">
        <v>803</v>
      </c>
      <c r="B183" s="3205" t="s">
        <v>3164</v>
      </c>
      <c r="C183" s="3206"/>
      <c r="D183" s="3104" t="s">
        <v>3878</v>
      </c>
      <c r="E183" s="3104" t="s">
        <v>463</v>
      </c>
      <c r="F183" s="3105">
        <v>49.88</v>
      </c>
      <c r="G183" s="3106" t="s">
        <v>3166</v>
      </c>
    </row>
    <row r="184" spans="1:7" ht="15" thickBot="1">
      <c r="A184" s="3103">
        <v>804</v>
      </c>
      <c r="B184" s="3205" t="s">
        <v>3164</v>
      </c>
      <c r="C184" s="3206"/>
      <c r="D184" s="3104" t="s">
        <v>3879</v>
      </c>
      <c r="E184" s="3104" t="s">
        <v>463</v>
      </c>
      <c r="F184" s="3105">
        <v>49.27</v>
      </c>
      <c r="G184" s="3106" t="s">
        <v>3166</v>
      </c>
    </row>
    <row r="185" spans="1:7" ht="15" thickBot="1">
      <c r="A185" s="3103">
        <v>805</v>
      </c>
      <c r="B185" s="3205" t="s">
        <v>3164</v>
      </c>
      <c r="C185" s="3206"/>
      <c r="D185" s="3104" t="s">
        <v>3880</v>
      </c>
      <c r="E185" s="3104" t="s">
        <v>463</v>
      </c>
      <c r="F185" s="3105">
        <v>54.07</v>
      </c>
      <c r="G185" s="3106" t="s">
        <v>3166</v>
      </c>
    </row>
    <row r="186" spans="1:7" ht="15" thickBot="1">
      <c r="A186" s="3103">
        <v>806</v>
      </c>
      <c r="B186" s="3205" t="s">
        <v>3164</v>
      </c>
      <c r="C186" s="3206"/>
      <c r="D186" s="3104" t="s">
        <v>3881</v>
      </c>
      <c r="E186" s="3104" t="s">
        <v>463</v>
      </c>
      <c r="F186" s="3105">
        <v>51.67</v>
      </c>
      <c r="G186" s="3106" t="s">
        <v>3166</v>
      </c>
    </row>
    <row r="187" spans="1:7" ht="15" thickBot="1">
      <c r="A187" s="3103">
        <v>807</v>
      </c>
      <c r="B187" s="3205" t="s">
        <v>3164</v>
      </c>
      <c r="C187" s="3206"/>
      <c r="D187" s="3104" t="s">
        <v>3882</v>
      </c>
      <c r="E187" s="3104" t="s">
        <v>463</v>
      </c>
      <c r="F187" s="3105">
        <v>49.79</v>
      </c>
      <c r="G187" s="3106" t="s">
        <v>3166</v>
      </c>
    </row>
    <row r="188" spans="1:7" ht="15" thickBot="1">
      <c r="A188" s="3103">
        <v>808</v>
      </c>
      <c r="B188" s="3205" t="s">
        <v>3164</v>
      </c>
      <c r="C188" s="3206"/>
      <c r="D188" s="3104" t="s">
        <v>3883</v>
      </c>
      <c r="E188" s="3104" t="s">
        <v>463</v>
      </c>
      <c r="F188" s="3105">
        <v>49.88</v>
      </c>
      <c r="G188" s="3106" t="s">
        <v>3166</v>
      </c>
    </row>
    <row r="189" spans="1:7" ht="15" thickBot="1">
      <c r="A189" s="3103">
        <v>809</v>
      </c>
      <c r="B189" s="3205" t="s">
        <v>3164</v>
      </c>
      <c r="C189" s="3206"/>
      <c r="D189" s="3104" t="s">
        <v>3884</v>
      </c>
      <c r="E189" s="3104" t="s">
        <v>463</v>
      </c>
      <c r="F189" s="3105">
        <v>49.27</v>
      </c>
      <c r="G189" s="3106" t="s">
        <v>3166</v>
      </c>
    </row>
    <row r="190" spans="1:7" ht="15" thickBot="1">
      <c r="A190" s="3103">
        <v>810</v>
      </c>
      <c r="B190" s="3205" t="s">
        <v>3164</v>
      </c>
      <c r="C190" s="3206"/>
      <c r="D190" s="3104" t="s">
        <v>3885</v>
      </c>
      <c r="E190" s="3104" t="s">
        <v>463</v>
      </c>
      <c r="F190" s="3105">
        <v>54.07</v>
      </c>
      <c r="G190" s="3106" t="s">
        <v>3166</v>
      </c>
    </row>
    <row r="191" spans="1:7" ht="15" thickBot="1">
      <c r="A191" s="3103">
        <v>811</v>
      </c>
      <c r="B191" s="3205" t="s">
        <v>3164</v>
      </c>
      <c r="C191" s="3206"/>
      <c r="D191" s="3104" t="s">
        <v>3886</v>
      </c>
      <c r="E191" s="3104" t="s">
        <v>463</v>
      </c>
      <c r="F191" s="3105">
        <v>51.67</v>
      </c>
      <c r="G191" s="3106" t="s">
        <v>3166</v>
      </c>
    </row>
    <row r="192" spans="1:7" ht="15" thickBot="1">
      <c r="A192" s="3103">
        <v>815</v>
      </c>
      <c r="B192" s="3205" t="s">
        <v>3164</v>
      </c>
      <c r="C192" s="3206"/>
      <c r="D192" s="3104" t="s">
        <v>3887</v>
      </c>
      <c r="E192" s="3104" t="s">
        <v>463</v>
      </c>
      <c r="F192" s="3105">
        <v>49.27</v>
      </c>
      <c r="G192" s="3106" t="s">
        <v>3166</v>
      </c>
    </row>
    <row r="193" spans="1:7" ht="15" thickBot="1">
      <c r="A193" s="3103">
        <v>816</v>
      </c>
      <c r="B193" s="3205" t="s">
        <v>3164</v>
      </c>
      <c r="C193" s="3206"/>
      <c r="D193" s="3104" t="s">
        <v>3888</v>
      </c>
      <c r="E193" s="3104" t="s">
        <v>463</v>
      </c>
      <c r="F193" s="3105">
        <v>54.07</v>
      </c>
      <c r="G193" s="3106" t="s">
        <v>3166</v>
      </c>
    </row>
    <row r="194" spans="1:7" ht="15" thickBot="1">
      <c r="A194" s="3103">
        <v>817</v>
      </c>
      <c r="B194" s="3205" t="s">
        <v>3164</v>
      </c>
      <c r="C194" s="3206"/>
      <c r="D194" s="3104" t="s">
        <v>3889</v>
      </c>
      <c r="E194" s="3104" t="s">
        <v>463</v>
      </c>
      <c r="F194" s="3105">
        <v>51.67</v>
      </c>
      <c r="G194" s="3106" t="s">
        <v>3166</v>
      </c>
    </row>
    <row r="195" spans="1:7" ht="15" thickBot="1">
      <c r="A195" s="3103">
        <v>818</v>
      </c>
      <c r="B195" s="3205" t="s">
        <v>3164</v>
      </c>
      <c r="C195" s="3206"/>
      <c r="D195" s="3104" t="s">
        <v>3890</v>
      </c>
      <c r="E195" s="3104" t="s">
        <v>463</v>
      </c>
      <c r="F195" s="3105">
        <v>51.76</v>
      </c>
      <c r="G195" s="3106" t="s">
        <v>3166</v>
      </c>
    </row>
    <row r="196" spans="1:7" ht="15" thickBot="1">
      <c r="A196" s="3103">
        <v>819</v>
      </c>
      <c r="B196" s="3205" t="s">
        <v>3164</v>
      </c>
      <c r="C196" s="3206"/>
      <c r="D196" s="3104" t="s">
        <v>3891</v>
      </c>
      <c r="E196" s="3104" t="s">
        <v>463</v>
      </c>
      <c r="F196" s="3105">
        <v>49.79</v>
      </c>
      <c r="G196" s="3106" t="s">
        <v>3166</v>
      </c>
    </row>
    <row r="197" spans="1:7" ht="15" thickBot="1">
      <c r="A197" s="3103">
        <v>820</v>
      </c>
      <c r="B197" s="3205" t="s">
        <v>3164</v>
      </c>
      <c r="C197" s="3206"/>
      <c r="D197" s="3104" t="s">
        <v>3892</v>
      </c>
      <c r="E197" s="3104" t="s">
        <v>463</v>
      </c>
      <c r="F197" s="3105">
        <v>49.88</v>
      </c>
      <c r="G197" s="3106" t="s">
        <v>3166</v>
      </c>
    </row>
    <row r="198" spans="1:7" ht="15" thickBot="1">
      <c r="A198" s="3103">
        <v>821</v>
      </c>
      <c r="B198" s="3205" t="s">
        <v>3164</v>
      </c>
      <c r="C198" s="3206"/>
      <c r="D198" s="3104" t="s">
        <v>3893</v>
      </c>
      <c r="E198" s="3104" t="s">
        <v>463</v>
      </c>
      <c r="F198" s="3105">
        <v>49.27</v>
      </c>
      <c r="G198" s="3106" t="s">
        <v>3166</v>
      </c>
    </row>
    <row r="199" spans="1:7" ht="15" thickBot="1">
      <c r="A199" s="3103">
        <v>822</v>
      </c>
      <c r="B199" s="3205" t="s">
        <v>3164</v>
      </c>
      <c r="C199" s="3206"/>
      <c r="D199" s="3104" t="s">
        <v>3894</v>
      </c>
      <c r="E199" s="3104" t="s">
        <v>463</v>
      </c>
      <c r="F199" s="3105">
        <v>54.07</v>
      </c>
      <c r="G199" s="3106" t="s">
        <v>3166</v>
      </c>
    </row>
    <row r="200" spans="1:7" ht="15" thickBot="1">
      <c r="A200" s="3103">
        <v>823</v>
      </c>
      <c r="B200" s="3205" t="s">
        <v>3164</v>
      </c>
      <c r="C200" s="3206"/>
      <c r="D200" s="3104" t="s">
        <v>3895</v>
      </c>
      <c r="E200" s="3104" t="s">
        <v>463</v>
      </c>
      <c r="F200" s="3105">
        <v>51.67</v>
      </c>
      <c r="G200" s="3106" t="s">
        <v>3166</v>
      </c>
    </row>
    <row r="201" spans="1:7" ht="15" thickBot="1">
      <c r="A201" s="3103">
        <v>827</v>
      </c>
      <c r="B201" s="3205" t="s">
        <v>3164</v>
      </c>
      <c r="C201" s="3206"/>
      <c r="D201" s="3104" t="s">
        <v>3896</v>
      </c>
      <c r="E201" s="3104" t="s">
        <v>463</v>
      </c>
      <c r="F201" s="3105">
        <v>49.27</v>
      </c>
      <c r="G201" s="3106" t="s">
        <v>3166</v>
      </c>
    </row>
    <row r="202" spans="1:7" ht="15" thickBot="1">
      <c r="A202" s="3103">
        <v>828</v>
      </c>
      <c r="B202" s="3205" t="s">
        <v>3164</v>
      </c>
      <c r="C202" s="3206"/>
      <c r="D202" s="3104" t="s">
        <v>3897</v>
      </c>
      <c r="E202" s="3104" t="s">
        <v>463</v>
      </c>
      <c r="F202" s="3105">
        <v>76.95</v>
      </c>
      <c r="G202" s="3106" t="s">
        <v>3166</v>
      </c>
    </row>
    <row r="203" spans="1:7" ht="15" thickBot="1">
      <c r="A203" s="3103">
        <v>829</v>
      </c>
      <c r="B203" s="3205" t="s">
        <v>3164</v>
      </c>
      <c r="C203" s="3206"/>
      <c r="D203" s="3104" t="s">
        <v>3898</v>
      </c>
      <c r="E203" s="3104" t="s">
        <v>463</v>
      </c>
      <c r="F203" s="3105">
        <v>49.78</v>
      </c>
      <c r="G203" s="3106" t="s">
        <v>3166</v>
      </c>
    </row>
    <row r="204" spans="1:7" ht="15" thickBot="1">
      <c r="A204" s="3103">
        <v>830</v>
      </c>
      <c r="B204" s="3205" t="s">
        <v>3164</v>
      </c>
      <c r="C204" s="3206"/>
      <c r="D204" s="3104" t="s">
        <v>3899</v>
      </c>
      <c r="E204" s="3104" t="s">
        <v>463</v>
      </c>
      <c r="F204" s="3105">
        <v>49.17</v>
      </c>
      <c r="G204" s="3106" t="s">
        <v>3166</v>
      </c>
    </row>
    <row r="205" spans="1:7" ht="15" thickBot="1">
      <c r="A205" s="3103">
        <v>831</v>
      </c>
      <c r="B205" s="3205" t="s">
        <v>3164</v>
      </c>
      <c r="C205" s="3206"/>
      <c r="D205" s="3104" t="s">
        <v>3900</v>
      </c>
      <c r="E205" s="3104" t="s">
        <v>463</v>
      </c>
      <c r="F205" s="3105">
        <v>49.34</v>
      </c>
      <c r="G205" s="3106" t="s">
        <v>3166</v>
      </c>
    </row>
    <row r="206" spans="1:7" ht="15" thickBot="1">
      <c r="A206" s="3103">
        <v>834</v>
      </c>
      <c r="B206" s="3205" t="s">
        <v>3164</v>
      </c>
      <c r="C206" s="3206"/>
      <c r="D206" s="3104" t="s">
        <v>3901</v>
      </c>
      <c r="E206" s="3104" t="s">
        <v>463</v>
      </c>
      <c r="F206" s="3105">
        <v>49.17</v>
      </c>
      <c r="G206" s="3106" t="s">
        <v>3166</v>
      </c>
    </row>
    <row r="207" spans="1:7" ht="15" thickBot="1">
      <c r="A207" s="3103">
        <v>837</v>
      </c>
      <c r="B207" s="3205" t="s">
        <v>3164</v>
      </c>
      <c r="C207" s="3206"/>
      <c r="D207" s="3104" t="s">
        <v>3902</v>
      </c>
      <c r="E207" s="3104" t="s">
        <v>463</v>
      </c>
      <c r="F207" s="3105">
        <v>49.17</v>
      </c>
      <c r="G207" s="3106" t="s">
        <v>3166</v>
      </c>
    </row>
    <row r="208" spans="1:7" ht="15" thickBot="1">
      <c r="A208" s="3103">
        <v>838</v>
      </c>
      <c r="B208" s="3205" t="s">
        <v>3164</v>
      </c>
      <c r="C208" s="3206"/>
      <c r="D208" s="3104" t="s">
        <v>3903</v>
      </c>
      <c r="E208" s="3104" t="s">
        <v>463</v>
      </c>
      <c r="F208" s="3105">
        <v>49.34</v>
      </c>
      <c r="G208" s="3106" t="s">
        <v>3166</v>
      </c>
    </row>
    <row r="209" spans="1:7" ht="15" thickBot="1">
      <c r="A209" s="3103">
        <v>839</v>
      </c>
      <c r="B209" s="3205" t="s">
        <v>3164</v>
      </c>
      <c r="C209" s="3206"/>
      <c r="D209" s="3104" t="s">
        <v>3904</v>
      </c>
      <c r="E209" s="3104" t="s">
        <v>463</v>
      </c>
      <c r="F209" s="3105">
        <v>49.88</v>
      </c>
      <c r="G209" s="3106" t="s">
        <v>3166</v>
      </c>
    </row>
    <row r="210" spans="1:7" ht="15" thickBot="1">
      <c r="A210" s="3103">
        <v>841</v>
      </c>
      <c r="B210" s="3205" t="s">
        <v>3164</v>
      </c>
      <c r="C210" s="3206"/>
      <c r="D210" s="3104" t="s">
        <v>3905</v>
      </c>
      <c r="E210" s="3104" t="s">
        <v>463</v>
      </c>
      <c r="F210" s="3105">
        <v>49.17</v>
      </c>
      <c r="G210" s="3106" t="s">
        <v>3166</v>
      </c>
    </row>
    <row r="211" spans="1:7" ht="15" thickBot="1">
      <c r="A211" s="3103">
        <v>842</v>
      </c>
      <c r="B211" s="3205" t="s">
        <v>3164</v>
      </c>
      <c r="C211" s="3206"/>
      <c r="D211" s="3104" t="s">
        <v>3906</v>
      </c>
      <c r="E211" s="3104" t="s">
        <v>463</v>
      </c>
      <c r="F211" s="3105">
        <v>49.34</v>
      </c>
      <c r="G211" s="3106" t="s">
        <v>3166</v>
      </c>
    </row>
    <row r="212" spans="1:7" ht="15" thickBot="1">
      <c r="A212" s="3103">
        <v>843</v>
      </c>
      <c r="B212" s="3205" t="s">
        <v>3164</v>
      </c>
      <c r="C212" s="3206"/>
      <c r="D212" s="3104" t="s">
        <v>3907</v>
      </c>
      <c r="E212" s="3104" t="s">
        <v>463</v>
      </c>
      <c r="F212" s="3105">
        <v>49.17</v>
      </c>
      <c r="G212" s="3106" t="s">
        <v>3166</v>
      </c>
    </row>
    <row r="213" spans="1:7" ht="15" thickBot="1">
      <c r="A213" s="3103">
        <v>844</v>
      </c>
      <c r="B213" s="3205" t="s">
        <v>3164</v>
      </c>
      <c r="C213" s="3206"/>
      <c r="D213" s="3104" t="s">
        <v>3908</v>
      </c>
      <c r="E213" s="3104" t="s">
        <v>463</v>
      </c>
      <c r="F213" s="3105">
        <v>49.34</v>
      </c>
      <c r="G213" s="3106" t="s">
        <v>3166</v>
      </c>
    </row>
    <row r="214" spans="1:7" ht="15" thickBot="1">
      <c r="A214" s="3103">
        <v>846</v>
      </c>
      <c r="B214" s="3205" t="s">
        <v>3164</v>
      </c>
      <c r="C214" s="3206"/>
      <c r="D214" s="3104" t="s">
        <v>3909</v>
      </c>
      <c r="E214" s="3104" t="s">
        <v>463</v>
      </c>
      <c r="F214" s="3105">
        <v>49.17</v>
      </c>
      <c r="G214" s="3106" t="s">
        <v>3166</v>
      </c>
    </row>
    <row r="215" spans="1:7" ht="15" thickBot="1">
      <c r="A215" s="3103">
        <v>847</v>
      </c>
      <c r="B215" s="3205" t="s">
        <v>3164</v>
      </c>
      <c r="C215" s="3206"/>
      <c r="D215" s="3104" t="s">
        <v>3910</v>
      </c>
      <c r="E215" s="3104" t="s">
        <v>463</v>
      </c>
      <c r="F215" s="3105">
        <v>49.34</v>
      </c>
      <c r="G215" s="3106" t="s">
        <v>3166</v>
      </c>
    </row>
    <row r="216" spans="1:7" ht="15" thickBot="1">
      <c r="A216" s="3103">
        <v>850</v>
      </c>
      <c r="B216" s="3205" t="s">
        <v>3164</v>
      </c>
      <c r="C216" s="3206"/>
      <c r="D216" s="3104" t="s">
        <v>3911</v>
      </c>
      <c r="E216" s="3104" t="s">
        <v>463</v>
      </c>
      <c r="F216" s="3105">
        <v>49.17</v>
      </c>
      <c r="G216" s="3106" t="s">
        <v>3166</v>
      </c>
    </row>
    <row r="217" spans="1:7" ht="15" thickBot="1">
      <c r="A217" s="3103">
        <v>851</v>
      </c>
      <c r="B217" s="3205" t="s">
        <v>3164</v>
      </c>
      <c r="C217" s="3206"/>
      <c r="D217" s="3104" t="s">
        <v>3912</v>
      </c>
      <c r="E217" s="3104" t="s">
        <v>463</v>
      </c>
      <c r="F217" s="3105">
        <v>49.17</v>
      </c>
      <c r="G217" s="3106" t="s">
        <v>3166</v>
      </c>
    </row>
    <row r="218" spans="1:7" ht="15" thickBot="1">
      <c r="A218" s="3103">
        <v>852</v>
      </c>
      <c r="B218" s="3205" t="s">
        <v>3164</v>
      </c>
      <c r="C218" s="3206"/>
      <c r="D218" s="3104" t="s">
        <v>3913</v>
      </c>
      <c r="E218" s="3104" t="s">
        <v>463</v>
      </c>
      <c r="F218" s="3105">
        <v>49.34</v>
      </c>
      <c r="G218" s="3106" t="s">
        <v>3166</v>
      </c>
    </row>
    <row r="219" spans="1:7" ht="15" thickBot="1">
      <c r="A219" s="3103">
        <v>854</v>
      </c>
      <c r="B219" s="3205" t="s">
        <v>3164</v>
      </c>
      <c r="C219" s="3206"/>
      <c r="D219" s="3104" t="s">
        <v>3914</v>
      </c>
      <c r="E219" s="3104" t="s">
        <v>463</v>
      </c>
      <c r="F219" s="3105">
        <v>49.17</v>
      </c>
      <c r="G219" s="3106" t="s">
        <v>3166</v>
      </c>
    </row>
    <row r="220" spans="1:7" ht="15" thickBot="1">
      <c r="A220" s="3103">
        <v>855</v>
      </c>
      <c r="B220" s="3205" t="s">
        <v>3164</v>
      </c>
      <c r="C220" s="3206"/>
      <c r="D220" s="3104" t="s">
        <v>3915</v>
      </c>
      <c r="E220" s="3104" t="s">
        <v>463</v>
      </c>
      <c r="F220" s="3105">
        <v>49.34</v>
      </c>
      <c r="G220" s="3106" t="s">
        <v>3166</v>
      </c>
    </row>
    <row r="221" spans="1:7" ht="15" thickBot="1">
      <c r="A221" s="3103">
        <v>857</v>
      </c>
      <c r="B221" s="3205" t="s">
        <v>3164</v>
      </c>
      <c r="C221" s="3206"/>
      <c r="D221" s="3104" t="s">
        <v>3916</v>
      </c>
      <c r="E221" s="3104" t="s">
        <v>463</v>
      </c>
      <c r="F221" s="3105">
        <v>49.17</v>
      </c>
      <c r="G221" s="3106" t="s">
        <v>3166</v>
      </c>
    </row>
    <row r="222" spans="1:7" ht="15" thickBot="1">
      <c r="A222" s="3103">
        <v>858</v>
      </c>
      <c r="B222" s="3205" t="s">
        <v>3164</v>
      </c>
      <c r="C222" s="3206"/>
      <c r="D222" s="3104" t="s">
        <v>3917</v>
      </c>
      <c r="E222" s="3104" t="s">
        <v>463</v>
      </c>
      <c r="F222" s="3105">
        <v>49.34</v>
      </c>
      <c r="G222" s="3106" t="s">
        <v>3166</v>
      </c>
    </row>
    <row r="223" spans="1:7" ht="15" thickBot="1">
      <c r="A223" s="3103">
        <v>859</v>
      </c>
      <c r="B223" s="3205" t="s">
        <v>3164</v>
      </c>
      <c r="C223" s="3206"/>
      <c r="D223" s="3104" t="s">
        <v>3918</v>
      </c>
      <c r="E223" s="3104" t="s">
        <v>463</v>
      </c>
      <c r="F223" s="3105">
        <v>49.17</v>
      </c>
      <c r="G223" s="3106" t="s">
        <v>3166</v>
      </c>
    </row>
    <row r="224" spans="1:7" ht="15" thickBot="1">
      <c r="A224" s="3103">
        <v>860</v>
      </c>
      <c r="B224" s="3205" t="s">
        <v>3164</v>
      </c>
      <c r="C224" s="3206"/>
      <c r="D224" s="3104" t="s">
        <v>3919</v>
      </c>
      <c r="E224" s="3104" t="s">
        <v>463</v>
      </c>
      <c r="F224" s="3105">
        <v>49.34</v>
      </c>
      <c r="G224" s="3106" t="s">
        <v>3166</v>
      </c>
    </row>
    <row r="225" spans="1:7" ht="15" thickBot="1">
      <c r="A225" s="3103">
        <v>864</v>
      </c>
      <c r="B225" s="3205" t="s">
        <v>3164</v>
      </c>
      <c r="C225" s="3206"/>
      <c r="D225" s="3104" t="s">
        <v>3920</v>
      </c>
      <c r="E225" s="3104" t="s">
        <v>463</v>
      </c>
      <c r="F225" s="3105">
        <v>49.34</v>
      </c>
      <c r="G225" s="3106" t="s">
        <v>3166</v>
      </c>
    </row>
    <row r="226" spans="1:7" ht="15" thickBot="1">
      <c r="A226" s="3103">
        <v>865</v>
      </c>
      <c r="B226" s="3205" t="s">
        <v>3164</v>
      </c>
      <c r="C226" s="3206"/>
      <c r="D226" s="3104" t="s">
        <v>3921</v>
      </c>
      <c r="E226" s="3104" t="s">
        <v>463</v>
      </c>
      <c r="F226" s="3105">
        <v>49.17</v>
      </c>
      <c r="G226" s="3106" t="s">
        <v>3166</v>
      </c>
    </row>
    <row r="227" spans="1:7" ht="15" thickBot="1">
      <c r="A227" s="3103">
        <v>866</v>
      </c>
      <c r="B227" s="3205" t="s">
        <v>3164</v>
      </c>
      <c r="C227" s="3206"/>
      <c r="D227" s="3104" t="s">
        <v>3922</v>
      </c>
      <c r="E227" s="3104" t="s">
        <v>463</v>
      </c>
      <c r="F227" s="3105">
        <v>49.34</v>
      </c>
      <c r="G227" s="3106" t="s">
        <v>3166</v>
      </c>
    </row>
    <row r="228" spans="1:7" ht="15" thickBot="1">
      <c r="A228" s="3103">
        <v>869</v>
      </c>
      <c r="B228" s="3205" t="s">
        <v>3164</v>
      </c>
      <c r="C228" s="3206"/>
      <c r="D228" s="3104" t="s">
        <v>3923</v>
      </c>
      <c r="E228" s="3104" t="s">
        <v>463</v>
      </c>
      <c r="F228" s="3105">
        <v>49.17</v>
      </c>
      <c r="G228" s="3106" t="s">
        <v>3166</v>
      </c>
    </row>
    <row r="229" spans="1:7" ht="15" thickBot="1">
      <c r="A229" s="3103">
        <v>870</v>
      </c>
      <c r="B229" s="3205" t="s">
        <v>3164</v>
      </c>
      <c r="C229" s="3206"/>
      <c r="D229" s="3104" t="s">
        <v>3924</v>
      </c>
      <c r="E229" s="3104" t="s">
        <v>463</v>
      </c>
      <c r="F229" s="3105">
        <v>49.34</v>
      </c>
      <c r="G229" s="3106" t="s">
        <v>3166</v>
      </c>
    </row>
    <row r="230" spans="1:7" ht="15" thickBot="1">
      <c r="A230" s="3103">
        <v>872</v>
      </c>
      <c r="B230" s="3205" t="s">
        <v>3164</v>
      </c>
      <c r="C230" s="3206"/>
      <c r="D230" s="3104" t="s">
        <v>3925</v>
      </c>
      <c r="E230" s="3104" t="s">
        <v>463</v>
      </c>
      <c r="F230" s="3105">
        <v>49.17</v>
      </c>
      <c r="G230" s="3106" t="s">
        <v>3166</v>
      </c>
    </row>
    <row r="231" spans="1:7" ht="15" thickBot="1">
      <c r="A231" s="3103">
        <v>873</v>
      </c>
      <c r="B231" s="3205" t="s">
        <v>3164</v>
      </c>
      <c r="C231" s="3206"/>
      <c r="D231" s="3104" t="s">
        <v>3926</v>
      </c>
      <c r="E231" s="3104" t="s">
        <v>463</v>
      </c>
      <c r="F231" s="3105">
        <v>76.63</v>
      </c>
      <c r="G231" s="3106" t="s">
        <v>3166</v>
      </c>
    </row>
    <row r="232" spans="1:7" ht="15" thickBot="1">
      <c r="A232" s="3103">
        <v>874</v>
      </c>
      <c r="B232" s="3205" t="s">
        <v>3164</v>
      </c>
      <c r="C232" s="3206"/>
      <c r="D232" s="3104" t="s">
        <v>3927</v>
      </c>
      <c r="E232" s="3104" t="s">
        <v>463</v>
      </c>
      <c r="F232" s="3105">
        <v>51.76</v>
      </c>
      <c r="G232" s="3106" t="s">
        <v>3166</v>
      </c>
    </row>
    <row r="233" spans="1:7" ht="15" thickBot="1">
      <c r="A233" s="3103">
        <v>875</v>
      </c>
      <c r="B233" s="3205" t="s">
        <v>3164</v>
      </c>
      <c r="C233" s="3206"/>
      <c r="D233" s="3104" t="s">
        <v>3928</v>
      </c>
      <c r="E233" s="3104" t="s">
        <v>463</v>
      </c>
      <c r="F233" s="3105">
        <v>51.67</v>
      </c>
      <c r="G233" s="3106" t="s">
        <v>3166</v>
      </c>
    </row>
    <row r="234" spans="1:7" ht="15" thickBot="1">
      <c r="A234" s="3103">
        <v>876</v>
      </c>
      <c r="B234" s="3205" t="s">
        <v>3164</v>
      </c>
      <c r="C234" s="3206"/>
      <c r="D234" s="3104" t="s">
        <v>3929</v>
      </c>
      <c r="E234" s="3104" t="s">
        <v>463</v>
      </c>
      <c r="F234" s="3105">
        <v>49.17</v>
      </c>
      <c r="G234" s="3106" t="s">
        <v>3166</v>
      </c>
    </row>
    <row r="235" spans="1:7" ht="15" thickBot="1">
      <c r="A235" s="3103">
        <v>877</v>
      </c>
      <c r="B235" s="3205" t="s">
        <v>3164</v>
      </c>
      <c r="C235" s="3206"/>
      <c r="D235" s="3104" t="s">
        <v>3930</v>
      </c>
      <c r="E235" s="3104" t="s">
        <v>463</v>
      </c>
      <c r="F235" s="3105">
        <v>49.88</v>
      </c>
      <c r="G235" s="3106" t="s">
        <v>3166</v>
      </c>
    </row>
    <row r="236" spans="1:7" ht="15" thickBot="1">
      <c r="A236" s="3103">
        <v>878</v>
      </c>
      <c r="B236" s="3205" t="s">
        <v>3164</v>
      </c>
      <c r="C236" s="3206"/>
      <c r="D236" s="3104" t="s">
        <v>3931</v>
      </c>
      <c r="E236" s="3104" t="s">
        <v>463</v>
      </c>
      <c r="F236" s="3105">
        <v>49.79</v>
      </c>
      <c r="G236" s="3106" t="s">
        <v>3166</v>
      </c>
    </row>
    <row r="237" spans="1:7" ht="15" thickBot="1">
      <c r="A237" s="3103">
        <v>879</v>
      </c>
      <c r="B237" s="3205" t="s">
        <v>3164</v>
      </c>
      <c r="C237" s="3206"/>
      <c r="D237" s="3104" t="s">
        <v>3932</v>
      </c>
      <c r="E237" s="3104" t="s">
        <v>463</v>
      </c>
      <c r="F237" s="3105">
        <v>51.76</v>
      </c>
      <c r="G237" s="3106" t="s">
        <v>3166</v>
      </c>
    </row>
    <row r="238" spans="1:7" ht="15" thickBot="1">
      <c r="A238" s="3103">
        <v>881</v>
      </c>
      <c r="B238" s="3205" t="s">
        <v>3164</v>
      </c>
      <c r="C238" s="3206"/>
      <c r="D238" s="3104" t="s">
        <v>3933</v>
      </c>
      <c r="E238" s="3104" t="s">
        <v>463</v>
      </c>
      <c r="F238" s="3105">
        <v>51.67</v>
      </c>
      <c r="G238" s="3106" t="s">
        <v>3166</v>
      </c>
    </row>
    <row r="239" spans="1:7" ht="15" thickBot="1">
      <c r="A239" s="3103">
        <v>882</v>
      </c>
      <c r="B239" s="3205" t="s">
        <v>3164</v>
      </c>
      <c r="C239" s="3206"/>
      <c r="D239" s="3104" t="s">
        <v>3934</v>
      </c>
      <c r="E239" s="3104" t="s">
        <v>463</v>
      </c>
      <c r="F239" s="3105">
        <v>54.07</v>
      </c>
      <c r="G239" s="3106" t="s">
        <v>3166</v>
      </c>
    </row>
    <row r="240" spans="1:7" ht="15" thickBot="1">
      <c r="A240" s="3103">
        <v>883</v>
      </c>
      <c r="B240" s="3205" t="s">
        <v>3164</v>
      </c>
      <c r="C240" s="3206"/>
      <c r="D240" s="3104" t="s">
        <v>3935</v>
      </c>
      <c r="E240" s="3104" t="s">
        <v>463</v>
      </c>
      <c r="F240" s="3105">
        <v>51.76</v>
      </c>
      <c r="G240" s="3106" t="s">
        <v>3166</v>
      </c>
    </row>
    <row r="241" spans="1:7" ht="15" thickBot="1">
      <c r="A241" s="3103">
        <v>884</v>
      </c>
      <c r="B241" s="3205" t="s">
        <v>3164</v>
      </c>
      <c r="C241" s="3206"/>
      <c r="D241" s="3104" t="s">
        <v>3936</v>
      </c>
      <c r="E241" s="3104" t="s">
        <v>463</v>
      </c>
      <c r="F241" s="3105">
        <v>49.17</v>
      </c>
      <c r="G241" s="3106" t="s">
        <v>3166</v>
      </c>
    </row>
    <row r="242" spans="1:7" ht="15" thickBot="1">
      <c r="A242" s="3103">
        <v>888</v>
      </c>
      <c r="B242" s="3205" t="s">
        <v>3164</v>
      </c>
      <c r="C242" s="3206"/>
      <c r="D242" s="3104" t="s">
        <v>3937</v>
      </c>
      <c r="E242" s="3104" t="s">
        <v>463</v>
      </c>
      <c r="F242" s="3105">
        <v>49.17</v>
      </c>
      <c r="G242" s="3106" t="s">
        <v>3166</v>
      </c>
    </row>
    <row r="243" spans="1:7" ht="15" thickBot="1">
      <c r="A243" s="3103">
        <v>889</v>
      </c>
      <c r="B243" s="3205" t="s">
        <v>3164</v>
      </c>
      <c r="C243" s="3206"/>
      <c r="D243" s="3104" t="s">
        <v>3938</v>
      </c>
      <c r="E243" s="3104" t="s">
        <v>463</v>
      </c>
      <c r="F243" s="3105">
        <v>51.67</v>
      </c>
      <c r="G243" s="3106" t="s">
        <v>3166</v>
      </c>
    </row>
    <row r="244" spans="1:7" ht="15" thickBot="1">
      <c r="A244" s="3103">
        <v>891</v>
      </c>
      <c r="B244" s="3205" t="s">
        <v>3164</v>
      </c>
      <c r="C244" s="3206"/>
      <c r="D244" s="3104" t="s">
        <v>3939</v>
      </c>
      <c r="E244" s="3104" t="s">
        <v>463</v>
      </c>
      <c r="F244" s="3105">
        <v>51.67</v>
      </c>
      <c r="G244" s="3106" t="s">
        <v>3166</v>
      </c>
    </row>
    <row r="245" spans="1:7" ht="15" thickBot="1">
      <c r="A245" s="3103">
        <v>894</v>
      </c>
      <c r="B245" s="3205" t="s">
        <v>3164</v>
      </c>
      <c r="C245" s="3206"/>
      <c r="D245" s="3104" t="s">
        <v>3940</v>
      </c>
      <c r="E245" s="3104" t="s">
        <v>463</v>
      </c>
      <c r="F245" s="3105">
        <v>51.67</v>
      </c>
      <c r="G245" s="3106" t="s">
        <v>3166</v>
      </c>
    </row>
    <row r="246" spans="1:7" ht="15" thickBot="1">
      <c r="A246" s="3103">
        <v>895</v>
      </c>
      <c r="B246" s="3205" t="s">
        <v>3164</v>
      </c>
      <c r="C246" s="3206"/>
      <c r="D246" s="3104" t="s">
        <v>3941</v>
      </c>
      <c r="E246" s="3104" t="s">
        <v>463</v>
      </c>
      <c r="F246" s="3105">
        <v>49.17</v>
      </c>
      <c r="G246" s="3106" t="s">
        <v>3166</v>
      </c>
    </row>
    <row r="247" spans="1:7" ht="15" thickBot="1">
      <c r="A247" s="3103">
        <v>896</v>
      </c>
      <c r="B247" s="3205" t="s">
        <v>3164</v>
      </c>
      <c r="C247" s="3206"/>
      <c r="D247" s="3104" t="s">
        <v>3942</v>
      </c>
      <c r="E247" s="3104" t="s">
        <v>463</v>
      </c>
      <c r="F247" s="3105">
        <v>51.76</v>
      </c>
      <c r="G247" s="3106" t="s">
        <v>3166</v>
      </c>
    </row>
    <row r="248" spans="1:7" ht="15" thickBot="1">
      <c r="A248" s="3103">
        <v>897</v>
      </c>
      <c r="B248" s="3205" t="s">
        <v>3164</v>
      </c>
      <c r="C248" s="3206"/>
      <c r="D248" s="3104" t="s">
        <v>3943</v>
      </c>
      <c r="E248" s="3104" t="s">
        <v>463</v>
      </c>
      <c r="F248" s="3105">
        <v>51.67</v>
      </c>
      <c r="G248" s="3106" t="s">
        <v>3166</v>
      </c>
    </row>
    <row r="249" spans="1:7" ht="15" thickBot="1">
      <c r="A249" s="3103">
        <v>898</v>
      </c>
      <c r="B249" s="3205" t="s">
        <v>3164</v>
      </c>
      <c r="C249" s="3206"/>
      <c r="D249" s="3104" t="s">
        <v>3944</v>
      </c>
      <c r="E249" s="3104" t="s">
        <v>463</v>
      </c>
      <c r="F249" s="3105">
        <v>49.17</v>
      </c>
      <c r="G249" s="3106" t="s">
        <v>3166</v>
      </c>
    </row>
    <row r="250" spans="1:7" ht="15" thickBot="1">
      <c r="A250" s="3103">
        <v>900</v>
      </c>
      <c r="B250" s="3205" t="s">
        <v>3164</v>
      </c>
      <c r="C250" s="3206"/>
      <c r="D250" s="3104" t="s">
        <v>3945</v>
      </c>
      <c r="E250" s="3104" t="s">
        <v>463</v>
      </c>
      <c r="F250" s="3105">
        <v>49.79</v>
      </c>
      <c r="G250" s="3106" t="s">
        <v>3166</v>
      </c>
    </row>
    <row r="251" spans="1:7" ht="15" thickBot="1">
      <c r="A251" s="3103">
        <v>901</v>
      </c>
      <c r="B251" s="3205" t="s">
        <v>3164</v>
      </c>
      <c r="C251" s="3206"/>
      <c r="D251" s="3104" t="s">
        <v>3946</v>
      </c>
      <c r="E251" s="3104" t="s">
        <v>463</v>
      </c>
      <c r="F251" s="3105">
        <v>51.76</v>
      </c>
      <c r="G251" s="3106" t="s">
        <v>3166</v>
      </c>
    </row>
    <row r="252" spans="1:7" ht="15" thickBot="1">
      <c r="A252" s="3103">
        <v>902</v>
      </c>
      <c r="B252" s="3205" t="s">
        <v>3164</v>
      </c>
      <c r="C252" s="3206"/>
      <c r="D252" s="3104" t="s">
        <v>3947</v>
      </c>
      <c r="E252" s="3104" t="s">
        <v>463</v>
      </c>
      <c r="F252" s="3105">
        <v>51.67</v>
      </c>
      <c r="G252" s="3106" t="s">
        <v>3166</v>
      </c>
    </row>
    <row r="253" spans="1:7" ht="15" thickBot="1">
      <c r="A253" s="3103">
        <v>903</v>
      </c>
      <c r="B253" s="3205" t="s">
        <v>3164</v>
      </c>
      <c r="C253" s="3206"/>
      <c r="D253" s="3104" t="s">
        <v>3948</v>
      </c>
      <c r="E253" s="3104" t="s">
        <v>463</v>
      </c>
      <c r="F253" s="3105">
        <v>49.79</v>
      </c>
      <c r="G253" s="3106" t="s">
        <v>3166</v>
      </c>
    </row>
    <row r="254" spans="1:7" ht="15" thickBot="1">
      <c r="A254" s="3103">
        <v>904</v>
      </c>
      <c r="B254" s="3205" t="s">
        <v>3164</v>
      </c>
      <c r="C254" s="3206"/>
      <c r="D254" s="3104" t="s">
        <v>3949</v>
      </c>
      <c r="E254" s="3104" t="s">
        <v>463</v>
      </c>
      <c r="F254" s="3105">
        <v>51.76</v>
      </c>
      <c r="G254" s="3106" t="s">
        <v>3166</v>
      </c>
    </row>
    <row r="255" spans="1:7" ht="15" thickBot="1">
      <c r="A255" s="3103">
        <v>905</v>
      </c>
      <c r="B255" s="3205" t="s">
        <v>3164</v>
      </c>
      <c r="C255" s="3206"/>
      <c r="D255" s="3104" t="s">
        <v>3950</v>
      </c>
      <c r="E255" s="3104" t="s">
        <v>463</v>
      </c>
      <c r="F255" s="3105">
        <v>51.67</v>
      </c>
      <c r="G255" s="3106" t="s">
        <v>3166</v>
      </c>
    </row>
    <row r="256" spans="1:7" ht="15" thickBot="1">
      <c r="A256" s="3103">
        <v>907</v>
      </c>
      <c r="B256" s="3205" t="s">
        <v>3164</v>
      </c>
      <c r="C256" s="3206"/>
      <c r="D256" s="3104" t="s">
        <v>3951</v>
      </c>
      <c r="E256" s="3104" t="s">
        <v>463</v>
      </c>
      <c r="F256" s="3105">
        <v>49.17</v>
      </c>
      <c r="G256" s="3106" t="s">
        <v>3166</v>
      </c>
    </row>
    <row r="257" spans="1:7" ht="15" thickBot="1">
      <c r="A257" s="3103">
        <v>909</v>
      </c>
      <c r="B257" s="3205" t="s">
        <v>3164</v>
      </c>
      <c r="C257" s="3206"/>
      <c r="D257" s="3104" t="s">
        <v>3952</v>
      </c>
      <c r="E257" s="3104" t="s">
        <v>463</v>
      </c>
      <c r="F257" s="3105">
        <v>51.76</v>
      </c>
      <c r="G257" s="3106" t="s">
        <v>3166</v>
      </c>
    </row>
    <row r="258" spans="1:7" ht="15" thickBot="1">
      <c r="A258" s="3103">
        <v>910</v>
      </c>
      <c r="B258" s="3205" t="s">
        <v>3164</v>
      </c>
      <c r="C258" s="3206"/>
      <c r="D258" s="3104" t="s">
        <v>3953</v>
      </c>
      <c r="E258" s="3104" t="s">
        <v>463</v>
      </c>
      <c r="F258" s="3105">
        <v>51.67</v>
      </c>
      <c r="G258" s="3106" t="s">
        <v>3166</v>
      </c>
    </row>
    <row r="259" spans="1:7" ht="15" thickBot="1">
      <c r="A259" s="3103">
        <v>911</v>
      </c>
      <c r="B259" s="3205" t="s">
        <v>3164</v>
      </c>
      <c r="C259" s="3206"/>
      <c r="D259" s="3104" t="s">
        <v>3954</v>
      </c>
      <c r="E259" s="3104" t="s">
        <v>463</v>
      </c>
      <c r="F259" s="3105">
        <v>54.07</v>
      </c>
      <c r="G259" s="3106" t="s">
        <v>3166</v>
      </c>
    </row>
    <row r="260" spans="1:7" ht="15" thickBot="1">
      <c r="A260" s="3103">
        <v>912</v>
      </c>
      <c r="B260" s="3205" t="s">
        <v>3164</v>
      </c>
      <c r="C260" s="3206"/>
      <c r="D260" s="3104" t="s">
        <v>3955</v>
      </c>
      <c r="E260" s="3104" t="s">
        <v>463</v>
      </c>
      <c r="F260" s="3105">
        <v>49.17</v>
      </c>
      <c r="G260" s="3106" t="s">
        <v>3166</v>
      </c>
    </row>
    <row r="261" spans="1:7" ht="15" thickBot="1">
      <c r="A261" s="3103">
        <v>914</v>
      </c>
      <c r="B261" s="3205" t="s">
        <v>3164</v>
      </c>
      <c r="C261" s="3206"/>
      <c r="D261" s="3104" t="s">
        <v>3956</v>
      </c>
      <c r="E261" s="3104" t="s">
        <v>463</v>
      </c>
      <c r="F261" s="3105">
        <v>51.67</v>
      </c>
      <c r="G261" s="3106" t="s">
        <v>3166</v>
      </c>
    </row>
    <row r="262" spans="1:7" ht="15" thickBot="1">
      <c r="A262" s="3103">
        <v>915</v>
      </c>
      <c r="B262" s="3205" t="s">
        <v>3164</v>
      </c>
      <c r="C262" s="3206"/>
      <c r="D262" s="3104" t="s">
        <v>3957</v>
      </c>
      <c r="E262" s="3104" t="s">
        <v>463</v>
      </c>
      <c r="F262" s="3105">
        <v>50.54</v>
      </c>
      <c r="G262" s="3106" t="s">
        <v>3166</v>
      </c>
    </row>
    <row r="263" spans="1:7" ht="15" thickBot="1">
      <c r="A263" s="3103">
        <v>916</v>
      </c>
      <c r="B263" s="3205" t="s">
        <v>3164</v>
      </c>
      <c r="C263" s="3206"/>
      <c r="D263" s="3104" t="s">
        <v>3958</v>
      </c>
      <c r="E263" s="3104" t="s">
        <v>463</v>
      </c>
      <c r="F263" s="3105">
        <v>50.28</v>
      </c>
      <c r="G263" s="3106" t="s">
        <v>3166</v>
      </c>
    </row>
    <row r="264" spans="1:7" ht="15" thickBot="1">
      <c r="A264" s="3103">
        <v>917</v>
      </c>
      <c r="B264" s="3205" t="s">
        <v>3164</v>
      </c>
      <c r="C264" s="3206"/>
      <c r="D264" s="3104" t="s">
        <v>3959</v>
      </c>
      <c r="E264" s="3104" t="s">
        <v>463</v>
      </c>
      <c r="F264" s="3105">
        <v>64.44</v>
      </c>
      <c r="G264" s="3106" t="s">
        <v>3166</v>
      </c>
    </row>
    <row r="265" spans="1:7" ht="15" thickBot="1">
      <c r="A265" s="3103">
        <v>918</v>
      </c>
      <c r="B265" s="3205" t="s">
        <v>3164</v>
      </c>
      <c r="C265" s="3206"/>
      <c r="D265" s="3104" t="s">
        <v>3960</v>
      </c>
      <c r="E265" s="3104" t="s">
        <v>463</v>
      </c>
      <c r="F265" s="3105">
        <v>64.44</v>
      </c>
      <c r="G265" s="3106" t="s">
        <v>3166</v>
      </c>
    </row>
    <row r="266" spans="1:7" ht="15" thickBot="1">
      <c r="A266" s="3103">
        <v>919</v>
      </c>
      <c r="B266" s="3205" t="s">
        <v>3164</v>
      </c>
      <c r="C266" s="3206"/>
      <c r="D266" s="3104" t="s">
        <v>3961</v>
      </c>
      <c r="E266" s="3104" t="s">
        <v>463</v>
      </c>
      <c r="F266" s="3105">
        <v>50.26</v>
      </c>
      <c r="G266" s="3106" t="s">
        <v>3166</v>
      </c>
    </row>
    <row r="267" spans="1:7" ht="15" thickBot="1">
      <c r="A267" s="3103">
        <v>920</v>
      </c>
      <c r="B267" s="3205" t="s">
        <v>3164</v>
      </c>
      <c r="C267" s="3206"/>
      <c r="D267" s="3104" t="s">
        <v>3962</v>
      </c>
      <c r="E267" s="3104" t="s">
        <v>463</v>
      </c>
      <c r="F267" s="3105">
        <v>50.21</v>
      </c>
      <c r="G267" s="3106" t="s">
        <v>3166</v>
      </c>
    </row>
    <row r="268" spans="1:7" ht="15" thickBot="1">
      <c r="A268" s="3103">
        <v>921</v>
      </c>
      <c r="B268" s="3205" t="s">
        <v>3164</v>
      </c>
      <c r="C268" s="3206"/>
      <c r="D268" s="3104" t="s">
        <v>3963</v>
      </c>
      <c r="E268" s="3104" t="s">
        <v>463</v>
      </c>
      <c r="F268" s="3105">
        <v>49.34</v>
      </c>
      <c r="G268" s="3106" t="s">
        <v>3166</v>
      </c>
    </row>
    <row r="269" spans="1:7" ht="15" thickBot="1">
      <c r="A269" s="3103">
        <v>922</v>
      </c>
      <c r="B269" s="3205" t="s">
        <v>3164</v>
      </c>
      <c r="C269" s="3206"/>
      <c r="D269" s="3104" t="s">
        <v>3964</v>
      </c>
      <c r="E269" s="3104" t="s">
        <v>463</v>
      </c>
      <c r="F269" s="3105">
        <v>50.54</v>
      </c>
      <c r="G269" s="3106" t="s">
        <v>3166</v>
      </c>
    </row>
    <row r="270" spans="1:7" ht="15" thickBot="1">
      <c r="A270" s="3103">
        <v>923</v>
      </c>
      <c r="B270" s="3205" t="s">
        <v>3164</v>
      </c>
      <c r="C270" s="3206"/>
      <c r="D270" s="3104" t="s">
        <v>3965</v>
      </c>
      <c r="E270" s="3104" t="s">
        <v>463</v>
      </c>
      <c r="F270" s="3105">
        <v>50.28</v>
      </c>
      <c r="G270" s="3106" t="s">
        <v>3166</v>
      </c>
    </row>
    <row r="271" spans="1:7" ht="15" thickBot="1">
      <c r="A271" s="3103">
        <v>924</v>
      </c>
      <c r="B271" s="3205" t="s">
        <v>3164</v>
      </c>
      <c r="C271" s="3206"/>
      <c r="D271" s="3104" t="s">
        <v>3966</v>
      </c>
      <c r="E271" s="3104" t="s">
        <v>463</v>
      </c>
      <c r="F271" s="3105">
        <v>64.44</v>
      </c>
      <c r="G271" s="3106" t="s">
        <v>3166</v>
      </c>
    </row>
    <row r="272" spans="1:7" ht="15" thickBot="1">
      <c r="A272" s="3103">
        <v>925</v>
      </c>
      <c r="B272" s="3205" t="s">
        <v>3164</v>
      </c>
      <c r="C272" s="3206"/>
      <c r="D272" s="3104" t="s">
        <v>3967</v>
      </c>
      <c r="E272" s="3104" t="s">
        <v>463</v>
      </c>
      <c r="F272" s="3105">
        <v>64.44</v>
      </c>
      <c r="G272" s="3106" t="s">
        <v>3166</v>
      </c>
    </row>
    <row r="273" spans="1:7" ht="15" thickBot="1">
      <c r="A273" s="3103">
        <v>926</v>
      </c>
      <c r="B273" s="3205" t="s">
        <v>3164</v>
      </c>
      <c r="C273" s="3206"/>
      <c r="D273" s="3104" t="s">
        <v>3968</v>
      </c>
      <c r="E273" s="3104" t="s">
        <v>463</v>
      </c>
      <c r="F273" s="3105">
        <v>50.26</v>
      </c>
      <c r="G273" s="3106" t="s">
        <v>3166</v>
      </c>
    </row>
    <row r="274" spans="1:7" ht="15" thickBot="1">
      <c r="A274" s="3103">
        <v>927</v>
      </c>
      <c r="B274" s="3205" t="s">
        <v>3164</v>
      </c>
      <c r="C274" s="3206"/>
      <c r="D274" s="3104" t="s">
        <v>3969</v>
      </c>
      <c r="E274" s="3104" t="s">
        <v>463</v>
      </c>
      <c r="F274" s="3105">
        <v>50.21</v>
      </c>
      <c r="G274" s="3106" t="s">
        <v>3166</v>
      </c>
    </row>
    <row r="275" spans="1:7" ht="15" thickBot="1">
      <c r="A275" s="3103">
        <v>928</v>
      </c>
      <c r="B275" s="3205" t="s">
        <v>3164</v>
      </c>
      <c r="C275" s="3206"/>
      <c r="D275" s="3104" t="s">
        <v>3970</v>
      </c>
      <c r="E275" s="3104" t="s">
        <v>463</v>
      </c>
      <c r="F275" s="3105">
        <v>49.48</v>
      </c>
      <c r="G275" s="3106" t="s">
        <v>3166</v>
      </c>
    </row>
    <row r="276" spans="1:7" ht="15" thickBot="1">
      <c r="A276" s="3103">
        <v>929</v>
      </c>
      <c r="B276" s="3205" t="s">
        <v>3164</v>
      </c>
      <c r="C276" s="3206"/>
      <c r="D276" s="3104" t="s">
        <v>3971</v>
      </c>
      <c r="E276" s="3104" t="s">
        <v>463</v>
      </c>
      <c r="F276" s="3105">
        <v>50.72</v>
      </c>
      <c r="G276" s="3106" t="s">
        <v>3166</v>
      </c>
    </row>
    <row r="277" spans="1:7" ht="15" thickBot="1">
      <c r="A277" s="3103">
        <v>930</v>
      </c>
      <c r="B277" s="3205" t="s">
        <v>3164</v>
      </c>
      <c r="C277" s="3206"/>
      <c r="D277" s="3104" t="s">
        <v>3972</v>
      </c>
      <c r="E277" s="3104" t="s">
        <v>463</v>
      </c>
      <c r="F277" s="3105">
        <v>50.28</v>
      </c>
      <c r="G277" s="3106" t="s">
        <v>3166</v>
      </c>
    </row>
    <row r="278" spans="1:7" ht="15" thickBot="1">
      <c r="A278" s="3103">
        <v>931</v>
      </c>
      <c r="B278" s="3205" t="s">
        <v>3164</v>
      </c>
      <c r="C278" s="3206"/>
      <c r="D278" s="3104" t="s">
        <v>3973</v>
      </c>
      <c r="E278" s="3104" t="s">
        <v>463</v>
      </c>
      <c r="F278" s="3105">
        <v>64.44</v>
      </c>
      <c r="G278" s="3106" t="s">
        <v>3166</v>
      </c>
    </row>
    <row r="279" spans="1:7" ht="15" thickBot="1">
      <c r="A279" s="3103">
        <v>932</v>
      </c>
      <c r="B279" s="3205" t="s">
        <v>3164</v>
      </c>
      <c r="C279" s="3206"/>
      <c r="D279" s="3104" t="s">
        <v>3974</v>
      </c>
      <c r="E279" s="3104" t="s">
        <v>463</v>
      </c>
      <c r="F279" s="3105">
        <v>64.44</v>
      </c>
      <c r="G279" s="3106" t="s">
        <v>3166</v>
      </c>
    </row>
    <row r="280" spans="1:7" ht="15" thickBot="1">
      <c r="A280" s="3103">
        <v>933</v>
      </c>
      <c r="B280" s="3205" t="s">
        <v>3164</v>
      </c>
      <c r="C280" s="3206"/>
      <c r="D280" s="3104" t="s">
        <v>3975</v>
      </c>
      <c r="E280" s="3104" t="s">
        <v>463</v>
      </c>
      <c r="F280" s="3105">
        <v>50.26</v>
      </c>
      <c r="G280" s="3106" t="s">
        <v>3166</v>
      </c>
    </row>
    <row r="281" spans="1:7" ht="15" thickBot="1">
      <c r="A281" s="3103">
        <v>934</v>
      </c>
      <c r="B281" s="3205" t="s">
        <v>3164</v>
      </c>
      <c r="C281" s="3206"/>
      <c r="D281" s="3104" t="s">
        <v>3976</v>
      </c>
      <c r="E281" s="3104" t="s">
        <v>463</v>
      </c>
      <c r="F281" s="3105">
        <v>50.21</v>
      </c>
      <c r="G281" s="3106" t="s">
        <v>3166</v>
      </c>
    </row>
    <row r="282" spans="1:7" ht="15" thickBot="1">
      <c r="A282" s="3103">
        <v>935</v>
      </c>
      <c r="B282" s="3205" t="s">
        <v>3164</v>
      </c>
      <c r="C282" s="3206"/>
      <c r="D282" s="3104" t="s">
        <v>3977</v>
      </c>
      <c r="E282" s="3104" t="s">
        <v>463</v>
      </c>
      <c r="F282" s="3105">
        <v>49.5</v>
      </c>
      <c r="G282" s="3106" t="s">
        <v>3166</v>
      </c>
    </row>
    <row r="283" spans="1:7" ht="15" thickBot="1">
      <c r="A283" s="3103">
        <v>936</v>
      </c>
      <c r="B283" s="3205" t="s">
        <v>3164</v>
      </c>
      <c r="C283" s="3206"/>
      <c r="D283" s="3104" t="s">
        <v>3978</v>
      </c>
      <c r="E283" s="3104" t="s">
        <v>463</v>
      </c>
      <c r="F283" s="3105">
        <v>50.72</v>
      </c>
      <c r="G283" s="3106" t="s">
        <v>3166</v>
      </c>
    </row>
    <row r="284" spans="1:7" ht="15" thickBot="1">
      <c r="A284" s="3103">
        <v>937</v>
      </c>
      <c r="B284" s="3205" t="s">
        <v>3164</v>
      </c>
      <c r="C284" s="3206"/>
      <c r="D284" s="3104" t="s">
        <v>3979</v>
      </c>
      <c r="E284" s="3104" t="s">
        <v>463</v>
      </c>
      <c r="F284" s="3105">
        <v>50.28</v>
      </c>
      <c r="G284" s="3106" t="s">
        <v>3166</v>
      </c>
    </row>
    <row r="285" spans="1:7" ht="15" thickBot="1">
      <c r="A285" s="3103">
        <v>938</v>
      </c>
      <c r="B285" s="3205" t="s">
        <v>3164</v>
      </c>
      <c r="C285" s="3206"/>
      <c r="D285" s="3104" t="s">
        <v>3980</v>
      </c>
      <c r="E285" s="3104" t="s">
        <v>463</v>
      </c>
      <c r="F285" s="3105">
        <v>64.44</v>
      </c>
      <c r="G285" s="3106" t="s">
        <v>3166</v>
      </c>
    </row>
    <row r="286" spans="1:7" ht="15" thickBot="1">
      <c r="A286" s="3103">
        <v>939</v>
      </c>
      <c r="B286" s="3205" t="s">
        <v>3164</v>
      </c>
      <c r="C286" s="3206"/>
      <c r="D286" s="3104" t="s">
        <v>3981</v>
      </c>
      <c r="E286" s="3104" t="s">
        <v>463</v>
      </c>
      <c r="F286" s="3105">
        <v>64.44</v>
      </c>
      <c r="G286" s="3106" t="s">
        <v>3166</v>
      </c>
    </row>
    <row r="287" spans="1:7" ht="15" thickBot="1">
      <c r="A287" s="3103">
        <v>940</v>
      </c>
      <c r="B287" s="3205" t="s">
        <v>3164</v>
      </c>
      <c r="C287" s="3206"/>
      <c r="D287" s="3104" t="s">
        <v>3982</v>
      </c>
      <c r="E287" s="3104" t="s">
        <v>463</v>
      </c>
      <c r="F287" s="3105">
        <v>50.26</v>
      </c>
      <c r="G287" s="3106" t="s">
        <v>3166</v>
      </c>
    </row>
    <row r="288" spans="1:7" ht="15" thickBot="1">
      <c r="A288" s="3103">
        <v>941</v>
      </c>
      <c r="B288" s="3205" t="s">
        <v>3164</v>
      </c>
      <c r="C288" s="3206"/>
      <c r="D288" s="3104" t="s">
        <v>3983</v>
      </c>
      <c r="E288" s="3104" t="s">
        <v>463</v>
      </c>
      <c r="F288" s="3105">
        <v>50.21</v>
      </c>
      <c r="G288" s="3106" t="s">
        <v>3166</v>
      </c>
    </row>
    <row r="289" spans="1:7" ht="15" thickBot="1">
      <c r="A289" s="3103">
        <v>942</v>
      </c>
      <c r="B289" s="3205" t="s">
        <v>3164</v>
      </c>
      <c r="C289" s="3206"/>
      <c r="D289" s="3104" t="s">
        <v>3984</v>
      </c>
      <c r="E289" s="3104" t="s">
        <v>463</v>
      </c>
      <c r="F289" s="3105">
        <v>49.5</v>
      </c>
      <c r="G289" s="3106" t="s">
        <v>3166</v>
      </c>
    </row>
    <row r="290" spans="1:7" ht="15" thickBot="1">
      <c r="A290" s="3103">
        <v>943</v>
      </c>
      <c r="B290" s="3205" t="s">
        <v>3164</v>
      </c>
      <c r="C290" s="3206"/>
      <c r="D290" s="3104" t="s">
        <v>3985</v>
      </c>
      <c r="E290" s="3104" t="s">
        <v>463</v>
      </c>
      <c r="F290" s="3105">
        <v>50.72</v>
      </c>
      <c r="G290" s="3106" t="s">
        <v>3166</v>
      </c>
    </row>
    <row r="291" spans="1:7" ht="15" thickBot="1">
      <c r="A291" s="3103">
        <v>944</v>
      </c>
      <c r="B291" s="3205" t="s">
        <v>3164</v>
      </c>
      <c r="C291" s="3206"/>
      <c r="D291" s="3104" t="s">
        <v>3986</v>
      </c>
      <c r="E291" s="3104" t="s">
        <v>463</v>
      </c>
      <c r="F291" s="3105">
        <v>50.28</v>
      </c>
      <c r="G291" s="3106" t="s">
        <v>3166</v>
      </c>
    </row>
    <row r="292" spans="1:7" ht="15" thickBot="1">
      <c r="A292" s="3103">
        <v>945</v>
      </c>
      <c r="B292" s="3205" t="s">
        <v>3164</v>
      </c>
      <c r="C292" s="3206"/>
      <c r="D292" s="3104" t="s">
        <v>3987</v>
      </c>
      <c r="E292" s="3104" t="s">
        <v>463</v>
      </c>
      <c r="F292" s="3105">
        <v>64.44</v>
      </c>
      <c r="G292" s="3106" t="s">
        <v>3166</v>
      </c>
    </row>
    <row r="293" spans="1:7" ht="15" thickBot="1">
      <c r="A293" s="3103">
        <v>946</v>
      </c>
      <c r="B293" s="3205" t="s">
        <v>3164</v>
      </c>
      <c r="C293" s="3206"/>
      <c r="D293" s="3104" t="s">
        <v>3988</v>
      </c>
      <c r="E293" s="3104" t="s">
        <v>463</v>
      </c>
      <c r="F293" s="3105">
        <v>50.26</v>
      </c>
      <c r="G293" s="3106" t="s">
        <v>3166</v>
      </c>
    </row>
    <row r="294" spans="1:7" ht="15" thickBot="1">
      <c r="A294" s="3103">
        <v>947</v>
      </c>
      <c r="B294" s="3205" t="s">
        <v>3164</v>
      </c>
      <c r="C294" s="3206"/>
      <c r="D294" s="3104" t="s">
        <v>3989</v>
      </c>
      <c r="E294" s="3104" t="s">
        <v>463</v>
      </c>
      <c r="F294" s="3105">
        <v>50.21</v>
      </c>
      <c r="G294" s="3106" t="s">
        <v>3166</v>
      </c>
    </row>
    <row r="295" spans="1:7" ht="15" thickBot="1">
      <c r="A295" s="3103">
        <v>948</v>
      </c>
      <c r="B295" s="3205" t="s">
        <v>3164</v>
      </c>
      <c r="C295" s="3206"/>
      <c r="D295" s="3104" t="s">
        <v>3990</v>
      </c>
      <c r="E295" s="3104" t="s">
        <v>463</v>
      </c>
      <c r="F295" s="3105">
        <v>49.5</v>
      </c>
      <c r="G295" s="3106" t="s">
        <v>3166</v>
      </c>
    </row>
    <row r="296" spans="1:7" ht="15" thickBot="1">
      <c r="A296" s="3103">
        <v>949</v>
      </c>
      <c r="B296" s="3205" t="s">
        <v>3164</v>
      </c>
      <c r="C296" s="3206"/>
      <c r="D296" s="3104" t="s">
        <v>3991</v>
      </c>
      <c r="E296" s="3104" t="s">
        <v>463</v>
      </c>
      <c r="F296" s="3105">
        <v>50.72</v>
      </c>
      <c r="G296" s="3106" t="s">
        <v>3166</v>
      </c>
    </row>
    <row r="297" spans="1:7" ht="15" thickBot="1">
      <c r="A297" s="3103">
        <v>950</v>
      </c>
      <c r="B297" s="3205" t="s">
        <v>3164</v>
      </c>
      <c r="C297" s="3206"/>
      <c r="D297" s="3104" t="s">
        <v>3992</v>
      </c>
      <c r="E297" s="3104" t="s">
        <v>463</v>
      </c>
      <c r="F297" s="3105">
        <v>50.28</v>
      </c>
      <c r="G297" s="3106" t="s">
        <v>3166</v>
      </c>
    </row>
    <row r="298" spans="1:7" ht="15" thickBot="1">
      <c r="A298" s="3103">
        <v>951</v>
      </c>
      <c r="B298" s="3205" t="s">
        <v>3164</v>
      </c>
      <c r="C298" s="3206"/>
      <c r="D298" s="3104" t="s">
        <v>3993</v>
      </c>
      <c r="E298" s="3104" t="s">
        <v>463</v>
      </c>
      <c r="F298" s="3105">
        <v>64.44</v>
      </c>
      <c r="G298" s="3106" t="s">
        <v>3166</v>
      </c>
    </row>
    <row r="299" spans="1:7" ht="15" thickBot="1">
      <c r="A299" s="3103">
        <v>952</v>
      </c>
      <c r="B299" s="3205" t="s">
        <v>3164</v>
      </c>
      <c r="C299" s="3206"/>
      <c r="D299" s="3104" t="s">
        <v>3994</v>
      </c>
      <c r="E299" s="3104" t="s">
        <v>463</v>
      </c>
      <c r="F299" s="3105">
        <v>64.44</v>
      </c>
      <c r="G299" s="3106" t="s">
        <v>3166</v>
      </c>
    </row>
    <row r="300" spans="1:7" ht="15" thickBot="1">
      <c r="A300" s="3103">
        <v>953</v>
      </c>
      <c r="B300" s="3205" t="s">
        <v>3164</v>
      </c>
      <c r="C300" s="3206"/>
      <c r="D300" s="3104" t="s">
        <v>3995</v>
      </c>
      <c r="E300" s="3104" t="s">
        <v>463</v>
      </c>
      <c r="F300" s="3105">
        <v>50.26</v>
      </c>
      <c r="G300" s="3106" t="s">
        <v>3166</v>
      </c>
    </row>
    <row r="301" spans="1:7" ht="15" thickBot="1">
      <c r="A301" s="3103">
        <v>954</v>
      </c>
      <c r="B301" s="3205" t="s">
        <v>3164</v>
      </c>
      <c r="C301" s="3206"/>
      <c r="D301" s="3104" t="s">
        <v>3996</v>
      </c>
      <c r="E301" s="3104" t="s">
        <v>463</v>
      </c>
      <c r="F301" s="3105">
        <v>50.21</v>
      </c>
      <c r="G301" s="3106" t="s">
        <v>3166</v>
      </c>
    </row>
    <row r="302" spans="1:7" ht="15" thickBot="1">
      <c r="A302" s="3103">
        <v>955</v>
      </c>
      <c r="B302" s="3205" t="s">
        <v>3164</v>
      </c>
      <c r="C302" s="3206"/>
      <c r="D302" s="3104" t="s">
        <v>3997</v>
      </c>
      <c r="E302" s="3104" t="s">
        <v>463</v>
      </c>
      <c r="F302" s="3105">
        <v>49.5</v>
      </c>
      <c r="G302" s="3106" t="s">
        <v>3166</v>
      </c>
    </row>
    <row r="303" spans="1:7" ht="15" thickBot="1">
      <c r="A303" s="3103">
        <v>956</v>
      </c>
      <c r="B303" s="3205" t="s">
        <v>3164</v>
      </c>
      <c r="C303" s="3206"/>
      <c r="D303" s="3104" t="s">
        <v>3998</v>
      </c>
      <c r="E303" s="3104" t="s">
        <v>463</v>
      </c>
      <c r="F303" s="3105">
        <v>50.72</v>
      </c>
      <c r="G303" s="3106" t="s">
        <v>3166</v>
      </c>
    </row>
    <row r="304" spans="1:7" ht="15" thickBot="1">
      <c r="A304" s="3103">
        <v>957</v>
      </c>
      <c r="B304" s="3205" t="s">
        <v>3164</v>
      </c>
      <c r="C304" s="3206"/>
      <c r="D304" s="3104" t="s">
        <v>3999</v>
      </c>
      <c r="E304" s="3104" t="s">
        <v>463</v>
      </c>
      <c r="F304" s="3105">
        <v>50.28</v>
      </c>
      <c r="G304" s="3106" t="s">
        <v>3166</v>
      </c>
    </row>
    <row r="305" spans="1:7" ht="15" thickBot="1">
      <c r="A305" s="3103">
        <v>958</v>
      </c>
      <c r="B305" s="3205" t="s">
        <v>3164</v>
      </c>
      <c r="C305" s="3206"/>
      <c r="D305" s="3104" t="s">
        <v>4000</v>
      </c>
      <c r="E305" s="3104" t="s">
        <v>463</v>
      </c>
      <c r="F305" s="3105">
        <v>64.44</v>
      </c>
      <c r="G305" s="3106" t="s">
        <v>3166</v>
      </c>
    </row>
    <row r="306" spans="1:7" ht="15" thickBot="1">
      <c r="A306" s="3103">
        <v>959</v>
      </c>
      <c r="B306" s="3205" t="s">
        <v>3164</v>
      </c>
      <c r="C306" s="3206"/>
      <c r="D306" s="3104" t="s">
        <v>4001</v>
      </c>
      <c r="E306" s="3104" t="s">
        <v>463</v>
      </c>
      <c r="F306" s="3105">
        <v>50.26</v>
      </c>
      <c r="G306" s="3106" t="s">
        <v>3166</v>
      </c>
    </row>
    <row r="307" spans="1:7" ht="15" thickBot="1">
      <c r="A307" s="3103">
        <v>960</v>
      </c>
      <c r="B307" s="3205" t="s">
        <v>3164</v>
      </c>
      <c r="C307" s="3206"/>
      <c r="D307" s="3104" t="s">
        <v>4002</v>
      </c>
      <c r="E307" s="3104" t="s">
        <v>463</v>
      </c>
      <c r="F307" s="3105">
        <v>50.21</v>
      </c>
      <c r="G307" s="3106" t="s">
        <v>3166</v>
      </c>
    </row>
    <row r="308" spans="1:7" ht="15" thickBot="1">
      <c r="A308" s="3103">
        <v>961</v>
      </c>
      <c r="B308" s="3205" t="s">
        <v>3164</v>
      </c>
      <c r="C308" s="3206"/>
      <c r="D308" s="3104" t="s">
        <v>4003</v>
      </c>
      <c r="E308" s="3104" t="s">
        <v>463</v>
      </c>
      <c r="F308" s="3105">
        <v>49.5</v>
      </c>
      <c r="G308" s="3106" t="s">
        <v>3166</v>
      </c>
    </row>
    <row r="309" spans="1:7" ht="15" thickBot="1">
      <c r="A309" s="3103">
        <v>962</v>
      </c>
      <c r="B309" s="3205" t="s">
        <v>3164</v>
      </c>
      <c r="C309" s="3206"/>
      <c r="D309" s="3104" t="s">
        <v>4004</v>
      </c>
      <c r="E309" s="3104" t="s">
        <v>463</v>
      </c>
      <c r="F309" s="3105">
        <v>50.72</v>
      </c>
      <c r="G309" s="3106" t="s">
        <v>3166</v>
      </c>
    </row>
    <row r="310" spans="1:7" ht="15" thickBot="1">
      <c r="A310" s="3103">
        <v>963</v>
      </c>
      <c r="B310" s="3205" t="s">
        <v>3164</v>
      </c>
      <c r="C310" s="3206"/>
      <c r="D310" s="3104" t="s">
        <v>4005</v>
      </c>
      <c r="E310" s="3104" t="s">
        <v>463</v>
      </c>
      <c r="F310" s="3105">
        <v>50.28</v>
      </c>
      <c r="G310" s="3106" t="s">
        <v>3166</v>
      </c>
    </row>
    <row r="311" spans="1:7" ht="15" thickBot="1">
      <c r="A311" s="3103">
        <v>964</v>
      </c>
      <c r="B311" s="3205" t="s">
        <v>3164</v>
      </c>
      <c r="C311" s="3206"/>
      <c r="D311" s="3104" t="s">
        <v>4006</v>
      </c>
      <c r="E311" s="3104" t="s">
        <v>463</v>
      </c>
      <c r="F311" s="3105">
        <v>64.44</v>
      </c>
      <c r="G311" s="3106" t="s">
        <v>3166</v>
      </c>
    </row>
    <row r="312" spans="1:7" ht="15" thickBot="1">
      <c r="A312" s="3103">
        <v>965</v>
      </c>
      <c r="B312" s="3205" t="s">
        <v>3164</v>
      </c>
      <c r="C312" s="3206"/>
      <c r="D312" s="3104" t="s">
        <v>4007</v>
      </c>
      <c r="E312" s="3104" t="s">
        <v>463</v>
      </c>
      <c r="F312" s="3105">
        <v>64.44</v>
      </c>
      <c r="G312" s="3106" t="s">
        <v>3166</v>
      </c>
    </row>
    <row r="313" spans="1:7" ht="15" thickBot="1">
      <c r="A313" s="3103">
        <v>966</v>
      </c>
      <c r="B313" s="3205" t="s">
        <v>3164</v>
      </c>
      <c r="C313" s="3206"/>
      <c r="D313" s="3104" t="s">
        <v>4008</v>
      </c>
      <c r="E313" s="3104" t="s">
        <v>463</v>
      </c>
      <c r="F313" s="3105">
        <v>50.26</v>
      </c>
      <c r="G313" s="3106" t="s">
        <v>3166</v>
      </c>
    </row>
    <row r="314" spans="1:7" ht="15" thickBot="1">
      <c r="A314" s="3103">
        <v>967</v>
      </c>
      <c r="B314" s="3205" t="s">
        <v>3164</v>
      </c>
      <c r="C314" s="3206"/>
      <c r="D314" s="3104" t="s">
        <v>4009</v>
      </c>
      <c r="E314" s="3104" t="s">
        <v>463</v>
      </c>
      <c r="F314" s="3105">
        <v>50.21</v>
      </c>
      <c r="G314" s="3106" t="s">
        <v>3166</v>
      </c>
    </row>
    <row r="315" spans="1:7" ht="15" thickBot="1">
      <c r="A315" s="3103">
        <v>968</v>
      </c>
      <c r="B315" s="3205" t="s">
        <v>3164</v>
      </c>
      <c r="C315" s="3206"/>
      <c r="D315" s="3104" t="s">
        <v>4010</v>
      </c>
      <c r="E315" s="3104" t="s">
        <v>463</v>
      </c>
      <c r="F315" s="3105">
        <v>49.5</v>
      </c>
      <c r="G315" s="3106" t="s">
        <v>3166</v>
      </c>
    </row>
    <row r="316" spans="1:7" ht="15" thickBot="1">
      <c r="A316" s="3103">
        <v>969</v>
      </c>
      <c r="B316" s="3205" t="s">
        <v>3164</v>
      </c>
      <c r="C316" s="3206"/>
      <c r="D316" s="3104" t="s">
        <v>4011</v>
      </c>
      <c r="E316" s="3104" t="s">
        <v>463</v>
      </c>
      <c r="F316" s="3105">
        <v>50.72</v>
      </c>
      <c r="G316" s="3106" t="s">
        <v>3166</v>
      </c>
    </row>
    <row r="317" spans="1:7" ht="15" thickBot="1">
      <c r="A317" s="3103">
        <v>970</v>
      </c>
      <c r="B317" s="3205" t="s">
        <v>3164</v>
      </c>
      <c r="C317" s="3206"/>
      <c r="D317" s="3104" t="s">
        <v>4012</v>
      </c>
      <c r="E317" s="3104" t="s">
        <v>463</v>
      </c>
      <c r="F317" s="3105">
        <v>50.28</v>
      </c>
      <c r="G317" s="3106" t="s">
        <v>3166</v>
      </c>
    </row>
    <row r="318" spans="1:7" ht="15" thickBot="1">
      <c r="A318" s="3103">
        <v>971</v>
      </c>
      <c r="B318" s="3205" t="s">
        <v>3164</v>
      </c>
      <c r="C318" s="3206"/>
      <c r="D318" s="3104" t="s">
        <v>4013</v>
      </c>
      <c r="E318" s="3104" t="s">
        <v>463</v>
      </c>
      <c r="F318" s="3105">
        <v>64.44</v>
      </c>
      <c r="G318" s="3106" t="s">
        <v>3166</v>
      </c>
    </row>
    <row r="319" spans="1:7" ht="15" thickBot="1">
      <c r="A319" s="3103">
        <v>972</v>
      </c>
      <c r="B319" s="3205" t="s">
        <v>3164</v>
      </c>
      <c r="C319" s="3206"/>
      <c r="D319" s="3104" t="s">
        <v>4014</v>
      </c>
      <c r="E319" s="3104" t="s">
        <v>463</v>
      </c>
      <c r="F319" s="3105">
        <v>64.44</v>
      </c>
      <c r="G319" s="3106" t="s">
        <v>3166</v>
      </c>
    </row>
    <row r="320" spans="1:7" ht="15" thickBot="1">
      <c r="A320" s="3103">
        <v>973</v>
      </c>
      <c r="B320" s="3205" t="s">
        <v>3164</v>
      </c>
      <c r="C320" s="3206"/>
      <c r="D320" s="3104" t="s">
        <v>4015</v>
      </c>
      <c r="E320" s="3104" t="s">
        <v>463</v>
      </c>
      <c r="F320" s="3105">
        <v>50.26</v>
      </c>
      <c r="G320" s="3106" t="s">
        <v>3166</v>
      </c>
    </row>
    <row r="321" spans="1:7" ht="15" thickBot="1">
      <c r="A321" s="3103">
        <v>974</v>
      </c>
      <c r="B321" s="3205" t="s">
        <v>3164</v>
      </c>
      <c r="C321" s="3206"/>
      <c r="D321" s="3104" t="s">
        <v>4016</v>
      </c>
      <c r="E321" s="3104" t="s">
        <v>463</v>
      </c>
      <c r="F321" s="3105">
        <v>50.21</v>
      </c>
      <c r="G321" s="3106" t="s">
        <v>3166</v>
      </c>
    </row>
    <row r="322" spans="1:7" ht="15" thickBot="1">
      <c r="A322" s="3103">
        <v>975</v>
      </c>
      <c r="B322" s="3205" t="s">
        <v>3164</v>
      </c>
      <c r="C322" s="3206"/>
      <c r="D322" s="3104" t="s">
        <v>4017</v>
      </c>
      <c r="E322" s="3104" t="s">
        <v>463</v>
      </c>
      <c r="F322" s="3105">
        <v>49.5</v>
      </c>
      <c r="G322" s="3106" t="s">
        <v>3166</v>
      </c>
    </row>
    <row r="323" spans="1:7" ht="15" thickBot="1">
      <c r="A323" s="3103">
        <v>976</v>
      </c>
      <c r="B323" s="3205" t="s">
        <v>3164</v>
      </c>
      <c r="C323" s="3206"/>
      <c r="D323" s="3104" t="s">
        <v>4018</v>
      </c>
      <c r="E323" s="3104" t="s">
        <v>463</v>
      </c>
      <c r="F323" s="3105">
        <v>50.72</v>
      </c>
      <c r="G323" s="3106" t="s">
        <v>3166</v>
      </c>
    </row>
    <row r="324" spans="1:7" ht="15" thickBot="1">
      <c r="A324" s="3103">
        <v>977</v>
      </c>
      <c r="B324" s="3205" t="s">
        <v>3164</v>
      </c>
      <c r="C324" s="3206"/>
      <c r="D324" s="3104" t="s">
        <v>4019</v>
      </c>
      <c r="E324" s="3104" t="s">
        <v>463</v>
      </c>
      <c r="F324" s="3105">
        <v>50.28</v>
      </c>
      <c r="G324" s="3106" t="s">
        <v>3166</v>
      </c>
    </row>
    <row r="325" spans="1:7" ht="15" thickBot="1">
      <c r="A325" s="3103">
        <v>978</v>
      </c>
      <c r="B325" s="3205" t="s">
        <v>3164</v>
      </c>
      <c r="C325" s="3206"/>
      <c r="D325" s="3104" t="s">
        <v>4020</v>
      </c>
      <c r="E325" s="3104" t="s">
        <v>463</v>
      </c>
      <c r="F325" s="3105">
        <v>64.44</v>
      </c>
      <c r="G325" s="3106" t="s">
        <v>3166</v>
      </c>
    </row>
    <row r="326" spans="1:7" ht="15" thickBot="1">
      <c r="A326" s="3103">
        <v>979</v>
      </c>
      <c r="B326" s="3205" t="s">
        <v>3164</v>
      </c>
      <c r="C326" s="3206"/>
      <c r="D326" s="3104" t="s">
        <v>4021</v>
      </c>
      <c r="E326" s="3104" t="s">
        <v>463</v>
      </c>
      <c r="F326" s="3105">
        <v>64.44</v>
      </c>
      <c r="G326" s="3106" t="s">
        <v>3166</v>
      </c>
    </row>
    <row r="327" spans="1:7" ht="15" thickBot="1">
      <c r="A327" s="3103">
        <v>980</v>
      </c>
      <c r="B327" s="3205" t="s">
        <v>3164</v>
      </c>
      <c r="C327" s="3206"/>
      <c r="D327" s="3104" t="s">
        <v>4022</v>
      </c>
      <c r="E327" s="3104" t="s">
        <v>463</v>
      </c>
      <c r="F327" s="3105">
        <v>50.26</v>
      </c>
      <c r="G327" s="3106" t="s">
        <v>3166</v>
      </c>
    </row>
    <row r="328" spans="1:7" ht="15" thickBot="1">
      <c r="A328" s="3103">
        <v>981</v>
      </c>
      <c r="B328" s="3205" t="s">
        <v>3164</v>
      </c>
      <c r="C328" s="3206"/>
      <c r="D328" s="3104" t="s">
        <v>4023</v>
      </c>
      <c r="E328" s="3104" t="s">
        <v>463</v>
      </c>
      <c r="F328" s="3105">
        <v>50.21</v>
      </c>
      <c r="G328" s="3106" t="s">
        <v>3166</v>
      </c>
    </row>
    <row r="329" spans="1:7" ht="15" thickBot="1">
      <c r="A329" s="3103">
        <v>982</v>
      </c>
      <c r="B329" s="3205" t="s">
        <v>3164</v>
      </c>
      <c r="C329" s="3206"/>
      <c r="D329" s="3104" t="s">
        <v>4024</v>
      </c>
      <c r="E329" s="3104" t="s">
        <v>463</v>
      </c>
      <c r="F329" s="3105">
        <v>49.5</v>
      </c>
      <c r="G329" s="3106" t="s">
        <v>3166</v>
      </c>
    </row>
    <row r="330" spans="1:7" ht="15" thickBot="1">
      <c r="A330" s="3103">
        <v>983</v>
      </c>
      <c r="B330" s="3205" t="s">
        <v>3164</v>
      </c>
      <c r="C330" s="3206"/>
      <c r="D330" s="3104" t="s">
        <v>4025</v>
      </c>
      <c r="E330" s="3104" t="s">
        <v>463</v>
      </c>
      <c r="F330" s="3105">
        <v>50.72</v>
      </c>
      <c r="G330" s="3106" t="s">
        <v>3166</v>
      </c>
    </row>
    <row r="331" spans="1:7" ht="15" thickBot="1">
      <c r="A331" s="3103">
        <v>984</v>
      </c>
      <c r="B331" s="3205" t="s">
        <v>3164</v>
      </c>
      <c r="C331" s="3206"/>
      <c r="D331" s="3104" t="s">
        <v>4026</v>
      </c>
      <c r="E331" s="3104" t="s">
        <v>463</v>
      </c>
      <c r="F331" s="3105">
        <v>50.28</v>
      </c>
      <c r="G331" s="3106" t="s">
        <v>3166</v>
      </c>
    </row>
    <row r="332" spans="1:7" ht="15" thickBot="1">
      <c r="A332" s="3103">
        <v>985</v>
      </c>
      <c r="B332" s="3205" t="s">
        <v>3164</v>
      </c>
      <c r="C332" s="3206"/>
      <c r="D332" s="3104" t="s">
        <v>4027</v>
      </c>
      <c r="E332" s="3104" t="s">
        <v>463</v>
      </c>
      <c r="F332" s="3105">
        <v>64.44</v>
      </c>
      <c r="G332" s="3106" t="s">
        <v>3166</v>
      </c>
    </row>
    <row r="333" spans="1:7" ht="15" thickBot="1">
      <c r="A333" s="3103">
        <v>986</v>
      </c>
      <c r="B333" s="3205" t="s">
        <v>3164</v>
      </c>
      <c r="C333" s="3206"/>
      <c r="D333" s="3104" t="s">
        <v>4028</v>
      </c>
      <c r="E333" s="3104" t="s">
        <v>463</v>
      </c>
      <c r="F333" s="3105">
        <v>64.44</v>
      </c>
      <c r="G333" s="3106" t="s">
        <v>3166</v>
      </c>
    </row>
    <row r="334" spans="1:7" ht="15" thickBot="1">
      <c r="A334" s="3103">
        <v>987</v>
      </c>
      <c r="B334" s="3205" t="s">
        <v>3164</v>
      </c>
      <c r="C334" s="3206"/>
      <c r="D334" s="3104" t="s">
        <v>4029</v>
      </c>
      <c r="E334" s="3104" t="s">
        <v>463</v>
      </c>
      <c r="F334" s="3105">
        <v>50.26</v>
      </c>
      <c r="G334" s="3106" t="s">
        <v>3166</v>
      </c>
    </row>
    <row r="335" spans="1:7" ht="15" thickBot="1">
      <c r="A335" s="3103">
        <v>988</v>
      </c>
      <c r="B335" s="3205" t="s">
        <v>3164</v>
      </c>
      <c r="C335" s="3206"/>
      <c r="D335" s="3104" t="s">
        <v>4030</v>
      </c>
      <c r="E335" s="3104" t="s">
        <v>463</v>
      </c>
      <c r="F335" s="3105">
        <v>50.21</v>
      </c>
      <c r="G335" s="3106" t="s">
        <v>3166</v>
      </c>
    </row>
    <row r="336" spans="1:7" ht="15" thickBot="1">
      <c r="A336" s="3103">
        <v>989</v>
      </c>
      <c r="B336" s="3205" t="s">
        <v>3164</v>
      </c>
      <c r="C336" s="3206"/>
      <c r="D336" s="3104" t="s">
        <v>4031</v>
      </c>
      <c r="E336" s="3104" t="s">
        <v>463</v>
      </c>
      <c r="F336" s="3105">
        <v>49.5</v>
      </c>
      <c r="G336" s="3106" t="s">
        <v>3166</v>
      </c>
    </row>
    <row r="337" spans="1:7" ht="15" thickBot="1">
      <c r="A337" s="3103">
        <v>990</v>
      </c>
      <c r="B337" s="3205" t="s">
        <v>3164</v>
      </c>
      <c r="C337" s="3206"/>
      <c r="D337" s="3104" t="s">
        <v>4032</v>
      </c>
      <c r="E337" s="3104" t="s">
        <v>463</v>
      </c>
      <c r="F337" s="3105">
        <v>50.72</v>
      </c>
      <c r="G337" s="3106" t="s">
        <v>3166</v>
      </c>
    </row>
    <row r="338" spans="1:7" ht="15" thickBot="1">
      <c r="A338" s="3103">
        <v>991</v>
      </c>
      <c r="B338" s="3205" t="s">
        <v>3164</v>
      </c>
      <c r="C338" s="3206"/>
      <c r="D338" s="3104" t="s">
        <v>4033</v>
      </c>
      <c r="E338" s="3104" t="s">
        <v>463</v>
      </c>
      <c r="F338" s="3105">
        <v>50.28</v>
      </c>
      <c r="G338" s="3106" t="s">
        <v>3166</v>
      </c>
    </row>
    <row r="339" spans="1:7" ht="15" thickBot="1">
      <c r="A339" s="3103">
        <v>992</v>
      </c>
      <c r="B339" s="3205" t="s">
        <v>3164</v>
      </c>
      <c r="C339" s="3206"/>
      <c r="D339" s="3104" t="s">
        <v>4034</v>
      </c>
      <c r="E339" s="3104" t="s">
        <v>463</v>
      </c>
      <c r="F339" s="3105">
        <v>64.44</v>
      </c>
      <c r="G339" s="3106" t="s">
        <v>3166</v>
      </c>
    </row>
    <row r="340" spans="1:7" ht="15" thickBot="1">
      <c r="A340" s="3103">
        <v>993</v>
      </c>
      <c r="B340" s="3205" t="s">
        <v>3164</v>
      </c>
      <c r="C340" s="3206"/>
      <c r="D340" s="3104" t="s">
        <v>4035</v>
      </c>
      <c r="E340" s="3104" t="s">
        <v>463</v>
      </c>
      <c r="F340" s="3105">
        <v>64.44</v>
      </c>
      <c r="G340" s="3106" t="s">
        <v>3166</v>
      </c>
    </row>
    <row r="341" spans="1:7" ht="15" thickBot="1">
      <c r="A341" s="3103">
        <v>994</v>
      </c>
      <c r="B341" s="3205" t="s">
        <v>3164</v>
      </c>
      <c r="C341" s="3206"/>
      <c r="D341" s="3104" t="s">
        <v>4036</v>
      </c>
      <c r="E341" s="3104" t="s">
        <v>463</v>
      </c>
      <c r="F341" s="3105">
        <v>50.26</v>
      </c>
      <c r="G341" s="3106" t="s">
        <v>3166</v>
      </c>
    </row>
    <row r="342" spans="1:7" ht="15" thickBot="1">
      <c r="A342" s="3103">
        <v>995</v>
      </c>
      <c r="B342" s="3205" t="s">
        <v>3164</v>
      </c>
      <c r="C342" s="3206"/>
      <c r="D342" s="3104" t="s">
        <v>4037</v>
      </c>
      <c r="E342" s="3104" t="s">
        <v>463</v>
      </c>
      <c r="F342" s="3105">
        <v>50.21</v>
      </c>
      <c r="G342" s="3106" t="s">
        <v>3166</v>
      </c>
    </row>
    <row r="343" spans="1:7" ht="15" thickBot="1">
      <c r="A343" s="3103">
        <v>996</v>
      </c>
      <c r="B343" s="3205" t="s">
        <v>3164</v>
      </c>
      <c r="C343" s="3206"/>
      <c r="D343" s="3104" t="s">
        <v>4038</v>
      </c>
      <c r="E343" s="3104" t="s">
        <v>463</v>
      </c>
      <c r="F343" s="3105">
        <v>49.96</v>
      </c>
      <c r="G343" s="3106" t="s">
        <v>3166</v>
      </c>
    </row>
    <row r="344" spans="1:7" ht="15" thickBot="1">
      <c r="A344" s="3103">
        <v>997</v>
      </c>
      <c r="B344" s="3205" t="s">
        <v>3164</v>
      </c>
      <c r="C344" s="3206"/>
      <c r="D344" s="3104" t="s">
        <v>4039</v>
      </c>
      <c r="E344" s="3104" t="s">
        <v>463</v>
      </c>
      <c r="F344" s="3105">
        <v>50.72</v>
      </c>
      <c r="G344" s="3106" t="s">
        <v>3166</v>
      </c>
    </row>
    <row r="345" spans="1:7" ht="15" thickBot="1">
      <c r="A345" s="3103">
        <v>998</v>
      </c>
      <c r="B345" s="3205" t="s">
        <v>3164</v>
      </c>
      <c r="C345" s="3206"/>
      <c r="D345" s="3104" t="s">
        <v>4040</v>
      </c>
      <c r="E345" s="3104" t="s">
        <v>463</v>
      </c>
      <c r="F345" s="3105">
        <v>50.28</v>
      </c>
      <c r="G345" s="3106" t="s">
        <v>3166</v>
      </c>
    </row>
    <row r="346" spans="1:7" ht="15" thickBot="1">
      <c r="A346" s="3103">
        <v>999</v>
      </c>
      <c r="B346" s="3205" t="s">
        <v>3164</v>
      </c>
      <c r="C346" s="3206"/>
      <c r="D346" s="3104" t="s">
        <v>4041</v>
      </c>
      <c r="E346" s="3104" t="s">
        <v>463</v>
      </c>
      <c r="F346" s="3105">
        <v>64.44</v>
      </c>
      <c r="G346" s="3106" t="s">
        <v>3166</v>
      </c>
    </row>
    <row r="347" spans="1:7" ht="15" thickBot="1">
      <c r="A347" s="3103">
        <v>1000</v>
      </c>
      <c r="B347" s="3205" t="s">
        <v>3164</v>
      </c>
      <c r="C347" s="3206"/>
      <c r="D347" s="3104" t="s">
        <v>4042</v>
      </c>
      <c r="E347" s="3104" t="s">
        <v>463</v>
      </c>
      <c r="F347" s="3105">
        <v>64.44</v>
      </c>
      <c r="G347" s="3106" t="s">
        <v>3166</v>
      </c>
    </row>
    <row r="348" spans="1:7" ht="15" thickBot="1">
      <c r="A348" s="3103">
        <v>1001</v>
      </c>
      <c r="B348" s="3205" t="s">
        <v>3164</v>
      </c>
      <c r="C348" s="3206"/>
      <c r="D348" s="3104" t="s">
        <v>4043</v>
      </c>
      <c r="E348" s="3104" t="s">
        <v>463</v>
      </c>
      <c r="F348" s="3105">
        <v>50.26</v>
      </c>
      <c r="G348" s="3106" t="s">
        <v>3166</v>
      </c>
    </row>
    <row r="349" spans="1:7" ht="15" thickBot="1">
      <c r="A349" s="3103">
        <v>1002</v>
      </c>
      <c r="B349" s="3205" t="s">
        <v>3164</v>
      </c>
      <c r="C349" s="3206"/>
      <c r="D349" s="3104" t="s">
        <v>4044</v>
      </c>
      <c r="E349" s="3104" t="s">
        <v>463</v>
      </c>
      <c r="F349" s="3105">
        <v>50.21</v>
      </c>
      <c r="G349" s="3106" t="s">
        <v>3166</v>
      </c>
    </row>
    <row r="350" spans="1:7" ht="15" thickBot="1">
      <c r="A350" s="3103">
        <v>1003</v>
      </c>
      <c r="B350" s="3205" t="s">
        <v>3164</v>
      </c>
      <c r="C350" s="3206"/>
      <c r="D350" s="3104" t="s">
        <v>4045</v>
      </c>
      <c r="E350" s="3104" t="s">
        <v>463</v>
      </c>
      <c r="F350" s="3105">
        <v>49.96</v>
      </c>
      <c r="G350" s="3106" t="s">
        <v>3166</v>
      </c>
    </row>
    <row r="351" spans="1:7" ht="15" thickBot="1">
      <c r="A351" s="3103">
        <v>1004</v>
      </c>
      <c r="B351" s="3205" t="s">
        <v>3164</v>
      </c>
      <c r="C351" s="3206"/>
      <c r="D351" s="3104" t="s">
        <v>4046</v>
      </c>
      <c r="E351" s="3104" t="s">
        <v>463</v>
      </c>
      <c r="F351" s="3105">
        <v>50.72</v>
      </c>
      <c r="G351" s="3106" t="s">
        <v>3166</v>
      </c>
    </row>
    <row r="352" spans="1:7" ht="15" thickBot="1">
      <c r="A352" s="3103">
        <v>1005</v>
      </c>
      <c r="B352" s="3205" t="s">
        <v>3164</v>
      </c>
      <c r="C352" s="3206"/>
      <c r="D352" s="3104" t="s">
        <v>4047</v>
      </c>
      <c r="E352" s="3104" t="s">
        <v>463</v>
      </c>
      <c r="F352" s="3105">
        <v>50.28</v>
      </c>
      <c r="G352" s="3106" t="s">
        <v>3166</v>
      </c>
    </row>
    <row r="353" spans="1:7" ht="15" thickBot="1">
      <c r="A353" s="3103">
        <v>1006</v>
      </c>
      <c r="B353" s="3205" t="s">
        <v>3164</v>
      </c>
      <c r="C353" s="3206"/>
      <c r="D353" s="3104" t="s">
        <v>4048</v>
      </c>
      <c r="E353" s="3104" t="s">
        <v>463</v>
      </c>
      <c r="F353" s="3105">
        <v>64.44</v>
      </c>
      <c r="G353" s="3106" t="s">
        <v>3166</v>
      </c>
    </row>
    <row r="354" spans="1:7" ht="15" thickBot="1">
      <c r="A354" s="3103">
        <v>1007</v>
      </c>
      <c r="B354" s="3205" t="s">
        <v>3164</v>
      </c>
      <c r="C354" s="3206"/>
      <c r="D354" s="3104" t="s">
        <v>4049</v>
      </c>
      <c r="E354" s="3104" t="s">
        <v>463</v>
      </c>
      <c r="F354" s="3105">
        <v>64.44</v>
      </c>
      <c r="G354" s="3106" t="s">
        <v>3166</v>
      </c>
    </row>
    <row r="355" spans="1:7" ht="15" thickBot="1">
      <c r="A355" s="3103">
        <v>1008</v>
      </c>
      <c r="B355" s="3205" t="s">
        <v>3164</v>
      </c>
      <c r="C355" s="3206"/>
      <c r="D355" s="3104" t="s">
        <v>4050</v>
      </c>
      <c r="E355" s="3104" t="s">
        <v>463</v>
      </c>
      <c r="F355" s="3105">
        <v>50.26</v>
      </c>
      <c r="G355" s="3106" t="s">
        <v>3166</v>
      </c>
    </row>
    <row r="356" spans="1:7" ht="15" thickBot="1">
      <c r="A356" s="3103">
        <v>1009</v>
      </c>
      <c r="B356" s="3205" t="s">
        <v>3164</v>
      </c>
      <c r="C356" s="3206"/>
      <c r="D356" s="3104" t="s">
        <v>4051</v>
      </c>
      <c r="E356" s="3104" t="s">
        <v>463</v>
      </c>
      <c r="F356" s="3105">
        <v>50.21</v>
      </c>
      <c r="G356" s="3106" t="s">
        <v>3166</v>
      </c>
    </row>
    <row r="357" spans="1:7" ht="15" thickBot="1">
      <c r="A357" s="3103">
        <v>1010</v>
      </c>
      <c r="B357" s="3205" t="s">
        <v>3164</v>
      </c>
      <c r="C357" s="3206"/>
      <c r="D357" s="3104" t="s">
        <v>4052</v>
      </c>
      <c r="E357" s="3104" t="s">
        <v>463</v>
      </c>
      <c r="F357" s="3105">
        <v>49.96</v>
      </c>
      <c r="G357" s="3106" t="s">
        <v>3166</v>
      </c>
    </row>
    <row r="358" spans="1:7" ht="15" thickBot="1">
      <c r="A358" s="3103">
        <v>1011</v>
      </c>
      <c r="B358" s="3205" t="s">
        <v>3164</v>
      </c>
      <c r="C358" s="3206"/>
      <c r="D358" s="3104" t="s">
        <v>4053</v>
      </c>
      <c r="E358" s="3104" t="s">
        <v>463</v>
      </c>
      <c r="F358" s="3105">
        <v>50.72</v>
      </c>
      <c r="G358" s="3106" t="s">
        <v>3166</v>
      </c>
    </row>
    <row r="359" spans="1:7" ht="15" thickBot="1">
      <c r="A359" s="3103">
        <v>1012</v>
      </c>
      <c r="B359" s="3205" t="s">
        <v>3164</v>
      </c>
      <c r="C359" s="3206"/>
      <c r="D359" s="3104" t="s">
        <v>4054</v>
      </c>
      <c r="E359" s="3104" t="s">
        <v>463</v>
      </c>
      <c r="F359" s="3105">
        <v>50.28</v>
      </c>
      <c r="G359" s="3106" t="s">
        <v>3166</v>
      </c>
    </row>
    <row r="360" spans="1:7" ht="15" thickBot="1">
      <c r="A360" s="3103">
        <v>1013</v>
      </c>
      <c r="B360" s="3205" t="s">
        <v>3164</v>
      </c>
      <c r="C360" s="3206"/>
      <c r="D360" s="3104" t="s">
        <v>4055</v>
      </c>
      <c r="E360" s="3104" t="s">
        <v>463</v>
      </c>
      <c r="F360" s="3105">
        <v>64.44</v>
      </c>
      <c r="G360" s="3106" t="s">
        <v>3166</v>
      </c>
    </row>
    <row r="361" spans="1:7" ht="15" thickBot="1">
      <c r="A361" s="3103">
        <v>1014</v>
      </c>
      <c r="B361" s="3205" t="s">
        <v>3164</v>
      </c>
      <c r="C361" s="3206"/>
      <c r="D361" s="3104" t="s">
        <v>4056</v>
      </c>
      <c r="E361" s="3104" t="s">
        <v>463</v>
      </c>
      <c r="F361" s="3105">
        <v>64.44</v>
      </c>
      <c r="G361" s="3106" t="s">
        <v>3166</v>
      </c>
    </row>
    <row r="362" spans="1:7" ht="15" thickBot="1">
      <c r="A362" s="3103">
        <v>1015</v>
      </c>
      <c r="B362" s="3205" t="s">
        <v>3164</v>
      </c>
      <c r="C362" s="3206"/>
      <c r="D362" s="3104" t="s">
        <v>4057</v>
      </c>
      <c r="E362" s="3104" t="s">
        <v>463</v>
      </c>
      <c r="F362" s="3105">
        <v>50.26</v>
      </c>
      <c r="G362" s="3106" t="s">
        <v>3166</v>
      </c>
    </row>
    <row r="363" spans="1:7" ht="15" thickBot="1">
      <c r="A363" s="3103">
        <v>1016</v>
      </c>
      <c r="B363" s="3205" t="s">
        <v>3164</v>
      </c>
      <c r="C363" s="3206"/>
      <c r="D363" s="3104" t="s">
        <v>4058</v>
      </c>
      <c r="E363" s="3104" t="s">
        <v>463</v>
      </c>
      <c r="F363" s="3105">
        <v>50.21</v>
      </c>
      <c r="G363" s="3106" t="s">
        <v>3166</v>
      </c>
    </row>
    <row r="364" spans="1:7" ht="15" thickBot="1">
      <c r="A364" s="3103">
        <v>1017</v>
      </c>
      <c r="B364" s="3205" t="s">
        <v>3164</v>
      </c>
      <c r="C364" s="3206"/>
      <c r="D364" s="3104" t="s">
        <v>4059</v>
      </c>
      <c r="E364" s="3104" t="s">
        <v>463</v>
      </c>
      <c r="F364" s="3105">
        <v>49.96</v>
      </c>
      <c r="G364" s="3106" t="s">
        <v>3166</v>
      </c>
    </row>
    <row r="365" spans="1:7" ht="15" thickBot="1">
      <c r="A365" s="3103">
        <v>1018</v>
      </c>
      <c r="B365" s="3205" t="s">
        <v>3164</v>
      </c>
      <c r="C365" s="3206"/>
      <c r="D365" s="3104" t="s">
        <v>4060</v>
      </c>
      <c r="E365" s="3104" t="s">
        <v>463</v>
      </c>
      <c r="F365" s="3105">
        <v>50.21</v>
      </c>
      <c r="G365" s="3106" t="s">
        <v>3166</v>
      </c>
    </row>
    <row r="366" spans="1:7" ht="15" thickBot="1">
      <c r="A366" s="3103">
        <v>1019</v>
      </c>
      <c r="B366" s="3205" t="s">
        <v>3164</v>
      </c>
      <c r="C366" s="3206"/>
      <c r="D366" s="3104" t="s">
        <v>4061</v>
      </c>
      <c r="E366" s="3104" t="s">
        <v>463</v>
      </c>
      <c r="F366" s="3105">
        <v>50.39</v>
      </c>
      <c r="G366" s="3106" t="s">
        <v>3166</v>
      </c>
    </row>
    <row r="367" spans="1:7" ht="15" thickBot="1">
      <c r="A367" s="3103">
        <v>1020</v>
      </c>
      <c r="B367" s="3205" t="s">
        <v>3164</v>
      </c>
      <c r="C367" s="3206"/>
      <c r="D367" s="3104" t="s">
        <v>4062</v>
      </c>
      <c r="E367" s="3104" t="s">
        <v>463</v>
      </c>
      <c r="F367" s="3105">
        <v>50.04</v>
      </c>
      <c r="G367" s="3106" t="s">
        <v>3166</v>
      </c>
    </row>
    <row r="368" spans="1:7" ht="15" thickBot="1">
      <c r="A368" s="3103">
        <v>1021</v>
      </c>
      <c r="B368" s="3205" t="s">
        <v>3164</v>
      </c>
      <c r="C368" s="3206"/>
      <c r="D368" s="3104" t="s">
        <v>4063</v>
      </c>
      <c r="E368" s="3104" t="s">
        <v>463</v>
      </c>
      <c r="F368" s="3105">
        <v>50.21</v>
      </c>
      <c r="G368" s="3106" t="s">
        <v>3166</v>
      </c>
    </row>
    <row r="369" spans="1:7" ht="15" thickBot="1">
      <c r="A369" s="3103">
        <v>1022</v>
      </c>
      <c r="B369" s="3205" t="s">
        <v>3164</v>
      </c>
      <c r="C369" s="3206"/>
      <c r="D369" s="3104" t="s">
        <v>4064</v>
      </c>
      <c r="E369" s="3104" t="s">
        <v>463</v>
      </c>
      <c r="F369" s="3105">
        <v>50.39</v>
      </c>
      <c r="G369" s="3106" t="s">
        <v>3166</v>
      </c>
    </row>
    <row r="370" spans="1:7" ht="15" thickBot="1">
      <c r="A370" s="3103">
        <v>1023</v>
      </c>
      <c r="B370" s="3205" t="s">
        <v>3164</v>
      </c>
      <c r="C370" s="3206"/>
      <c r="D370" s="3104" t="s">
        <v>4065</v>
      </c>
      <c r="E370" s="3104" t="s">
        <v>463</v>
      </c>
      <c r="F370" s="3105">
        <v>50.04</v>
      </c>
      <c r="G370" s="3106" t="s">
        <v>3166</v>
      </c>
    </row>
    <row r="371" spans="1:7" ht="15" thickBot="1">
      <c r="A371" s="3103">
        <v>1024</v>
      </c>
      <c r="B371" s="3205" t="s">
        <v>3164</v>
      </c>
      <c r="C371" s="3206"/>
      <c r="D371" s="3104" t="s">
        <v>4066</v>
      </c>
      <c r="E371" s="3104" t="s">
        <v>463</v>
      </c>
      <c r="F371" s="3105">
        <v>50.21</v>
      </c>
      <c r="G371" s="3106" t="s">
        <v>3166</v>
      </c>
    </row>
    <row r="372" spans="1:7" ht="15" thickBot="1">
      <c r="A372" s="3103">
        <v>1025</v>
      </c>
      <c r="B372" s="3205" t="s">
        <v>3164</v>
      </c>
      <c r="C372" s="3206"/>
      <c r="D372" s="3104" t="s">
        <v>4067</v>
      </c>
      <c r="E372" s="3104" t="s">
        <v>463</v>
      </c>
      <c r="F372" s="3105">
        <v>50.39</v>
      </c>
      <c r="G372" s="3106" t="s">
        <v>3166</v>
      </c>
    </row>
    <row r="373" spans="1:7" ht="15" thickBot="1">
      <c r="A373" s="3103">
        <v>1026</v>
      </c>
      <c r="B373" s="3205" t="s">
        <v>3164</v>
      </c>
      <c r="C373" s="3206"/>
      <c r="D373" s="3104" t="s">
        <v>4068</v>
      </c>
      <c r="E373" s="3104" t="s">
        <v>463</v>
      </c>
      <c r="F373" s="3105">
        <v>50.04</v>
      </c>
      <c r="G373" s="3106" t="s">
        <v>3166</v>
      </c>
    </row>
    <row r="374" spans="1:7" ht="15" thickBot="1">
      <c r="A374" s="3103">
        <v>1027</v>
      </c>
      <c r="B374" s="3205" t="s">
        <v>3164</v>
      </c>
      <c r="C374" s="3206"/>
      <c r="D374" s="3104" t="s">
        <v>4069</v>
      </c>
      <c r="E374" s="3104" t="s">
        <v>463</v>
      </c>
      <c r="F374" s="3105">
        <v>50.21</v>
      </c>
      <c r="G374" s="3106" t="s">
        <v>3166</v>
      </c>
    </row>
    <row r="375" spans="1:7" ht="15" thickBot="1">
      <c r="A375" s="3103">
        <v>1028</v>
      </c>
      <c r="B375" s="3205" t="s">
        <v>3164</v>
      </c>
      <c r="C375" s="3206"/>
      <c r="D375" s="3104" t="s">
        <v>4070</v>
      </c>
      <c r="E375" s="3104" t="s">
        <v>463</v>
      </c>
      <c r="F375" s="3105">
        <v>50.39</v>
      </c>
      <c r="G375" s="3106" t="s">
        <v>3166</v>
      </c>
    </row>
    <row r="376" spans="1:7" ht="15" thickBot="1">
      <c r="A376" s="3103">
        <v>1029</v>
      </c>
      <c r="B376" s="3205" t="s">
        <v>3164</v>
      </c>
      <c r="C376" s="3206"/>
      <c r="D376" s="3104" t="s">
        <v>4071</v>
      </c>
      <c r="E376" s="3104" t="s">
        <v>463</v>
      </c>
      <c r="F376" s="3105">
        <v>50.04</v>
      </c>
      <c r="G376" s="3106" t="s">
        <v>3166</v>
      </c>
    </row>
    <row r="377" spans="1:7" ht="15" thickBot="1">
      <c r="A377" s="3103">
        <v>1030</v>
      </c>
      <c r="B377" s="3205" t="s">
        <v>3164</v>
      </c>
      <c r="C377" s="3206"/>
      <c r="D377" s="3104" t="s">
        <v>4072</v>
      </c>
      <c r="E377" s="3104" t="s">
        <v>463</v>
      </c>
      <c r="F377" s="3105">
        <v>50.21</v>
      </c>
      <c r="G377" s="3106" t="s">
        <v>3166</v>
      </c>
    </row>
    <row r="378" spans="1:7" ht="15" thickBot="1">
      <c r="A378" s="3103">
        <v>1031</v>
      </c>
      <c r="B378" s="3205" t="s">
        <v>3164</v>
      </c>
      <c r="C378" s="3206"/>
      <c r="D378" s="3104" t="s">
        <v>4073</v>
      </c>
      <c r="E378" s="3104" t="s">
        <v>463</v>
      </c>
      <c r="F378" s="3105">
        <v>50.39</v>
      </c>
      <c r="G378" s="3106" t="s">
        <v>3166</v>
      </c>
    </row>
    <row r="379" spans="1:7" ht="15" thickBot="1">
      <c r="A379" s="3103">
        <v>1032</v>
      </c>
      <c r="B379" s="3205" t="s">
        <v>3164</v>
      </c>
      <c r="C379" s="3206"/>
      <c r="D379" s="3104" t="s">
        <v>4074</v>
      </c>
      <c r="E379" s="3104" t="s">
        <v>463</v>
      </c>
      <c r="F379" s="3105">
        <v>50.04</v>
      </c>
      <c r="G379" s="3106" t="s">
        <v>3166</v>
      </c>
    </row>
    <row r="380" spans="1:7" ht="15" thickBot="1">
      <c r="A380" s="3103">
        <v>1033</v>
      </c>
      <c r="B380" s="3205" t="s">
        <v>3164</v>
      </c>
      <c r="C380" s="3206"/>
      <c r="D380" s="3104" t="s">
        <v>4075</v>
      </c>
      <c r="E380" s="3104" t="s">
        <v>463</v>
      </c>
      <c r="F380" s="3105">
        <v>50.21</v>
      </c>
      <c r="G380" s="3106" t="s">
        <v>3166</v>
      </c>
    </row>
    <row r="381" spans="1:7" ht="15" thickBot="1">
      <c r="A381" s="3103">
        <v>1034</v>
      </c>
      <c r="B381" s="3205" t="s">
        <v>3164</v>
      </c>
      <c r="C381" s="3206"/>
      <c r="D381" s="3104" t="s">
        <v>4076</v>
      </c>
      <c r="E381" s="3104" t="s">
        <v>463</v>
      </c>
      <c r="F381" s="3105">
        <v>50.39</v>
      </c>
      <c r="G381" s="3106" t="s">
        <v>3166</v>
      </c>
    </row>
    <row r="382" spans="1:7" ht="15" thickBot="1">
      <c r="A382" s="3103">
        <v>1035</v>
      </c>
      <c r="B382" s="3205" t="s">
        <v>3164</v>
      </c>
      <c r="C382" s="3206"/>
      <c r="D382" s="3104" t="s">
        <v>4077</v>
      </c>
      <c r="E382" s="3104" t="s">
        <v>463</v>
      </c>
      <c r="F382" s="3105">
        <v>50.04</v>
      </c>
      <c r="G382" s="3106" t="s">
        <v>3166</v>
      </c>
    </row>
    <row r="383" spans="1:7" ht="15" thickBot="1">
      <c r="A383" s="3103">
        <v>1036</v>
      </c>
      <c r="B383" s="3205" t="s">
        <v>3164</v>
      </c>
      <c r="C383" s="3206"/>
      <c r="D383" s="3104" t="s">
        <v>4078</v>
      </c>
      <c r="E383" s="3104" t="s">
        <v>463</v>
      </c>
      <c r="F383" s="3105">
        <v>50.21</v>
      </c>
      <c r="G383" s="3106" t="s">
        <v>3166</v>
      </c>
    </row>
    <row r="384" spans="1:7" ht="15" thickBot="1">
      <c r="A384" s="3103">
        <v>1037</v>
      </c>
      <c r="B384" s="3205" t="s">
        <v>3164</v>
      </c>
      <c r="C384" s="3206"/>
      <c r="D384" s="3104" t="s">
        <v>4079</v>
      </c>
      <c r="E384" s="3104" t="s">
        <v>463</v>
      </c>
      <c r="F384" s="3105">
        <v>50.39</v>
      </c>
      <c r="G384" s="3106" t="s">
        <v>3166</v>
      </c>
    </row>
    <row r="385" spans="1:7" ht="15" thickBot="1">
      <c r="A385" s="3103">
        <v>1038</v>
      </c>
      <c r="B385" s="3205" t="s">
        <v>3164</v>
      </c>
      <c r="C385" s="3206"/>
      <c r="D385" s="3104" t="s">
        <v>4080</v>
      </c>
      <c r="E385" s="3104" t="s">
        <v>463</v>
      </c>
      <c r="F385" s="3105">
        <v>50.04</v>
      </c>
      <c r="G385" s="3106" t="s">
        <v>3166</v>
      </c>
    </row>
    <row r="386" spans="1:7" ht="15" thickBot="1">
      <c r="A386" s="3103">
        <v>1039</v>
      </c>
      <c r="B386" s="3205" t="s">
        <v>3164</v>
      </c>
      <c r="C386" s="3206"/>
      <c r="D386" s="3104" t="s">
        <v>4081</v>
      </c>
      <c r="E386" s="3104" t="s">
        <v>463</v>
      </c>
      <c r="F386" s="3105">
        <v>50.21</v>
      </c>
      <c r="G386" s="3106" t="s">
        <v>3166</v>
      </c>
    </row>
    <row r="387" spans="1:7" ht="15" thickBot="1">
      <c r="A387" s="3103">
        <v>1040</v>
      </c>
      <c r="B387" s="3205" t="s">
        <v>3164</v>
      </c>
      <c r="C387" s="3206"/>
      <c r="D387" s="3104" t="s">
        <v>4082</v>
      </c>
      <c r="E387" s="3104" t="s">
        <v>463</v>
      </c>
      <c r="F387" s="3105">
        <v>50.39</v>
      </c>
      <c r="G387" s="3106" t="s">
        <v>3166</v>
      </c>
    </row>
    <row r="388" spans="1:7" ht="15" thickBot="1">
      <c r="A388" s="3103">
        <v>1041</v>
      </c>
      <c r="B388" s="3205" t="s">
        <v>3164</v>
      </c>
      <c r="C388" s="3206"/>
      <c r="D388" s="3104" t="s">
        <v>4083</v>
      </c>
      <c r="E388" s="3104" t="s">
        <v>463</v>
      </c>
      <c r="F388" s="3105">
        <v>50.68</v>
      </c>
      <c r="G388" s="3106" t="s">
        <v>3166</v>
      </c>
    </row>
    <row r="389" spans="1:7" ht="15" thickBot="1">
      <c r="A389" s="3103">
        <v>1042</v>
      </c>
      <c r="B389" s="3205" t="s">
        <v>3164</v>
      </c>
      <c r="C389" s="3206"/>
      <c r="D389" s="3104" t="s">
        <v>4084</v>
      </c>
      <c r="E389" s="3104" t="s">
        <v>463</v>
      </c>
      <c r="F389" s="3105">
        <v>50.21</v>
      </c>
      <c r="G389" s="3106" t="s">
        <v>3166</v>
      </c>
    </row>
    <row r="390" spans="1:7" ht="15" thickBot="1">
      <c r="A390" s="3103">
        <v>1043</v>
      </c>
      <c r="B390" s="3205" t="s">
        <v>3164</v>
      </c>
      <c r="C390" s="3206"/>
      <c r="D390" s="3104" t="s">
        <v>4085</v>
      </c>
      <c r="E390" s="3104" t="s">
        <v>463</v>
      </c>
      <c r="F390" s="3105">
        <v>50.39</v>
      </c>
      <c r="G390" s="3106" t="s">
        <v>3166</v>
      </c>
    </row>
    <row r="391" spans="1:7" ht="15" thickBot="1">
      <c r="A391" s="3103">
        <v>1044</v>
      </c>
      <c r="B391" s="3205" t="s">
        <v>3164</v>
      </c>
      <c r="C391" s="3206"/>
      <c r="D391" s="3104" t="s">
        <v>4086</v>
      </c>
      <c r="E391" s="3104" t="s">
        <v>463</v>
      </c>
      <c r="F391" s="3105">
        <v>50.68</v>
      </c>
      <c r="G391" s="3106" t="s">
        <v>3166</v>
      </c>
    </row>
    <row r="392" spans="1:7" ht="15" thickBot="1">
      <c r="A392" s="3103">
        <v>1045</v>
      </c>
      <c r="B392" s="3205" t="s">
        <v>3164</v>
      </c>
      <c r="C392" s="3206"/>
      <c r="D392" s="3104" t="s">
        <v>4087</v>
      </c>
      <c r="E392" s="3104" t="s">
        <v>463</v>
      </c>
      <c r="F392" s="3105">
        <v>50.21</v>
      </c>
      <c r="G392" s="3106" t="s">
        <v>3166</v>
      </c>
    </row>
    <row r="393" spans="1:7" ht="15" thickBot="1">
      <c r="A393" s="3103">
        <v>1046</v>
      </c>
      <c r="B393" s="3205" t="s">
        <v>3164</v>
      </c>
      <c r="C393" s="3206"/>
      <c r="D393" s="3104" t="s">
        <v>4088</v>
      </c>
      <c r="E393" s="3104" t="s">
        <v>463</v>
      </c>
      <c r="F393" s="3105">
        <v>50.39</v>
      </c>
      <c r="G393" s="3106" t="s">
        <v>3166</v>
      </c>
    </row>
    <row r="394" spans="1:7" ht="15" thickBot="1">
      <c r="A394" s="3103">
        <v>1047</v>
      </c>
      <c r="B394" s="3205" t="s">
        <v>3164</v>
      </c>
      <c r="C394" s="3206"/>
      <c r="D394" s="3104" t="s">
        <v>4089</v>
      </c>
      <c r="E394" s="3104" t="s">
        <v>463</v>
      </c>
      <c r="F394" s="3105">
        <v>50.68</v>
      </c>
      <c r="G394" s="3106" t="s">
        <v>3166</v>
      </c>
    </row>
    <row r="395" spans="1:7" ht="15" thickBot="1">
      <c r="A395" s="3103">
        <v>1048</v>
      </c>
      <c r="B395" s="3205" t="s">
        <v>3164</v>
      </c>
      <c r="C395" s="3206"/>
      <c r="D395" s="3104" t="s">
        <v>4090</v>
      </c>
      <c r="E395" s="3104" t="s">
        <v>463</v>
      </c>
      <c r="F395" s="3105">
        <v>50.21</v>
      </c>
      <c r="G395" s="3106" t="s">
        <v>3166</v>
      </c>
    </row>
    <row r="396" spans="1:7" ht="15" thickBot="1">
      <c r="A396" s="3103">
        <v>1049</v>
      </c>
      <c r="B396" s="3205" t="s">
        <v>3164</v>
      </c>
      <c r="C396" s="3206"/>
      <c r="D396" s="3104" t="s">
        <v>4091</v>
      </c>
      <c r="E396" s="3104" t="s">
        <v>463</v>
      </c>
      <c r="F396" s="3105">
        <v>50.39</v>
      </c>
      <c r="G396" s="3106" t="s">
        <v>3166</v>
      </c>
    </row>
    <row r="397" spans="1:7" ht="15" thickBot="1">
      <c r="A397" s="3103">
        <v>1050</v>
      </c>
      <c r="B397" s="3205" t="s">
        <v>3164</v>
      </c>
      <c r="C397" s="3206"/>
      <c r="D397" s="3104" t="s">
        <v>4092</v>
      </c>
      <c r="E397" s="3104" t="s">
        <v>463</v>
      </c>
      <c r="F397" s="3105">
        <v>50.68</v>
      </c>
      <c r="G397" s="3106" t="s">
        <v>3166</v>
      </c>
    </row>
    <row r="398" spans="1:7" ht="15" thickBot="1">
      <c r="A398" s="3103">
        <v>1051</v>
      </c>
      <c r="B398" s="3205" t="s">
        <v>3164</v>
      </c>
      <c r="C398" s="3206"/>
      <c r="D398" s="3104" t="s">
        <v>4093</v>
      </c>
      <c r="E398" s="3104" t="s">
        <v>463</v>
      </c>
      <c r="F398" s="3105">
        <v>50.04</v>
      </c>
      <c r="G398" s="3106" t="s">
        <v>3166</v>
      </c>
    </row>
    <row r="399" spans="1:7" ht="15" thickBot="1">
      <c r="A399" s="3103">
        <v>1052</v>
      </c>
      <c r="B399" s="3205" t="s">
        <v>3164</v>
      </c>
      <c r="C399" s="3206"/>
      <c r="D399" s="3104" t="s">
        <v>4094</v>
      </c>
      <c r="E399" s="3104" t="s">
        <v>463</v>
      </c>
      <c r="F399" s="3105">
        <v>50.39</v>
      </c>
      <c r="G399" s="3106" t="s">
        <v>3166</v>
      </c>
    </row>
    <row r="400" spans="1:7" ht="15" thickBot="1">
      <c r="A400" s="3103">
        <v>1053</v>
      </c>
      <c r="B400" s="3205" t="s">
        <v>3164</v>
      </c>
      <c r="C400" s="3206"/>
      <c r="D400" s="3104" t="s">
        <v>4095</v>
      </c>
      <c r="E400" s="3104" t="s">
        <v>463</v>
      </c>
      <c r="F400" s="3105">
        <v>50.68</v>
      </c>
      <c r="G400" s="3106" t="s">
        <v>3166</v>
      </c>
    </row>
    <row r="401" spans="1:7" ht="15" thickBot="1">
      <c r="A401" s="3103">
        <v>1054</v>
      </c>
      <c r="B401" s="3205" t="s">
        <v>3164</v>
      </c>
      <c r="C401" s="3206"/>
      <c r="D401" s="3104" t="s">
        <v>4096</v>
      </c>
      <c r="E401" s="3104" t="s">
        <v>463</v>
      </c>
      <c r="F401" s="3105">
        <v>50.39</v>
      </c>
      <c r="G401" s="3106" t="s">
        <v>3166</v>
      </c>
    </row>
    <row r="402" spans="1:7" ht="15" thickBot="1">
      <c r="A402" s="3103">
        <v>1055</v>
      </c>
      <c r="B402" s="3205" t="s">
        <v>3164</v>
      </c>
      <c r="C402" s="3206"/>
      <c r="D402" s="3104" t="s">
        <v>4097</v>
      </c>
      <c r="E402" s="3104" t="s">
        <v>463</v>
      </c>
      <c r="F402" s="3105">
        <v>50.68</v>
      </c>
      <c r="G402" s="3106" t="s">
        <v>3166</v>
      </c>
    </row>
    <row r="403" spans="1:7" ht="15" thickBot="1">
      <c r="A403" s="3103">
        <v>1056</v>
      </c>
      <c r="B403" s="3205" t="s">
        <v>3164</v>
      </c>
      <c r="C403" s="3206"/>
      <c r="D403" s="3104" t="s">
        <v>4098</v>
      </c>
      <c r="E403" s="3104" t="s">
        <v>463</v>
      </c>
      <c r="F403" s="3105">
        <v>50.39</v>
      </c>
      <c r="G403" s="3106" t="s">
        <v>3166</v>
      </c>
    </row>
    <row r="404" spans="1:7" ht="15" thickBot="1">
      <c r="A404" s="3103">
        <v>1057</v>
      </c>
      <c r="B404" s="3205" t="s">
        <v>3164</v>
      </c>
      <c r="C404" s="3206"/>
      <c r="D404" s="3104" t="s">
        <v>4099</v>
      </c>
      <c r="E404" s="3104" t="s">
        <v>463</v>
      </c>
      <c r="F404" s="3105">
        <v>50.68</v>
      </c>
      <c r="G404" s="3106" t="s">
        <v>3166</v>
      </c>
    </row>
    <row r="405" spans="1:7" ht="15" thickBot="1">
      <c r="A405" s="3103">
        <v>1058</v>
      </c>
      <c r="B405" s="3205" t="s">
        <v>3164</v>
      </c>
      <c r="C405" s="3206"/>
      <c r="D405" s="3104" t="s">
        <v>4100</v>
      </c>
      <c r="E405" s="3104" t="s">
        <v>463</v>
      </c>
      <c r="F405" s="3105">
        <v>50.39</v>
      </c>
      <c r="G405" s="3106" t="s">
        <v>3166</v>
      </c>
    </row>
    <row r="406" spans="1:7" ht="15" thickBot="1">
      <c r="A406" s="3103">
        <v>1059</v>
      </c>
      <c r="B406" s="3205" t="s">
        <v>3164</v>
      </c>
      <c r="C406" s="3206"/>
      <c r="D406" s="3104" t="s">
        <v>4101</v>
      </c>
      <c r="E406" s="3104" t="s">
        <v>463</v>
      </c>
      <c r="F406" s="3105">
        <v>50.68</v>
      </c>
      <c r="G406" s="3106" t="s">
        <v>3166</v>
      </c>
    </row>
    <row r="407" spans="1:7" ht="15" thickBot="1">
      <c r="A407" s="3103">
        <v>1060</v>
      </c>
      <c r="B407" s="3205" t="s">
        <v>3164</v>
      </c>
      <c r="C407" s="3206"/>
      <c r="D407" s="3104" t="s">
        <v>4102</v>
      </c>
      <c r="E407" s="3104" t="s">
        <v>463</v>
      </c>
      <c r="F407" s="3105">
        <v>50.39</v>
      </c>
      <c r="G407" s="3106" t="s">
        <v>3166</v>
      </c>
    </row>
    <row r="408" spans="1:7" ht="15" thickBot="1">
      <c r="A408" s="3103">
        <v>1061</v>
      </c>
      <c r="B408" s="3205" t="s">
        <v>3164</v>
      </c>
      <c r="C408" s="3206"/>
      <c r="D408" s="3104" t="s">
        <v>4103</v>
      </c>
      <c r="E408" s="3104" t="s">
        <v>463</v>
      </c>
      <c r="F408" s="3105">
        <v>50.04</v>
      </c>
      <c r="G408" s="3106" t="s">
        <v>3166</v>
      </c>
    </row>
    <row r="409" spans="1:7" ht="15" thickBot="1">
      <c r="A409" s="3103">
        <v>1062</v>
      </c>
      <c r="B409" s="3205" t="s">
        <v>3164</v>
      </c>
      <c r="C409" s="3206"/>
      <c r="D409" s="3104" t="s">
        <v>4104</v>
      </c>
      <c r="E409" s="3104" t="s">
        <v>463</v>
      </c>
      <c r="F409" s="3105">
        <v>50.39</v>
      </c>
      <c r="G409" s="3106" t="s">
        <v>3166</v>
      </c>
    </row>
    <row r="410" spans="1:7" ht="15" thickBot="1">
      <c r="A410" s="3103">
        <v>1063</v>
      </c>
      <c r="B410" s="3205" t="s">
        <v>3164</v>
      </c>
      <c r="C410" s="3206"/>
      <c r="D410" s="3104" t="s">
        <v>4105</v>
      </c>
      <c r="E410" s="3104" t="s">
        <v>463</v>
      </c>
      <c r="F410" s="3105">
        <v>51.37</v>
      </c>
      <c r="G410" s="3106" t="s">
        <v>3166</v>
      </c>
    </row>
    <row r="411" spans="1:7" ht="15" thickBot="1">
      <c r="A411" s="3103">
        <v>1065</v>
      </c>
      <c r="B411" s="3205" t="s">
        <v>3164</v>
      </c>
      <c r="C411" s="3206"/>
      <c r="D411" s="3104" t="s">
        <v>4106</v>
      </c>
      <c r="E411" s="3104" t="s">
        <v>463</v>
      </c>
      <c r="F411" s="3105">
        <v>88.64</v>
      </c>
      <c r="G411" s="3106" t="s">
        <v>3166</v>
      </c>
    </row>
    <row r="412" spans="1:7" ht="15" thickBot="1">
      <c r="A412" s="3103">
        <v>1066</v>
      </c>
      <c r="B412" s="3205" t="s">
        <v>3164</v>
      </c>
      <c r="C412" s="3206"/>
      <c r="D412" s="3104" t="s">
        <v>4107</v>
      </c>
      <c r="E412" s="3104" t="s">
        <v>463</v>
      </c>
      <c r="F412" s="3105">
        <v>51.66</v>
      </c>
      <c r="G412" s="3106" t="s">
        <v>3166</v>
      </c>
    </row>
    <row r="413" spans="1:7" ht="15" thickBot="1">
      <c r="A413" s="3103">
        <v>1067</v>
      </c>
      <c r="B413" s="3205" t="s">
        <v>3164</v>
      </c>
      <c r="C413" s="3206"/>
      <c r="D413" s="3104" t="s">
        <v>4108</v>
      </c>
      <c r="E413" s="3104" t="s">
        <v>463</v>
      </c>
      <c r="F413" s="3105">
        <v>61.29</v>
      </c>
      <c r="G413" s="3106" t="s">
        <v>3166</v>
      </c>
    </row>
    <row r="414" spans="1:7" ht="15" thickBot="1">
      <c r="A414" s="3103">
        <v>1068</v>
      </c>
      <c r="B414" s="3205" t="s">
        <v>3164</v>
      </c>
      <c r="C414" s="3206"/>
      <c r="D414" s="3104" t="s">
        <v>4109</v>
      </c>
      <c r="E414" s="3104" t="s">
        <v>463</v>
      </c>
      <c r="F414" s="3105">
        <v>88.77</v>
      </c>
      <c r="G414" s="3106" t="s">
        <v>3166</v>
      </c>
    </row>
    <row r="415" spans="1:7" ht="15" thickBot="1">
      <c r="A415" s="3103">
        <v>1069</v>
      </c>
      <c r="B415" s="3205" t="s">
        <v>3164</v>
      </c>
      <c r="C415" s="3206"/>
      <c r="D415" s="3104" t="s">
        <v>4110</v>
      </c>
      <c r="E415" s="3104" t="s">
        <v>463</v>
      </c>
      <c r="F415" s="3105">
        <v>51.66</v>
      </c>
      <c r="G415" s="3106" t="s">
        <v>3166</v>
      </c>
    </row>
    <row r="416" spans="1:7" ht="15" thickBot="1">
      <c r="A416" s="3103">
        <v>1070</v>
      </c>
      <c r="B416" s="3205" t="s">
        <v>3164</v>
      </c>
      <c r="C416" s="3206"/>
      <c r="D416" s="3104" t="s">
        <v>4111</v>
      </c>
      <c r="E416" s="3104" t="s">
        <v>463</v>
      </c>
      <c r="F416" s="3105">
        <v>61.29</v>
      </c>
      <c r="G416" s="3106" t="s">
        <v>3166</v>
      </c>
    </row>
    <row r="417" spans="1:7" ht="15" thickBot="1">
      <c r="A417" s="3103">
        <v>1071</v>
      </c>
      <c r="B417" s="3205" t="s">
        <v>3164</v>
      </c>
      <c r="C417" s="3206"/>
      <c r="D417" s="3104" t="s">
        <v>4112</v>
      </c>
      <c r="E417" s="3104" t="s">
        <v>463</v>
      </c>
      <c r="F417" s="3105">
        <v>88.77</v>
      </c>
      <c r="G417" s="3106" t="s">
        <v>3166</v>
      </c>
    </row>
    <row r="418" spans="1:7" ht="15" thickBot="1">
      <c r="A418" s="3103">
        <v>1072</v>
      </c>
      <c r="B418" s="3205" t="s">
        <v>3164</v>
      </c>
      <c r="C418" s="3206"/>
      <c r="D418" s="3104" t="s">
        <v>4113</v>
      </c>
      <c r="E418" s="3104" t="s">
        <v>463</v>
      </c>
      <c r="F418" s="3105">
        <v>51.66</v>
      </c>
      <c r="G418" s="3106" t="s">
        <v>3166</v>
      </c>
    </row>
    <row r="419" spans="1:7" ht="15" thickBot="1">
      <c r="A419" s="3103">
        <v>1074</v>
      </c>
      <c r="B419" s="3205" t="s">
        <v>3164</v>
      </c>
      <c r="C419" s="3206"/>
      <c r="D419" s="3104" t="s">
        <v>4114</v>
      </c>
      <c r="E419" s="3104" t="s">
        <v>463</v>
      </c>
      <c r="F419" s="3105">
        <v>88.77</v>
      </c>
      <c r="G419" s="3106" t="s">
        <v>3166</v>
      </c>
    </row>
    <row r="420" spans="1:7" ht="15" thickBot="1">
      <c r="A420" s="3103">
        <v>1075</v>
      </c>
      <c r="B420" s="3205" t="s">
        <v>3164</v>
      </c>
      <c r="C420" s="3206"/>
      <c r="D420" s="3104" t="s">
        <v>4115</v>
      </c>
      <c r="E420" s="3104" t="s">
        <v>463</v>
      </c>
      <c r="F420" s="3105">
        <v>51.66</v>
      </c>
      <c r="G420" s="3106" t="s">
        <v>3166</v>
      </c>
    </row>
    <row r="421" spans="1:7" ht="15" thickBot="1">
      <c r="A421" s="3103">
        <v>1077</v>
      </c>
      <c r="B421" s="3205" t="s">
        <v>3164</v>
      </c>
      <c r="C421" s="3206"/>
      <c r="D421" s="3104" t="s">
        <v>4116</v>
      </c>
      <c r="E421" s="3104" t="s">
        <v>463</v>
      </c>
      <c r="F421" s="3105">
        <v>88.77</v>
      </c>
      <c r="G421" s="3106" t="s">
        <v>3166</v>
      </c>
    </row>
    <row r="422" spans="1:7" ht="15" thickBot="1">
      <c r="A422" s="3103">
        <v>1078</v>
      </c>
      <c r="B422" s="3205" t="s">
        <v>3164</v>
      </c>
      <c r="C422" s="3206"/>
      <c r="D422" s="3104" t="s">
        <v>4117</v>
      </c>
      <c r="E422" s="3104" t="s">
        <v>463</v>
      </c>
      <c r="F422" s="3105">
        <v>51.66</v>
      </c>
      <c r="G422" s="3106" t="s">
        <v>3166</v>
      </c>
    </row>
    <row r="423" spans="1:7" ht="15" thickBot="1">
      <c r="A423" s="3103">
        <v>1080</v>
      </c>
      <c r="B423" s="3205" t="s">
        <v>3164</v>
      </c>
      <c r="C423" s="3206"/>
      <c r="D423" s="3104" t="s">
        <v>4118</v>
      </c>
      <c r="E423" s="3104" t="s">
        <v>463</v>
      </c>
      <c r="F423" s="3105">
        <v>88.77</v>
      </c>
      <c r="G423" s="3106" t="s">
        <v>3166</v>
      </c>
    </row>
    <row r="424" spans="1:7" ht="15" thickBot="1">
      <c r="A424" s="3103">
        <v>1081</v>
      </c>
      <c r="B424" s="3205" t="s">
        <v>3164</v>
      </c>
      <c r="C424" s="3206"/>
      <c r="D424" s="3104" t="s">
        <v>4119</v>
      </c>
      <c r="E424" s="3104" t="s">
        <v>463</v>
      </c>
      <c r="F424" s="3105">
        <v>51.66</v>
      </c>
      <c r="G424" s="3106" t="s">
        <v>3166</v>
      </c>
    </row>
    <row r="425" spans="1:7" ht="15" thickBot="1">
      <c r="A425" s="3103">
        <v>1082</v>
      </c>
      <c r="B425" s="3205" t="s">
        <v>3164</v>
      </c>
      <c r="C425" s="3206"/>
      <c r="D425" s="3104" t="s">
        <v>4120</v>
      </c>
      <c r="E425" s="3104" t="s">
        <v>463</v>
      </c>
      <c r="F425" s="3105">
        <v>88.77</v>
      </c>
      <c r="G425" s="3106" t="s">
        <v>3166</v>
      </c>
    </row>
    <row r="426" spans="1:7" ht="15" thickBot="1">
      <c r="A426" s="3103">
        <v>1083</v>
      </c>
      <c r="B426" s="3205" t="s">
        <v>3164</v>
      </c>
      <c r="C426" s="3206"/>
      <c r="D426" s="3104" t="s">
        <v>4121</v>
      </c>
      <c r="E426" s="3104" t="s">
        <v>463</v>
      </c>
      <c r="F426" s="3105">
        <v>51.66</v>
      </c>
      <c r="G426" s="3106" t="s">
        <v>3166</v>
      </c>
    </row>
    <row r="427" spans="1:7" ht="15" thickBot="1">
      <c r="A427" s="3103">
        <v>1084</v>
      </c>
      <c r="B427" s="3205" t="s">
        <v>3164</v>
      </c>
      <c r="C427" s="3206"/>
      <c r="D427" s="3104" t="s">
        <v>4122</v>
      </c>
      <c r="E427" s="3104" t="s">
        <v>463</v>
      </c>
      <c r="F427" s="3105">
        <v>88.77</v>
      </c>
      <c r="G427" s="3106" t="s">
        <v>3166</v>
      </c>
    </row>
    <row r="428" spans="1:7" ht="15" thickBot="1">
      <c r="A428" s="3103">
        <v>1085</v>
      </c>
      <c r="B428" s="3205" t="s">
        <v>3164</v>
      </c>
      <c r="C428" s="3206"/>
      <c r="D428" s="3104" t="s">
        <v>4123</v>
      </c>
      <c r="E428" s="3104" t="s">
        <v>463</v>
      </c>
      <c r="F428" s="3105">
        <v>51.66</v>
      </c>
      <c r="G428" s="3106" t="s">
        <v>3166</v>
      </c>
    </row>
    <row r="429" spans="1:7" ht="15" thickBot="1">
      <c r="A429" s="3103">
        <v>1086</v>
      </c>
      <c r="B429" s="3205" t="s">
        <v>3164</v>
      </c>
      <c r="C429" s="3206"/>
      <c r="D429" s="3104" t="s">
        <v>4124</v>
      </c>
      <c r="E429" s="3104" t="s">
        <v>463</v>
      </c>
      <c r="F429" s="3105">
        <v>88.77</v>
      </c>
      <c r="G429" s="3106" t="s">
        <v>3166</v>
      </c>
    </row>
    <row r="430" spans="1:7" ht="15" thickBot="1">
      <c r="A430" s="3103">
        <v>1087</v>
      </c>
      <c r="B430" s="3205" t="s">
        <v>3164</v>
      </c>
      <c r="C430" s="3206"/>
      <c r="D430" s="3104" t="s">
        <v>4125</v>
      </c>
      <c r="E430" s="3104" t="s">
        <v>463</v>
      </c>
      <c r="F430" s="3105">
        <v>51.66</v>
      </c>
      <c r="G430" s="3106" t="s">
        <v>3166</v>
      </c>
    </row>
    <row r="431" spans="1:7" ht="15" thickBot="1">
      <c r="A431" s="3103">
        <v>1089</v>
      </c>
      <c r="B431" s="3205" t="s">
        <v>3164</v>
      </c>
      <c r="C431" s="3206"/>
      <c r="D431" s="3104" t="s">
        <v>4126</v>
      </c>
      <c r="E431" s="3104" t="s">
        <v>463</v>
      </c>
      <c r="F431" s="3105">
        <v>88.77</v>
      </c>
      <c r="G431" s="3106" t="s">
        <v>3166</v>
      </c>
    </row>
    <row r="432" spans="1:7" ht="15" thickBot="1">
      <c r="A432" s="3103">
        <v>1090</v>
      </c>
      <c r="B432" s="3205" t="s">
        <v>3164</v>
      </c>
      <c r="C432" s="3206"/>
      <c r="D432" s="3104" t="s">
        <v>4127</v>
      </c>
      <c r="E432" s="3104" t="s">
        <v>463</v>
      </c>
      <c r="F432" s="3105">
        <v>51.66</v>
      </c>
      <c r="G432" s="3106" t="s">
        <v>3166</v>
      </c>
    </row>
    <row r="433" spans="1:7" ht="15" thickBot="1">
      <c r="A433" s="3103">
        <v>1091</v>
      </c>
      <c r="B433" s="3205" t="s">
        <v>3164</v>
      </c>
      <c r="C433" s="3206"/>
      <c r="D433" s="3104" t="s">
        <v>4128</v>
      </c>
      <c r="E433" s="3104" t="s">
        <v>463</v>
      </c>
      <c r="F433" s="3105">
        <v>88.77</v>
      </c>
      <c r="G433" s="3106" t="s">
        <v>3166</v>
      </c>
    </row>
    <row r="434" spans="1:7" ht="15" thickBot="1">
      <c r="A434" s="3103">
        <v>1092</v>
      </c>
      <c r="B434" s="3205" t="s">
        <v>3164</v>
      </c>
      <c r="C434" s="3206"/>
      <c r="D434" s="3104" t="s">
        <v>4129</v>
      </c>
      <c r="E434" s="3104" t="s">
        <v>463</v>
      </c>
      <c r="F434" s="3105">
        <v>88.64</v>
      </c>
      <c r="G434" s="3106" t="s">
        <v>3166</v>
      </c>
    </row>
    <row r="435" spans="1:7" ht="15" thickBot="1">
      <c r="A435" s="3103">
        <v>1093</v>
      </c>
      <c r="B435" s="3205" t="s">
        <v>3164</v>
      </c>
      <c r="C435" s="3206"/>
      <c r="D435" s="3104" t="s">
        <v>4130</v>
      </c>
      <c r="E435" s="3104" t="s">
        <v>463</v>
      </c>
      <c r="F435" s="3105">
        <v>88.77</v>
      </c>
      <c r="G435" s="3106" t="s">
        <v>3166</v>
      </c>
    </row>
    <row r="436" spans="1:7" ht="15" thickBot="1">
      <c r="A436" s="3103">
        <v>1094</v>
      </c>
      <c r="B436" s="3205" t="s">
        <v>3164</v>
      </c>
      <c r="C436" s="3206"/>
      <c r="D436" s="3104" t="s">
        <v>4131</v>
      </c>
      <c r="E436" s="3104" t="s">
        <v>463</v>
      </c>
      <c r="F436" s="3105">
        <v>88.77</v>
      </c>
      <c r="G436" s="3106" t="s">
        <v>3166</v>
      </c>
    </row>
    <row r="437" spans="1:7" ht="15" thickBot="1">
      <c r="A437" s="3103">
        <v>1095</v>
      </c>
      <c r="B437" s="3205" t="s">
        <v>3164</v>
      </c>
      <c r="C437" s="3206"/>
      <c r="D437" s="3104" t="s">
        <v>4132</v>
      </c>
      <c r="E437" s="3104" t="s">
        <v>463</v>
      </c>
      <c r="F437" s="3105">
        <v>88.77</v>
      </c>
      <c r="G437" s="3106" t="s">
        <v>3166</v>
      </c>
    </row>
    <row r="438" spans="1:7" ht="15" thickBot="1">
      <c r="A438" s="3103">
        <v>1096</v>
      </c>
      <c r="B438" s="3205" t="s">
        <v>3164</v>
      </c>
      <c r="C438" s="3206"/>
      <c r="D438" s="3104" t="s">
        <v>4133</v>
      </c>
      <c r="E438" s="3104" t="s">
        <v>463</v>
      </c>
      <c r="F438" s="3105">
        <v>88.77</v>
      </c>
      <c r="G438" s="3106" t="s">
        <v>3166</v>
      </c>
    </row>
    <row r="439" spans="1:7" ht="15" thickBot="1">
      <c r="A439" s="3103">
        <v>1097</v>
      </c>
      <c r="B439" s="3205" t="s">
        <v>3164</v>
      </c>
      <c r="C439" s="3206"/>
      <c r="D439" s="3104" t="s">
        <v>4134</v>
      </c>
      <c r="E439" s="3104" t="s">
        <v>463</v>
      </c>
      <c r="F439" s="3105">
        <v>88.77</v>
      </c>
      <c r="G439" s="3106" t="s">
        <v>3166</v>
      </c>
    </row>
    <row r="440" spans="1:7" ht="15" thickBot="1">
      <c r="A440" s="3103">
        <v>1098</v>
      </c>
      <c r="B440" s="3205" t="s">
        <v>3164</v>
      </c>
      <c r="C440" s="3206"/>
      <c r="D440" s="3104" t="s">
        <v>4135</v>
      </c>
      <c r="E440" s="3104" t="s">
        <v>463</v>
      </c>
      <c r="F440" s="3105">
        <v>88.77</v>
      </c>
      <c r="G440" s="3106" t="s">
        <v>3166</v>
      </c>
    </row>
    <row r="441" spans="1:7" ht="15" thickBot="1">
      <c r="A441" s="3103">
        <v>1099</v>
      </c>
      <c r="B441" s="3205" t="s">
        <v>3164</v>
      </c>
      <c r="C441" s="3206"/>
      <c r="D441" s="3104" t="s">
        <v>4136</v>
      </c>
      <c r="E441" s="3104" t="s">
        <v>463</v>
      </c>
      <c r="F441" s="3105">
        <v>88.77</v>
      </c>
      <c r="G441" s="3106" t="s">
        <v>3166</v>
      </c>
    </row>
    <row r="442" spans="1:7" ht="15" thickBot="1">
      <c r="A442" s="3103">
        <v>1100</v>
      </c>
      <c r="B442" s="3205" t="s">
        <v>3164</v>
      </c>
      <c r="C442" s="3206"/>
      <c r="D442" s="3104" t="s">
        <v>4137</v>
      </c>
      <c r="E442" s="3104" t="s">
        <v>463</v>
      </c>
      <c r="F442" s="3105">
        <v>88.77</v>
      </c>
      <c r="G442" s="3106" t="s">
        <v>3166</v>
      </c>
    </row>
    <row r="443" spans="1:7" ht="15" thickBot="1">
      <c r="A443" s="3103">
        <v>1101</v>
      </c>
      <c r="B443" s="3205" t="s">
        <v>3164</v>
      </c>
      <c r="C443" s="3206"/>
      <c r="D443" s="3104" t="s">
        <v>4138</v>
      </c>
      <c r="E443" s="3104" t="s">
        <v>463</v>
      </c>
      <c r="F443" s="3105">
        <v>88.77</v>
      </c>
      <c r="G443" s="3106" t="s">
        <v>3166</v>
      </c>
    </row>
    <row r="444" spans="1:7" ht="15" thickBot="1">
      <c r="A444" s="3103">
        <v>1102</v>
      </c>
      <c r="B444" s="3205" t="s">
        <v>3164</v>
      </c>
      <c r="C444" s="3206"/>
      <c r="D444" s="3104" t="s">
        <v>4139</v>
      </c>
      <c r="E444" s="3104" t="s">
        <v>463</v>
      </c>
      <c r="F444" s="3105">
        <v>88.77</v>
      </c>
      <c r="G444" s="3106" t="s">
        <v>3166</v>
      </c>
    </row>
    <row r="445" spans="1:7" ht="15" thickBot="1">
      <c r="A445" s="3103">
        <v>1104</v>
      </c>
      <c r="B445" s="3205" t="s">
        <v>3164</v>
      </c>
      <c r="C445" s="3206"/>
      <c r="D445" s="3104" t="s">
        <v>4140</v>
      </c>
      <c r="E445" s="3104" t="s">
        <v>463</v>
      </c>
      <c r="F445" s="3105">
        <v>88.77</v>
      </c>
      <c r="G445" s="3106" t="s">
        <v>3166</v>
      </c>
    </row>
    <row r="446" spans="1:7" ht="15" thickBot="1">
      <c r="A446" s="3103">
        <v>1105</v>
      </c>
      <c r="B446" s="3205" t="s">
        <v>3164</v>
      </c>
      <c r="C446" s="3206"/>
      <c r="D446" s="3104" t="s">
        <v>4141</v>
      </c>
      <c r="E446" s="3104" t="s">
        <v>463</v>
      </c>
      <c r="F446" s="3105">
        <v>88.77</v>
      </c>
      <c r="G446" s="3106" t="s">
        <v>3166</v>
      </c>
    </row>
    <row r="447" spans="1:7" ht="15" thickBot="1">
      <c r="A447" s="3103">
        <v>1106</v>
      </c>
      <c r="B447" s="3205" t="s">
        <v>3164</v>
      </c>
      <c r="C447" s="3206"/>
      <c r="D447" s="3104" t="s">
        <v>4142</v>
      </c>
      <c r="E447" s="3104" t="s">
        <v>463</v>
      </c>
      <c r="F447" s="3105">
        <v>88.77</v>
      </c>
      <c r="G447" s="3106" t="s">
        <v>3166</v>
      </c>
    </row>
    <row r="448" spans="1:7" ht="15" thickBot="1">
      <c r="A448" s="3103">
        <v>1107</v>
      </c>
      <c r="B448" s="3205" t="s">
        <v>3164</v>
      </c>
      <c r="C448" s="3206"/>
      <c r="D448" s="3104" t="s">
        <v>4143</v>
      </c>
      <c r="E448" s="3104" t="s">
        <v>463</v>
      </c>
      <c r="F448" s="3105">
        <v>88.77</v>
      </c>
      <c r="G448" s="3106" t="s">
        <v>3166</v>
      </c>
    </row>
    <row r="449" spans="1:7" ht="15" thickBot="1">
      <c r="A449" s="3103">
        <v>1108</v>
      </c>
      <c r="B449" s="3205" t="s">
        <v>3164</v>
      </c>
      <c r="C449" s="3206"/>
      <c r="D449" s="3104" t="s">
        <v>4144</v>
      </c>
      <c r="E449" s="3104" t="s">
        <v>463</v>
      </c>
      <c r="F449" s="3105">
        <v>88.77</v>
      </c>
      <c r="G449" s="3106" t="s">
        <v>3166</v>
      </c>
    </row>
    <row r="450" spans="1:7" ht="15" thickBot="1">
      <c r="A450" s="3103">
        <v>1109</v>
      </c>
      <c r="B450" s="3205" t="s">
        <v>3164</v>
      </c>
      <c r="C450" s="3206"/>
      <c r="D450" s="3104" t="s">
        <v>4145</v>
      </c>
      <c r="E450" s="3104" t="s">
        <v>463</v>
      </c>
      <c r="F450" s="3105">
        <v>88.77</v>
      </c>
      <c r="G450" s="3106" t="s">
        <v>3166</v>
      </c>
    </row>
    <row r="451" spans="1:7" ht="15" thickBot="1">
      <c r="A451" s="3103">
        <v>1110</v>
      </c>
      <c r="B451" s="3205" t="s">
        <v>3164</v>
      </c>
      <c r="C451" s="3206"/>
      <c r="D451" s="3104" t="s">
        <v>4146</v>
      </c>
      <c r="E451" s="3104" t="s">
        <v>463</v>
      </c>
      <c r="F451" s="3105">
        <v>88.77</v>
      </c>
      <c r="G451" s="3106" t="s">
        <v>3166</v>
      </c>
    </row>
    <row r="452" spans="1:7" ht="15" thickBot="1">
      <c r="A452" s="3103">
        <v>1112</v>
      </c>
      <c r="B452" s="3205" t="s">
        <v>3164</v>
      </c>
      <c r="C452" s="3206"/>
      <c r="D452" s="3104" t="s">
        <v>4147</v>
      </c>
      <c r="E452" s="3104" t="s">
        <v>463</v>
      </c>
      <c r="F452" s="3105">
        <v>88.77</v>
      </c>
      <c r="G452" s="3106" t="s">
        <v>3166</v>
      </c>
    </row>
    <row r="453" spans="1:7" ht="15" thickBot="1">
      <c r="A453" s="3103">
        <v>1113</v>
      </c>
      <c r="B453" s="3205" t="s">
        <v>3164</v>
      </c>
      <c r="C453" s="3206"/>
      <c r="D453" s="3104" t="s">
        <v>4148</v>
      </c>
      <c r="E453" s="3104" t="s">
        <v>463</v>
      </c>
      <c r="F453" s="3105">
        <v>88.77</v>
      </c>
      <c r="G453" s="3106" t="s">
        <v>3166</v>
      </c>
    </row>
    <row r="454" spans="1:7" ht="15" thickBot="1">
      <c r="A454" s="3103">
        <v>1114</v>
      </c>
      <c r="B454" s="3205" t="s">
        <v>3164</v>
      </c>
      <c r="C454" s="3206"/>
      <c r="D454" s="3104" t="s">
        <v>4149</v>
      </c>
      <c r="E454" s="3104" t="s">
        <v>463</v>
      </c>
      <c r="F454" s="3105">
        <v>88.77</v>
      </c>
      <c r="G454" s="3106" t="s">
        <v>3166</v>
      </c>
    </row>
    <row r="455" spans="1:7" ht="15" thickBot="1">
      <c r="A455" s="3103">
        <v>1115</v>
      </c>
      <c r="B455" s="3205" t="s">
        <v>3164</v>
      </c>
      <c r="C455" s="3206"/>
      <c r="D455" s="3104" t="s">
        <v>4150</v>
      </c>
      <c r="E455" s="3104" t="s">
        <v>463</v>
      </c>
      <c r="F455" s="3105">
        <v>88.64</v>
      </c>
      <c r="G455" s="3106" t="s">
        <v>3166</v>
      </c>
    </row>
    <row r="456" spans="1:7" ht="15" thickBot="1">
      <c r="A456" s="3103">
        <v>1116</v>
      </c>
      <c r="B456" s="3205" t="s">
        <v>3164</v>
      </c>
      <c r="C456" s="3206"/>
      <c r="D456" s="3104" t="s">
        <v>4151</v>
      </c>
      <c r="E456" s="3104" t="s">
        <v>463</v>
      </c>
      <c r="F456" s="3105">
        <v>88.77</v>
      </c>
      <c r="G456" s="3106" t="s">
        <v>3166</v>
      </c>
    </row>
    <row r="457" spans="1:7" ht="15" thickBot="1">
      <c r="A457" s="3103">
        <v>1117</v>
      </c>
      <c r="B457" s="3205" t="s">
        <v>3164</v>
      </c>
      <c r="C457" s="3206"/>
      <c r="D457" s="3104" t="s">
        <v>4152</v>
      </c>
      <c r="E457" s="3104" t="s">
        <v>463</v>
      </c>
      <c r="F457" s="3105">
        <v>88.77</v>
      </c>
      <c r="G457" s="3106" t="s">
        <v>3166</v>
      </c>
    </row>
    <row r="458" spans="1:7" ht="15" thickBot="1">
      <c r="A458" s="3103">
        <v>1118</v>
      </c>
      <c r="B458" s="3205" t="s">
        <v>3164</v>
      </c>
      <c r="C458" s="3206"/>
      <c r="D458" s="3104" t="s">
        <v>4153</v>
      </c>
      <c r="E458" s="3104" t="s">
        <v>463</v>
      </c>
      <c r="F458" s="3105">
        <v>88.77</v>
      </c>
      <c r="G458" s="3106" t="s">
        <v>3166</v>
      </c>
    </row>
    <row r="459" spans="1:7" ht="15" thickBot="1">
      <c r="A459" s="3103">
        <v>1119</v>
      </c>
      <c r="B459" s="3205" t="s">
        <v>3164</v>
      </c>
      <c r="C459" s="3206"/>
      <c r="D459" s="3104" t="s">
        <v>4154</v>
      </c>
      <c r="E459" s="3104" t="s">
        <v>463</v>
      </c>
      <c r="F459" s="3105">
        <v>88.77</v>
      </c>
      <c r="G459" s="3106" t="s">
        <v>3166</v>
      </c>
    </row>
    <row r="460" spans="1:7" ht="15" thickBot="1">
      <c r="A460" s="3103">
        <v>1120</v>
      </c>
      <c r="B460" s="3205" t="s">
        <v>3164</v>
      </c>
      <c r="C460" s="3206"/>
      <c r="D460" s="3104" t="s">
        <v>4155</v>
      </c>
      <c r="E460" s="3104" t="s">
        <v>463</v>
      </c>
      <c r="F460" s="3105">
        <v>88.77</v>
      </c>
      <c r="G460" s="3106" t="s">
        <v>3166</v>
      </c>
    </row>
    <row r="461" spans="1:7" ht="15" thickBot="1">
      <c r="A461" s="3103">
        <v>1121</v>
      </c>
      <c r="B461" s="3205" t="s">
        <v>3164</v>
      </c>
      <c r="C461" s="3206"/>
      <c r="D461" s="3104" t="s">
        <v>4156</v>
      </c>
      <c r="E461" s="3104" t="s">
        <v>463</v>
      </c>
      <c r="F461" s="3105">
        <v>88.77</v>
      </c>
      <c r="G461" s="3106" t="s">
        <v>3166</v>
      </c>
    </row>
    <row r="462" spans="1:7" ht="15" thickBot="1">
      <c r="A462" s="3103">
        <v>1122</v>
      </c>
      <c r="B462" s="3205" t="s">
        <v>3164</v>
      </c>
      <c r="C462" s="3206"/>
      <c r="D462" s="3104" t="s">
        <v>4157</v>
      </c>
      <c r="E462" s="3104" t="s">
        <v>463</v>
      </c>
      <c r="F462" s="3105">
        <v>88.77</v>
      </c>
      <c r="G462" s="3106" t="s">
        <v>3166</v>
      </c>
    </row>
    <row r="463" spans="1:7" ht="15" thickBot="1">
      <c r="A463" s="3103">
        <v>1123</v>
      </c>
      <c r="B463" s="3205" t="s">
        <v>3164</v>
      </c>
      <c r="C463" s="3206"/>
      <c r="D463" s="3104" t="s">
        <v>4158</v>
      </c>
      <c r="E463" s="3104" t="s">
        <v>463</v>
      </c>
      <c r="F463" s="3105">
        <v>88.77</v>
      </c>
      <c r="G463" s="3106" t="s">
        <v>3166</v>
      </c>
    </row>
    <row r="464" spans="1:7" ht="15" thickBot="1">
      <c r="A464" s="3103">
        <v>1124</v>
      </c>
      <c r="B464" s="3205" t="s">
        <v>3164</v>
      </c>
      <c r="C464" s="3206"/>
      <c r="D464" s="3104" t="s">
        <v>4159</v>
      </c>
      <c r="E464" s="3104" t="s">
        <v>463</v>
      </c>
      <c r="F464" s="3105">
        <v>88.77</v>
      </c>
      <c r="G464" s="3106" t="s">
        <v>3166</v>
      </c>
    </row>
    <row r="465" spans="1:7" ht="15" thickBot="1">
      <c r="A465" s="3103">
        <v>1125</v>
      </c>
      <c r="B465" s="3205" t="s">
        <v>3164</v>
      </c>
      <c r="C465" s="3206"/>
      <c r="D465" s="3104" t="s">
        <v>4160</v>
      </c>
      <c r="E465" s="3104" t="s">
        <v>463</v>
      </c>
      <c r="F465" s="3105">
        <v>88.77</v>
      </c>
      <c r="G465" s="3106" t="s">
        <v>3166</v>
      </c>
    </row>
    <row r="466" spans="1:7" ht="15" thickBot="1">
      <c r="A466" s="3103">
        <v>1128</v>
      </c>
      <c r="B466" s="3205" t="s">
        <v>3164</v>
      </c>
      <c r="C466" s="3206"/>
      <c r="D466" s="3104" t="s">
        <v>4161</v>
      </c>
      <c r="E466" s="3104" t="s">
        <v>463</v>
      </c>
      <c r="F466" s="3105">
        <v>88.77</v>
      </c>
      <c r="G466" s="3106" t="s">
        <v>3166</v>
      </c>
    </row>
    <row r="467" spans="1:7" ht="15" thickBot="1">
      <c r="A467" s="3103">
        <v>1129</v>
      </c>
      <c r="B467" s="3205" t="s">
        <v>3164</v>
      </c>
      <c r="C467" s="3206"/>
      <c r="D467" s="3104" t="s">
        <v>4162</v>
      </c>
      <c r="E467" s="3104" t="s">
        <v>463</v>
      </c>
      <c r="F467" s="3105">
        <v>88.77</v>
      </c>
      <c r="G467" s="3106" t="s">
        <v>3166</v>
      </c>
    </row>
    <row r="468" spans="1:7" ht="15" thickBot="1">
      <c r="A468" s="3103">
        <v>1132</v>
      </c>
      <c r="B468" s="3205" t="s">
        <v>3164</v>
      </c>
      <c r="C468" s="3206"/>
      <c r="D468" s="3104" t="s">
        <v>4163</v>
      </c>
      <c r="E468" s="3104" t="s">
        <v>463</v>
      </c>
      <c r="F468" s="3105">
        <v>88.77</v>
      </c>
      <c r="G468" s="3106" t="s">
        <v>3166</v>
      </c>
    </row>
    <row r="469" spans="1:7" ht="15" thickBot="1">
      <c r="A469" s="3103">
        <v>1133</v>
      </c>
      <c r="B469" s="3205" t="s">
        <v>3164</v>
      </c>
      <c r="C469" s="3206"/>
      <c r="D469" s="3104" t="s">
        <v>4164</v>
      </c>
      <c r="E469" s="3104" t="s">
        <v>463</v>
      </c>
      <c r="F469" s="3105">
        <v>88.64</v>
      </c>
      <c r="G469" s="3106" t="s">
        <v>3166</v>
      </c>
    </row>
    <row r="470" spans="1:7" ht="15" thickBot="1">
      <c r="A470" s="3103">
        <v>1134</v>
      </c>
      <c r="B470" s="3205" t="s">
        <v>3164</v>
      </c>
      <c r="C470" s="3206"/>
      <c r="D470" s="3104" t="s">
        <v>4165</v>
      </c>
      <c r="E470" s="3104" t="s">
        <v>463</v>
      </c>
      <c r="F470" s="3105">
        <v>61.29</v>
      </c>
      <c r="G470" s="3106" t="s">
        <v>3166</v>
      </c>
    </row>
    <row r="471" spans="1:7" ht="15" thickBot="1">
      <c r="A471" s="3103">
        <v>1135</v>
      </c>
      <c r="B471" s="3205" t="s">
        <v>3164</v>
      </c>
      <c r="C471" s="3206"/>
      <c r="D471" s="3104" t="s">
        <v>4166</v>
      </c>
      <c r="E471" s="3104" t="s">
        <v>463</v>
      </c>
      <c r="F471" s="3105">
        <v>51.37</v>
      </c>
      <c r="G471" s="3106" t="s">
        <v>3166</v>
      </c>
    </row>
    <row r="472" spans="1:7" ht="15" thickBot="1">
      <c r="A472" s="3103">
        <v>1136</v>
      </c>
      <c r="B472" s="3205" t="s">
        <v>3164</v>
      </c>
      <c r="C472" s="3206"/>
      <c r="D472" s="3104" t="s">
        <v>4167</v>
      </c>
      <c r="E472" s="3104" t="s">
        <v>463</v>
      </c>
      <c r="F472" s="3105">
        <v>88.77</v>
      </c>
      <c r="G472" s="3106" t="s">
        <v>3166</v>
      </c>
    </row>
    <row r="473" spans="1:7" ht="15" thickBot="1">
      <c r="A473" s="3103">
        <v>1137</v>
      </c>
      <c r="B473" s="3205" t="s">
        <v>3164</v>
      </c>
      <c r="C473" s="3206"/>
      <c r="D473" s="3104" t="s">
        <v>4168</v>
      </c>
      <c r="E473" s="3104" t="s">
        <v>463</v>
      </c>
      <c r="F473" s="3105">
        <v>61.29</v>
      </c>
      <c r="G473" s="3106" t="s">
        <v>3166</v>
      </c>
    </row>
    <row r="474" spans="1:7" ht="15" thickBot="1">
      <c r="A474" s="3103">
        <v>1138</v>
      </c>
      <c r="B474" s="3205" t="s">
        <v>3164</v>
      </c>
      <c r="C474" s="3206"/>
      <c r="D474" s="3104" t="s">
        <v>4169</v>
      </c>
      <c r="E474" s="3104" t="s">
        <v>463</v>
      </c>
      <c r="F474" s="3105">
        <v>51.66</v>
      </c>
      <c r="G474" s="3106" t="s">
        <v>3166</v>
      </c>
    </row>
    <row r="475" spans="1:7" ht="15" thickBot="1">
      <c r="A475" s="3103">
        <v>1139</v>
      </c>
      <c r="B475" s="3205" t="s">
        <v>3164</v>
      </c>
      <c r="C475" s="3206"/>
      <c r="D475" s="3104" t="s">
        <v>4170</v>
      </c>
      <c r="E475" s="3104" t="s">
        <v>463</v>
      </c>
      <c r="F475" s="3105">
        <v>88.77</v>
      </c>
      <c r="G475" s="3106" t="s">
        <v>3166</v>
      </c>
    </row>
    <row r="476" spans="1:7" ht="15" thickBot="1">
      <c r="A476" s="3103">
        <v>1140</v>
      </c>
      <c r="B476" s="3205" t="s">
        <v>3164</v>
      </c>
      <c r="C476" s="3206"/>
      <c r="D476" s="3104" t="s">
        <v>4171</v>
      </c>
      <c r="E476" s="3104" t="s">
        <v>463</v>
      </c>
      <c r="F476" s="3105">
        <v>61.29</v>
      </c>
      <c r="G476" s="3106" t="s">
        <v>3166</v>
      </c>
    </row>
    <row r="477" spans="1:7" ht="15" thickBot="1">
      <c r="A477" s="3103">
        <v>1141</v>
      </c>
      <c r="B477" s="3205" t="s">
        <v>3164</v>
      </c>
      <c r="C477" s="3206"/>
      <c r="D477" s="3104" t="s">
        <v>4172</v>
      </c>
      <c r="E477" s="3104" t="s">
        <v>463</v>
      </c>
      <c r="F477" s="3105">
        <v>51.66</v>
      </c>
      <c r="G477" s="3106" t="s">
        <v>3166</v>
      </c>
    </row>
    <row r="478" spans="1:7" ht="15" thickBot="1">
      <c r="A478" s="3103">
        <v>1142</v>
      </c>
      <c r="B478" s="3205" t="s">
        <v>3164</v>
      </c>
      <c r="C478" s="3206"/>
      <c r="D478" s="3104" t="s">
        <v>4173</v>
      </c>
      <c r="E478" s="3104" t="s">
        <v>463</v>
      </c>
      <c r="F478" s="3105">
        <v>88.77</v>
      </c>
      <c r="G478" s="3106" t="s">
        <v>3166</v>
      </c>
    </row>
    <row r="479" spans="1:7" ht="15" thickBot="1">
      <c r="A479" s="3103">
        <v>1144</v>
      </c>
      <c r="B479" s="3205" t="s">
        <v>3164</v>
      </c>
      <c r="C479" s="3206"/>
      <c r="D479" s="3104" t="s">
        <v>4174</v>
      </c>
      <c r="E479" s="3104" t="s">
        <v>463</v>
      </c>
      <c r="F479" s="3105">
        <v>51.66</v>
      </c>
      <c r="G479" s="3106" t="s">
        <v>3166</v>
      </c>
    </row>
    <row r="480" spans="1:7" ht="15" thickBot="1">
      <c r="A480" s="3103">
        <v>1145</v>
      </c>
      <c r="B480" s="3205" t="s">
        <v>3164</v>
      </c>
      <c r="C480" s="3206"/>
      <c r="D480" s="3104" t="s">
        <v>4175</v>
      </c>
      <c r="E480" s="3104" t="s">
        <v>463</v>
      </c>
      <c r="F480" s="3105">
        <v>88.77</v>
      </c>
      <c r="G480" s="3106" t="s">
        <v>3166</v>
      </c>
    </row>
    <row r="481" spans="1:7" ht="15" thickBot="1">
      <c r="A481" s="3103">
        <v>1147</v>
      </c>
      <c r="B481" s="3205" t="s">
        <v>3164</v>
      </c>
      <c r="C481" s="3206"/>
      <c r="D481" s="3104" t="s">
        <v>4176</v>
      </c>
      <c r="E481" s="3104" t="s">
        <v>463</v>
      </c>
      <c r="F481" s="3105">
        <v>88.77</v>
      </c>
      <c r="G481" s="3106" t="s">
        <v>3166</v>
      </c>
    </row>
    <row r="482" spans="1:7" ht="15" thickBot="1">
      <c r="A482" s="3103">
        <v>1148</v>
      </c>
      <c r="B482" s="3205" t="s">
        <v>3164</v>
      </c>
      <c r="C482" s="3206"/>
      <c r="D482" s="3104" t="s">
        <v>4177</v>
      </c>
      <c r="E482" s="3104" t="s">
        <v>463</v>
      </c>
      <c r="F482" s="3105">
        <v>51.66</v>
      </c>
      <c r="G482" s="3106" t="s">
        <v>3166</v>
      </c>
    </row>
    <row r="483" spans="1:7" ht="15" thickBot="1">
      <c r="A483" s="3103">
        <v>1149</v>
      </c>
      <c r="B483" s="3205" t="s">
        <v>3164</v>
      </c>
      <c r="C483" s="3206"/>
      <c r="D483" s="3104" t="s">
        <v>4178</v>
      </c>
      <c r="E483" s="3104" t="s">
        <v>463</v>
      </c>
      <c r="F483" s="3105">
        <v>88.77</v>
      </c>
      <c r="G483" s="3106" t="s">
        <v>3166</v>
      </c>
    </row>
    <row r="484" spans="1:7" ht="15" thickBot="1">
      <c r="A484" s="3103">
        <v>1150</v>
      </c>
      <c r="B484" s="3205" t="s">
        <v>3164</v>
      </c>
      <c r="C484" s="3206"/>
      <c r="D484" s="3104" t="s">
        <v>4179</v>
      </c>
      <c r="E484" s="3104" t="s">
        <v>463</v>
      </c>
      <c r="F484" s="3105">
        <v>51.66</v>
      </c>
      <c r="G484" s="3106" t="s">
        <v>3166</v>
      </c>
    </row>
    <row r="485" spans="1:7" ht="15" thickBot="1">
      <c r="A485" s="3103">
        <v>1151</v>
      </c>
      <c r="B485" s="3205" t="s">
        <v>3164</v>
      </c>
      <c r="C485" s="3206"/>
      <c r="D485" s="3104" t="s">
        <v>4180</v>
      </c>
      <c r="E485" s="3104" t="s">
        <v>463</v>
      </c>
      <c r="F485" s="3105">
        <v>88.77</v>
      </c>
      <c r="G485" s="3106" t="s">
        <v>3166</v>
      </c>
    </row>
    <row r="486" spans="1:7" ht="15" thickBot="1">
      <c r="A486" s="3103">
        <v>1153</v>
      </c>
      <c r="B486" s="3205" t="s">
        <v>3164</v>
      </c>
      <c r="C486" s="3206"/>
      <c r="D486" s="3104" t="s">
        <v>4181</v>
      </c>
      <c r="E486" s="3104" t="s">
        <v>463</v>
      </c>
      <c r="F486" s="3105">
        <v>51.66</v>
      </c>
      <c r="G486" s="3106" t="s">
        <v>3166</v>
      </c>
    </row>
    <row r="487" spans="1:7" ht="15" thickBot="1">
      <c r="A487" s="3103">
        <v>1154</v>
      </c>
      <c r="B487" s="3205" t="s">
        <v>3164</v>
      </c>
      <c r="C487" s="3206"/>
      <c r="D487" s="3104" t="s">
        <v>4182</v>
      </c>
      <c r="E487" s="3104" t="s">
        <v>463</v>
      </c>
      <c r="F487" s="3105">
        <v>88.6</v>
      </c>
      <c r="G487" s="3106" t="s">
        <v>3166</v>
      </c>
    </row>
    <row r="488" spans="1:7" ht="15" thickBot="1">
      <c r="A488" s="3103">
        <v>1155</v>
      </c>
      <c r="B488" s="3205" t="s">
        <v>3164</v>
      </c>
      <c r="C488" s="3206"/>
      <c r="D488" s="3104" t="s">
        <v>4183</v>
      </c>
      <c r="E488" s="3104" t="s">
        <v>463</v>
      </c>
      <c r="F488" s="3105">
        <v>64.099999999999994</v>
      </c>
      <c r="G488" s="3106" t="s">
        <v>3166</v>
      </c>
    </row>
    <row r="489" spans="1:7" ht="15" thickBot="1">
      <c r="A489" s="3103">
        <v>1156</v>
      </c>
      <c r="B489" s="3205" t="s">
        <v>3164</v>
      </c>
      <c r="C489" s="3206"/>
      <c r="D489" s="3104" t="s">
        <v>4184</v>
      </c>
      <c r="E489" s="3104" t="s">
        <v>463</v>
      </c>
      <c r="F489" s="3105">
        <v>64.099999999999994</v>
      </c>
      <c r="G489" s="3106" t="s">
        <v>3166</v>
      </c>
    </row>
    <row r="490" spans="1:7" ht="15" thickBot="1">
      <c r="A490" s="3103">
        <v>1157</v>
      </c>
      <c r="B490" s="3205" t="s">
        <v>3164</v>
      </c>
      <c r="C490" s="3206"/>
      <c r="D490" s="3104" t="s">
        <v>4185</v>
      </c>
      <c r="E490" s="3104" t="s">
        <v>463</v>
      </c>
      <c r="F490" s="3105">
        <v>88.6</v>
      </c>
      <c r="G490" s="3106" t="s">
        <v>3166</v>
      </c>
    </row>
    <row r="491" spans="1:7" ht="15" thickBot="1">
      <c r="A491" s="3103">
        <v>1158</v>
      </c>
      <c r="B491" s="3205" t="s">
        <v>3164</v>
      </c>
      <c r="C491" s="3206"/>
      <c r="D491" s="3104" t="s">
        <v>4186</v>
      </c>
      <c r="E491" s="3104" t="s">
        <v>463</v>
      </c>
      <c r="F491" s="3105">
        <v>88.51</v>
      </c>
      <c r="G491" s="3106" t="s">
        <v>3166</v>
      </c>
    </row>
    <row r="492" spans="1:7" ht="15" thickBot="1">
      <c r="A492" s="3103">
        <v>1159</v>
      </c>
      <c r="B492" s="3205" t="s">
        <v>3164</v>
      </c>
      <c r="C492" s="3206"/>
      <c r="D492" s="3104" t="s">
        <v>4187</v>
      </c>
      <c r="E492" s="3104" t="s">
        <v>463</v>
      </c>
      <c r="F492" s="3105">
        <v>64.099999999999994</v>
      </c>
      <c r="G492" s="3106" t="s">
        <v>3166</v>
      </c>
    </row>
    <row r="493" spans="1:7" ht="15" thickBot="1">
      <c r="A493" s="3103">
        <v>1160</v>
      </c>
      <c r="B493" s="3205" t="s">
        <v>3164</v>
      </c>
      <c r="C493" s="3206"/>
      <c r="D493" s="3104" t="s">
        <v>4188</v>
      </c>
      <c r="E493" s="3104" t="s">
        <v>463</v>
      </c>
      <c r="F493" s="3105">
        <v>64.099999999999994</v>
      </c>
      <c r="G493" s="3106" t="s">
        <v>3166</v>
      </c>
    </row>
    <row r="494" spans="1:7" ht="15" thickBot="1">
      <c r="A494" s="3103">
        <v>1161</v>
      </c>
      <c r="B494" s="3205" t="s">
        <v>3164</v>
      </c>
      <c r="C494" s="3206"/>
      <c r="D494" s="3104" t="s">
        <v>4189</v>
      </c>
      <c r="E494" s="3104" t="s">
        <v>463</v>
      </c>
      <c r="F494" s="3105">
        <v>88.6</v>
      </c>
      <c r="G494" s="3106" t="s">
        <v>3166</v>
      </c>
    </row>
    <row r="495" spans="1:7" ht="15" thickBot="1">
      <c r="A495" s="3103">
        <v>1162</v>
      </c>
      <c r="B495" s="3205" t="s">
        <v>3164</v>
      </c>
      <c r="C495" s="3206"/>
      <c r="D495" s="3104" t="s">
        <v>4190</v>
      </c>
      <c r="E495" s="3104" t="s">
        <v>463</v>
      </c>
      <c r="F495" s="3105">
        <v>88.6</v>
      </c>
      <c r="G495" s="3106" t="s">
        <v>3166</v>
      </c>
    </row>
    <row r="496" spans="1:7" ht="15" thickBot="1">
      <c r="A496" s="3103">
        <v>1163</v>
      </c>
      <c r="B496" s="3205" t="s">
        <v>3164</v>
      </c>
      <c r="C496" s="3206"/>
      <c r="D496" s="3104" t="s">
        <v>4191</v>
      </c>
      <c r="E496" s="3104" t="s">
        <v>463</v>
      </c>
      <c r="F496" s="3105">
        <v>64.099999999999994</v>
      </c>
      <c r="G496" s="3106" t="s">
        <v>3166</v>
      </c>
    </row>
    <row r="497" spans="1:7" ht="15" thickBot="1">
      <c r="A497" s="3103">
        <v>1164</v>
      </c>
      <c r="B497" s="3205" t="s">
        <v>3164</v>
      </c>
      <c r="C497" s="3206"/>
      <c r="D497" s="3104" t="s">
        <v>4192</v>
      </c>
      <c r="E497" s="3104" t="s">
        <v>463</v>
      </c>
      <c r="F497" s="3105">
        <v>64.099999999999994</v>
      </c>
      <c r="G497" s="3106" t="s">
        <v>3166</v>
      </c>
    </row>
    <row r="498" spans="1:7" ht="15" thickBot="1">
      <c r="A498" s="3103">
        <v>1165</v>
      </c>
      <c r="B498" s="3205" t="s">
        <v>3164</v>
      </c>
      <c r="C498" s="3206"/>
      <c r="D498" s="3104" t="s">
        <v>4193</v>
      </c>
      <c r="E498" s="3104" t="s">
        <v>463</v>
      </c>
      <c r="F498" s="3105">
        <v>88.6</v>
      </c>
      <c r="G498" s="3106" t="s">
        <v>3166</v>
      </c>
    </row>
    <row r="499" spans="1:7" ht="15" thickBot="1">
      <c r="A499" s="3103">
        <v>1166</v>
      </c>
      <c r="B499" s="3205" t="s">
        <v>3164</v>
      </c>
      <c r="C499" s="3206"/>
      <c r="D499" s="3104" t="s">
        <v>4194</v>
      </c>
      <c r="E499" s="3104" t="s">
        <v>463</v>
      </c>
      <c r="F499" s="3105">
        <v>88.6</v>
      </c>
      <c r="G499" s="3106" t="s">
        <v>3166</v>
      </c>
    </row>
    <row r="500" spans="1:7" ht="15" thickBot="1">
      <c r="A500" s="3103">
        <v>1167</v>
      </c>
      <c r="B500" s="3205" t="s">
        <v>3164</v>
      </c>
      <c r="C500" s="3206"/>
      <c r="D500" s="3104" t="s">
        <v>4195</v>
      </c>
      <c r="E500" s="3104" t="s">
        <v>463</v>
      </c>
      <c r="F500" s="3105">
        <v>64.099999999999994</v>
      </c>
      <c r="G500" s="3106" t="s">
        <v>3166</v>
      </c>
    </row>
    <row r="501" spans="1:7" ht="15" thickBot="1">
      <c r="A501" s="3103">
        <v>1168</v>
      </c>
      <c r="B501" s="3205" t="s">
        <v>3164</v>
      </c>
      <c r="C501" s="3206"/>
      <c r="D501" s="3104" t="s">
        <v>4196</v>
      </c>
      <c r="E501" s="3104" t="s">
        <v>463</v>
      </c>
      <c r="F501" s="3105">
        <v>64.099999999999994</v>
      </c>
      <c r="G501" s="3106" t="s">
        <v>3166</v>
      </c>
    </row>
    <row r="502" spans="1:7" ht="15" thickBot="1">
      <c r="A502" s="3103">
        <v>1169</v>
      </c>
      <c r="B502" s="3205" t="s">
        <v>3164</v>
      </c>
      <c r="C502" s="3206"/>
      <c r="D502" s="3104" t="s">
        <v>4197</v>
      </c>
      <c r="E502" s="3104" t="s">
        <v>463</v>
      </c>
      <c r="F502" s="3105">
        <v>88.6</v>
      </c>
      <c r="G502" s="3106" t="s">
        <v>3166</v>
      </c>
    </row>
    <row r="503" spans="1:7" ht="15" thickBot="1">
      <c r="A503" s="3103">
        <v>1170</v>
      </c>
      <c r="B503" s="3205" t="s">
        <v>3164</v>
      </c>
      <c r="C503" s="3206"/>
      <c r="D503" s="3104" t="s">
        <v>4198</v>
      </c>
      <c r="E503" s="3104" t="s">
        <v>463</v>
      </c>
      <c r="F503" s="3105">
        <v>88.6</v>
      </c>
      <c r="G503" s="3106" t="s">
        <v>3166</v>
      </c>
    </row>
    <row r="504" spans="1:7" ht="15" thickBot="1">
      <c r="A504" s="3103">
        <v>1171</v>
      </c>
      <c r="B504" s="3205" t="s">
        <v>3164</v>
      </c>
      <c r="C504" s="3206"/>
      <c r="D504" s="3104" t="s">
        <v>4199</v>
      </c>
      <c r="E504" s="3104" t="s">
        <v>463</v>
      </c>
      <c r="F504" s="3105">
        <v>64.099999999999994</v>
      </c>
      <c r="G504" s="3106" t="s">
        <v>3166</v>
      </c>
    </row>
    <row r="505" spans="1:7" ht="15" thickBot="1">
      <c r="A505" s="3103">
        <v>1172</v>
      </c>
      <c r="B505" s="3205" t="s">
        <v>3164</v>
      </c>
      <c r="C505" s="3206"/>
      <c r="D505" s="3104" t="s">
        <v>4200</v>
      </c>
      <c r="E505" s="3104" t="s">
        <v>463</v>
      </c>
      <c r="F505" s="3105">
        <v>64.099999999999994</v>
      </c>
      <c r="G505" s="3106" t="s">
        <v>3166</v>
      </c>
    </row>
    <row r="506" spans="1:7" ht="15" thickBot="1">
      <c r="A506" s="3103">
        <v>1173</v>
      </c>
      <c r="B506" s="3205" t="s">
        <v>3164</v>
      </c>
      <c r="C506" s="3206"/>
      <c r="D506" s="3104" t="s">
        <v>4201</v>
      </c>
      <c r="E506" s="3104" t="s">
        <v>463</v>
      </c>
      <c r="F506" s="3105">
        <v>88.6</v>
      </c>
      <c r="G506" s="3106" t="s">
        <v>3166</v>
      </c>
    </row>
    <row r="507" spans="1:7" ht="15" thickBot="1">
      <c r="A507" s="3103">
        <v>1174</v>
      </c>
      <c r="B507" s="3205" t="s">
        <v>3164</v>
      </c>
      <c r="C507" s="3206"/>
      <c r="D507" s="3104" t="s">
        <v>4202</v>
      </c>
      <c r="E507" s="3104" t="s">
        <v>463</v>
      </c>
      <c r="F507" s="3105">
        <v>88.6</v>
      </c>
      <c r="G507" s="3106" t="s">
        <v>3166</v>
      </c>
    </row>
    <row r="508" spans="1:7" ht="15" thickBot="1">
      <c r="A508" s="3103">
        <v>1175</v>
      </c>
      <c r="B508" s="3205" t="s">
        <v>3164</v>
      </c>
      <c r="C508" s="3206"/>
      <c r="D508" s="3104" t="s">
        <v>4203</v>
      </c>
      <c r="E508" s="3104" t="s">
        <v>463</v>
      </c>
      <c r="F508" s="3105">
        <v>64.099999999999994</v>
      </c>
      <c r="G508" s="3106" t="s">
        <v>3166</v>
      </c>
    </row>
    <row r="509" spans="1:7" ht="15" thickBot="1">
      <c r="A509" s="3103">
        <v>1176</v>
      </c>
      <c r="B509" s="3205" t="s">
        <v>3164</v>
      </c>
      <c r="C509" s="3206"/>
      <c r="D509" s="3104" t="s">
        <v>4204</v>
      </c>
      <c r="E509" s="3104" t="s">
        <v>463</v>
      </c>
      <c r="F509" s="3105">
        <v>64.099999999999994</v>
      </c>
      <c r="G509" s="3106" t="s">
        <v>3166</v>
      </c>
    </row>
    <row r="510" spans="1:7" ht="15" thickBot="1">
      <c r="A510" s="3103">
        <v>1177</v>
      </c>
      <c r="B510" s="3205" t="s">
        <v>3164</v>
      </c>
      <c r="C510" s="3206"/>
      <c r="D510" s="3104" t="s">
        <v>4205</v>
      </c>
      <c r="E510" s="3104" t="s">
        <v>463</v>
      </c>
      <c r="F510" s="3105">
        <v>88.6</v>
      </c>
      <c r="G510" s="3106" t="s">
        <v>3166</v>
      </c>
    </row>
    <row r="511" spans="1:7" ht="15" thickBot="1">
      <c r="A511" s="3103">
        <v>1178</v>
      </c>
      <c r="B511" s="3205" t="s">
        <v>3164</v>
      </c>
      <c r="C511" s="3206"/>
      <c r="D511" s="3104" t="s">
        <v>4206</v>
      </c>
      <c r="E511" s="3104" t="s">
        <v>463</v>
      </c>
      <c r="F511" s="3105">
        <v>88.6</v>
      </c>
      <c r="G511" s="3106" t="s">
        <v>3166</v>
      </c>
    </row>
    <row r="512" spans="1:7" ht="15" thickBot="1">
      <c r="A512" s="3103">
        <v>1179</v>
      </c>
      <c r="B512" s="3205" t="s">
        <v>3164</v>
      </c>
      <c r="C512" s="3206"/>
      <c r="D512" s="3104" t="s">
        <v>4207</v>
      </c>
      <c r="E512" s="3104" t="s">
        <v>463</v>
      </c>
      <c r="F512" s="3105">
        <v>64.099999999999994</v>
      </c>
      <c r="G512" s="3106" t="s">
        <v>3166</v>
      </c>
    </row>
    <row r="513" spans="1:7" ht="15" thickBot="1">
      <c r="A513" s="3103">
        <v>1180</v>
      </c>
      <c r="B513" s="3205" t="s">
        <v>3164</v>
      </c>
      <c r="C513" s="3206"/>
      <c r="D513" s="3104" t="s">
        <v>4208</v>
      </c>
      <c r="E513" s="3104" t="s">
        <v>463</v>
      </c>
      <c r="F513" s="3105">
        <v>64.099999999999994</v>
      </c>
      <c r="G513" s="3106" t="s">
        <v>3166</v>
      </c>
    </row>
    <row r="514" spans="1:7" ht="15" thickBot="1">
      <c r="A514" s="3103">
        <v>1181</v>
      </c>
      <c r="B514" s="3205" t="s">
        <v>3164</v>
      </c>
      <c r="C514" s="3206"/>
      <c r="D514" s="3104" t="s">
        <v>4209</v>
      </c>
      <c r="E514" s="3104" t="s">
        <v>463</v>
      </c>
      <c r="F514" s="3105">
        <v>88.6</v>
      </c>
      <c r="G514" s="3106" t="s">
        <v>3166</v>
      </c>
    </row>
    <row r="515" spans="1:7" ht="15" thickBot="1">
      <c r="A515" s="3103">
        <v>1182</v>
      </c>
      <c r="B515" s="3205" t="s">
        <v>3164</v>
      </c>
      <c r="C515" s="3206"/>
      <c r="D515" s="3104" t="s">
        <v>4210</v>
      </c>
      <c r="E515" s="3104" t="s">
        <v>463</v>
      </c>
      <c r="F515" s="3105">
        <v>88.6</v>
      </c>
      <c r="G515" s="3106" t="s">
        <v>3166</v>
      </c>
    </row>
    <row r="516" spans="1:7" ht="15" thickBot="1">
      <c r="A516" s="3103">
        <v>1183</v>
      </c>
      <c r="B516" s="3205" t="s">
        <v>3164</v>
      </c>
      <c r="C516" s="3206"/>
      <c r="D516" s="3104" t="s">
        <v>4211</v>
      </c>
      <c r="E516" s="3104" t="s">
        <v>463</v>
      </c>
      <c r="F516" s="3105">
        <v>64.099999999999994</v>
      </c>
      <c r="G516" s="3106" t="s">
        <v>3166</v>
      </c>
    </row>
    <row r="517" spans="1:7" ht="15" thickBot="1">
      <c r="A517" s="3103">
        <v>1184</v>
      </c>
      <c r="B517" s="3205" t="s">
        <v>3164</v>
      </c>
      <c r="C517" s="3206"/>
      <c r="D517" s="3104" t="s">
        <v>4212</v>
      </c>
      <c r="E517" s="3104" t="s">
        <v>463</v>
      </c>
      <c r="F517" s="3105">
        <v>64.099999999999994</v>
      </c>
      <c r="G517" s="3106" t="s">
        <v>3166</v>
      </c>
    </row>
    <row r="518" spans="1:7" ht="15" thickBot="1">
      <c r="A518" s="3103">
        <v>1185</v>
      </c>
      <c r="B518" s="3205" t="s">
        <v>3164</v>
      </c>
      <c r="C518" s="3206"/>
      <c r="D518" s="3104" t="s">
        <v>4213</v>
      </c>
      <c r="E518" s="3104" t="s">
        <v>463</v>
      </c>
      <c r="F518" s="3105">
        <v>88.6</v>
      </c>
      <c r="G518" s="3106" t="s">
        <v>3166</v>
      </c>
    </row>
    <row r="519" spans="1:7" ht="15" thickBot="1">
      <c r="A519" s="3103">
        <v>1186</v>
      </c>
      <c r="B519" s="3205" t="s">
        <v>3164</v>
      </c>
      <c r="C519" s="3206"/>
      <c r="D519" s="3104" t="s">
        <v>4214</v>
      </c>
      <c r="E519" s="3104" t="s">
        <v>463</v>
      </c>
      <c r="F519" s="3105">
        <v>88.6</v>
      </c>
      <c r="G519" s="3106" t="s">
        <v>3166</v>
      </c>
    </row>
    <row r="520" spans="1:7" ht="15" thickBot="1">
      <c r="A520" s="3103">
        <v>1187</v>
      </c>
      <c r="B520" s="3205" t="s">
        <v>3164</v>
      </c>
      <c r="C520" s="3206"/>
      <c r="D520" s="3104" t="s">
        <v>4215</v>
      </c>
      <c r="E520" s="3104" t="s">
        <v>463</v>
      </c>
      <c r="F520" s="3105">
        <v>64.099999999999994</v>
      </c>
      <c r="G520" s="3106" t="s">
        <v>3166</v>
      </c>
    </row>
    <row r="521" spans="1:7" ht="15" thickBot="1">
      <c r="A521" s="3103">
        <v>1188</v>
      </c>
      <c r="B521" s="3205" t="s">
        <v>3164</v>
      </c>
      <c r="C521" s="3206"/>
      <c r="D521" s="3104" t="s">
        <v>4216</v>
      </c>
      <c r="E521" s="3104" t="s">
        <v>463</v>
      </c>
      <c r="F521" s="3105">
        <v>64.099999999999994</v>
      </c>
      <c r="G521" s="3106" t="s">
        <v>3166</v>
      </c>
    </row>
    <row r="522" spans="1:7" ht="15" thickBot="1">
      <c r="A522" s="3103">
        <v>1189</v>
      </c>
      <c r="B522" s="3205" t="s">
        <v>3164</v>
      </c>
      <c r="C522" s="3206"/>
      <c r="D522" s="3104" t="s">
        <v>4217</v>
      </c>
      <c r="E522" s="3104" t="s">
        <v>463</v>
      </c>
      <c r="F522" s="3105">
        <v>88.6</v>
      </c>
      <c r="G522" s="3106" t="s">
        <v>3166</v>
      </c>
    </row>
    <row r="523" spans="1:7" ht="15" thickBot="1">
      <c r="A523" s="3103">
        <v>1190</v>
      </c>
      <c r="B523" s="3205" t="s">
        <v>3164</v>
      </c>
      <c r="C523" s="3206"/>
      <c r="D523" s="3104" t="s">
        <v>4218</v>
      </c>
      <c r="E523" s="3104" t="s">
        <v>463</v>
      </c>
      <c r="F523" s="3105">
        <v>88.6</v>
      </c>
      <c r="G523" s="3106" t="s">
        <v>3166</v>
      </c>
    </row>
    <row r="524" spans="1:7" ht="15" thickBot="1">
      <c r="A524" s="3103">
        <v>1191</v>
      </c>
      <c r="B524" s="3205" t="s">
        <v>3164</v>
      </c>
      <c r="C524" s="3206"/>
      <c r="D524" s="3104" t="s">
        <v>4219</v>
      </c>
      <c r="E524" s="3104" t="s">
        <v>463</v>
      </c>
      <c r="F524" s="3105">
        <v>64.099999999999994</v>
      </c>
      <c r="G524" s="3106" t="s">
        <v>3166</v>
      </c>
    </row>
    <row r="525" spans="1:7" ht="15" thickBot="1">
      <c r="A525" s="3103">
        <v>1192</v>
      </c>
      <c r="B525" s="3205" t="s">
        <v>3164</v>
      </c>
      <c r="C525" s="3206"/>
      <c r="D525" s="3104" t="s">
        <v>4220</v>
      </c>
      <c r="E525" s="3104" t="s">
        <v>463</v>
      </c>
      <c r="F525" s="3105">
        <v>64.099999999999994</v>
      </c>
      <c r="G525" s="3106" t="s">
        <v>3166</v>
      </c>
    </row>
    <row r="526" spans="1:7" ht="15" thickBot="1">
      <c r="A526" s="3103">
        <v>1193</v>
      </c>
      <c r="B526" s="3205" t="s">
        <v>3164</v>
      </c>
      <c r="C526" s="3206"/>
      <c r="D526" s="3104" t="s">
        <v>4221</v>
      </c>
      <c r="E526" s="3104" t="s">
        <v>463</v>
      </c>
      <c r="F526" s="3105">
        <v>88.6</v>
      </c>
      <c r="G526" s="3106" t="s">
        <v>3166</v>
      </c>
    </row>
    <row r="527" spans="1:7" ht="15" thickBot="1">
      <c r="A527" s="3103">
        <v>1194</v>
      </c>
      <c r="B527" s="3205" t="s">
        <v>3164</v>
      </c>
      <c r="C527" s="3206"/>
      <c r="D527" s="3104" t="s">
        <v>4222</v>
      </c>
      <c r="E527" s="3104" t="s">
        <v>463</v>
      </c>
      <c r="F527" s="3105">
        <v>88.6</v>
      </c>
      <c r="G527" s="3106" t="s">
        <v>3166</v>
      </c>
    </row>
    <row r="528" spans="1:7" ht="15" thickBot="1">
      <c r="A528" s="3103">
        <v>1195</v>
      </c>
      <c r="B528" s="3205" t="s">
        <v>3164</v>
      </c>
      <c r="C528" s="3206"/>
      <c r="D528" s="3104" t="s">
        <v>4223</v>
      </c>
      <c r="E528" s="3104" t="s">
        <v>463</v>
      </c>
      <c r="F528" s="3105">
        <v>64.099999999999994</v>
      </c>
      <c r="G528" s="3106" t="s">
        <v>3166</v>
      </c>
    </row>
    <row r="529" spans="1:7" ht="15" thickBot="1">
      <c r="A529" s="3103">
        <v>1196</v>
      </c>
      <c r="B529" s="3205" t="s">
        <v>3164</v>
      </c>
      <c r="C529" s="3206"/>
      <c r="D529" s="3104" t="s">
        <v>4224</v>
      </c>
      <c r="E529" s="3104" t="s">
        <v>463</v>
      </c>
      <c r="F529" s="3105">
        <v>64.099999999999994</v>
      </c>
      <c r="G529" s="3106" t="s">
        <v>3166</v>
      </c>
    </row>
    <row r="530" spans="1:7" ht="15" thickBot="1">
      <c r="A530" s="3103">
        <v>1197</v>
      </c>
      <c r="B530" s="3205" t="s">
        <v>3164</v>
      </c>
      <c r="C530" s="3206"/>
      <c r="D530" s="3104" t="s">
        <v>4225</v>
      </c>
      <c r="E530" s="3104" t="s">
        <v>463</v>
      </c>
      <c r="F530" s="3105">
        <v>88.6</v>
      </c>
      <c r="G530" s="3106" t="s">
        <v>3166</v>
      </c>
    </row>
    <row r="531" spans="1:7" ht="15" thickBot="1">
      <c r="A531" s="3103">
        <v>1198</v>
      </c>
      <c r="B531" s="3205" t="s">
        <v>3164</v>
      </c>
      <c r="C531" s="3206"/>
      <c r="D531" s="3104" t="s">
        <v>4226</v>
      </c>
      <c r="E531" s="3104" t="s">
        <v>463</v>
      </c>
      <c r="F531" s="3105">
        <v>88.6</v>
      </c>
      <c r="G531" s="3106" t="s">
        <v>3166</v>
      </c>
    </row>
    <row r="532" spans="1:7" ht="15" thickBot="1">
      <c r="A532" s="3103">
        <v>1199</v>
      </c>
      <c r="B532" s="3205" t="s">
        <v>3164</v>
      </c>
      <c r="C532" s="3206"/>
      <c r="D532" s="3104" t="s">
        <v>4227</v>
      </c>
      <c r="E532" s="3104" t="s">
        <v>463</v>
      </c>
      <c r="F532" s="3105">
        <v>64.099999999999994</v>
      </c>
      <c r="G532" s="3106" t="s">
        <v>3166</v>
      </c>
    </row>
    <row r="533" spans="1:7" ht="15" thickBot="1">
      <c r="A533" s="3103">
        <v>1200</v>
      </c>
      <c r="B533" s="3205" t="s">
        <v>3164</v>
      </c>
      <c r="C533" s="3206"/>
      <c r="D533" s="3104" t="s">
        <v>4228</v>
      </c>
      <c r="E533" s="3104" t="s">
        <v>463</v>
      </c>
      <c r="F533" s="3105">
        <v>64.099999999999994</v>
      </c>
      <c r="G533" s="3106" t="s">
        <v>3166</v>
      </c>
    </row>
    <row r="534" spans="1:7" ht="15" thickBot="1">
      <c r="A534" s="3103">
        <v>1201</v>
      </c>
      <c r="B534" s="3205" t="s">
        <v>3164</v>
      </c>
      <c r="C534" s="3206"/>
      <c r="D534" s="3104" t="s">
        <v>4229</v>
      </c>
      <c r="E534" s="3104" t="s">
        <v>463</v>
      </c>
      <c r="F534" s="3105">
        <v>88.6</v>
      </c>
      <c r="G534" s="3106" t="s">
        <v>3166</v>
      </c>
    </row>
    <row r="535" spans="1:7" ht="15" thickBot="1">
      <c r="A535" s="3103">
        <v>1202</v>
      </c>
      <c r="B535" s="3205" t="s">
        <v>3164</v>
      </c>
      <c r="C535" s="3206"/>
      <c r="D535" s="3104" t="s">
        <v>4230</v>
      </c>
      <c r="E535" s="3104" t="s">
        <v>463</v>
      </c>
      <c r="F535" s="3105">
        <v>88.6</v>
      </c>
      <c r="G535" s="3106" t="s">
        <v>3166</v>
      </c>
    </row>
    <row r="536" spans="1:7" ht="15" thickBot="1">
      <c r="A536" s="3103">
        <v>1203</v>
      </c>
      <c r="B536" s="3205" t="s">
        <v>3164</v>
      </c>
      <c r="C536" s="3206"/>
      <c r="D536" s="3104" t="s">
        <v>4231</v>
      </c>
      <c r="E536" s="3104" t="s">
        <v>463</v>
      </c>
      <c r="F536" s="3105">
        <v>64.099999999999994</v>
      </c>
      <c r="G536" s="3106" t="s">
        <v>3166</v>
      </c>
    </row>
    <row r="537" spans="1:7" ht="15" thickBot="1">
      <c r="A537" s="3103">
        <v>1204</v>
      </c>
      <c r="B537" s="3205" t="s">
        <v>3164</v>
      </c>
      <c r="C537" s="3206"/>
      <c r="D537" s="3104" t="s">
        <v>4232</v>
      </c>
      <c r="E537" s="3104" t="s">
        <v>463</v>
      </c>
      <c r="F537" s="3105">
        <v>64.099999999999994</v>
      </c>
      <c r="G537" s="3106" t="s">
        <v>3166</v>
      </c>
    </row>
    <row r="538" spans="1:7" ht="15" thickBot="1">
      <c r="A538" s="3103">
        <v>1205</v>
      </c>
      <c r="B538" s="3205" t="s">
        <v>3164</v>
      </c>
      <c r="C538" s="3206"/>
      <c r="D538" s="3104" t="s">
        <v>4233</v>
      </c>
      <c r="E538" s="3104" t="s">
        <v>463</v>
      </c>
      <c r="F538" s="3105">
        <v>88.6</v>
      </c>
      <c r="G538" s="3106" t="s">
        <v>3166</v>
      </c>
    </row>
    <row r="539" spans="1:7" ht="15" thickBot="1">
      <c r="A539" s="3103">
        <v>1206</v>
      </c>
      <c r="B539" s="3205" t="s">
        <v>3164</v>
      </c>
      <c r="C539" s="3206"/>
      <c r="D539" s="3104" t="s">
        <v>4234</v>
      </c>
      <c r="E539" s="3104" t="s">
        <v>463</v>
      </c>
      <c r="F539" s="3105">
        <v>88.6</v>
      </c>
      <c r="G539" s="3106" t="s">
        <v>3166</v>
      </c>
    </row>
    <row r="540" spans="1:7" ht="15" thickBot="1">
      <c r="A540" s="3103">
        <v>1207</v>
      </c>
      <c r="B540" s="3205" t="s">
        <v>3164</v>
      </c>
      <c r="C540" s="3206"/>
      <c r="D540" s="3104" t="s">
        <v>4235</v>
      </c>
      <c r="E540" s="3104" t="s">
        <v>463</v>
      </c>
      <c r="F540" s="3105">
        <v>64.099999999999994</v>
      </c>
      <c r="G540" s="3106" t="s">
        <v>3166</v>
      </c>
    </row>
    <row r="541" spans="1:7" ht="15" thickBot="1">
      <c r="A541" s="3103">
        <v>1208</v>
      </c>
      <c r="B541" s="3205" t="s">
        <v>3164</v>
      </c>
      <c r="C541" s="3206"/>
      <c r="D541" s="3104" t="s">
        <v>4236</v>
      </c>
      <c r="E541" s="3104" t="s">
        <v>463</v>
      </c>
      <c r="F541" s="3105">
        <v>64.099999999999994</v>
      </c>
      <c r="G541" s="3106" t="s">
        <v>3166</v>
      </c>
    </row>
    <row r="542" spans="1:7" ht="15" thickBot="1">
      <c r="A542" s="3103">
        <v>1209</v>
      </c>
      <c r="B542" s="3205" t="s">
        <v>3164</v>
      </c>
      <c r="C542" s="3206"/>
      <c r="D542" s="3104" t="s">
        <v>4237</v>
      </c>
      <c r="E542" s="3104" t="s">
        <v>463</v>
      </c>
      <c r="F542" s="3105">
        <v>88.6</v>
      </c>
      <c r="G542" s="3106" t="s">
        <v>3166</v>
      </c>
    </row>
    <row r="543" spans="1:7" ht="15" thickBot="1">
      <c r="A543" s="3103">
        <v>1210</v>
      </c>
      <c r="B543" s="3205" t="s">
        <v>3164</v>
      </c>
      <c r="C543" s="3206"/>
      <c r="D543" s="3104" t="s">
        <v>4238</v>
      </c>
      <c r="E543" s="3104" t="s">
        <v>463</v>
      </c>
      <c r="F543" s="3105">
        <v>88.6</v>
      </c>
      <c r="G543" s="3106" t="s">
        <v>3166</v>
      </c>
    </row>
    <row r="544" spans="1:7" ht="15" thickBot="1">
      <c r="A544" s="3103">
        <v>1211</v>
      </c>
      <c r="B544" s="3205" t="s">
        <v>3164</v>
      </c>
      <c r="C544" s="3206"/>
      <c r="D544" s="3104" t="s">
        <v>4239</v>
      </c>
      <c r="E544" s="3104" t="s">
        <v>463</v>
      </c>
      <c r="F544" s="3105">
        <v>64.099999999999994</v>
      </c>
      <c r="G544" s="3106" t="s">
        <v>3166</v>
      </c>
    </row>
    <row r="545" spans="1:7" ht="15" thickBot="1">
      <c r="A545" s="3103">
        <v>1212</v>
      </c>
      <c r="B545" s="3205" t="s">
        <v>3164</v>
      </c>
      <c r="C545" s="3206"/>
      <c r="D545" s="3104" t="s">
        <v>4240</v>
      </c>
      <c r="E545" s="3104" t="s">
        <v>463</v>
      </c>
      <c r="F545" s="3105">
        <v>64.099999999999994</v>
      </c>
      <c r="G545" s="3106" t="s">
        <v>3166</v>
      </c>
    </row>
    <row r="546" spans="1:7" ht="15" thickBot="1">
      <c r="A546" s="3103">
        <v>1213</v>
      </c>
      <c r="B546" s="3205" t="s">
        <v>3164</v>
      </c>
      <c r="C546" s="3206"/>
      <c r="D546" s="3104" t="s">
        <v>4241</v>
      </c>
      <c r="E546" s="3104" t="s">
        <v>463</v>
      </c>
      <c r="F546" s="3105">
        <v>88.6</v>
      </c>
      <c r="G546" s="3106" t="s">
        <v>3166</v>
      </c>
    </row>
    <row r="547" spans="1:7" ht="15" thickBot="1">
      <c r="A547" s="3103">
        <v>1214</v>
      </c>
      <c r="B547" s="3205" t="s">
        <v>3164</v>
      </c>
      <c r="C547" s="3206"/>
      <c r="D547" s="3104" t="s">
        <v>3165</v>
      </c>
      <c r="E547" s="3104" t="s">
        <v>463</v>
      </c>
      <c r="F547" s="3105">
        <v>88.6</v>
      </c>
      <c r="G547" s="3106" t="s">
        <v>3166</v>
      </c>
    </row>
    <row r="548" spans="1:7" ht="15" thickBot="1">
      <c r="A548" s="3103">
        <v>1215</v>
      </c>
      <c r="B548" s="3205" t="s">
        <v>3164</v>
      </c>
      <c r="C548" s="3206"/>
      <c r="D548" s="3104" t="s">
        <v>3167</v>
      </c>
      <c r="E548" s="3104" t="s">
        <v>463</v>
      </c>
      <c r="F548" s="3105">
        <v>64.099999999999994</v>
      </c>
      <c r="G548" s="3106" t="s">
        <v>3166</v>
      </c>
    </row>
    <row r="549" spans="1:7" ht="15" thickBot="1">
      <c r="A549" s="3103">
        <v>1216</v>
      </c>
      <c r="B549" s="3205" t="s">
        <v>3164</v>
      </c>
      <c r="C549" s="3206"/>
      <c r="D549" s="3104" t="s">
        <v>3168</v>
      </c>
      <c r="E549" s="3104" t="s">
        <v>463</v>
      </c>
      <c r="F549" s="3105">
        <v>64.099999999999994</v>
      </c>
      <c r="G549" s="3106" t="s">
        <v>3166</v>
      </c>
    </row>
    <row r="550" spans="1:7" ht="15" thickBot="1">
      <c r="A550" s="3103">
        <v>1217</v>
      </c>
      <c r="B550" s="3205" t="s">
        <v>3164</v>
      </c>
      <c r="C550" s="3206"/>
      <c r="D550" s="3104" t="s">
        <v>3169</v>
      </c>
      <c r="E550" s="3104" t="s">
        <v>463</v>
      </c>
      <c r="F550" s="3105">
        <v>88.6</v>
      </c>
      <c r="G550" s="3106" t="s">
        <v>3166</v>
      </c>
    </row>
    <row r="551" spans="1:7" ht="15" thickBot="1">
      <c r="A551" s="3103">
        <v>1218</v>
      </c>
      <c r="B551" s="3205" t="s">
        <v>3164</v>
      </c>
      <c r="C551" s="3206"/>
      <c r="D551" s="3104" t="s">
        <v>3170</v>
      </c>
      <c r="E551" s="3104" t="s">
        <v>463</v>
      </c>
      <c r="F551" s="3105">
        <v>88.51</v>
      </c>
      <c r="G551" s="3106" t="s">
        <v>3166</v>
      </c>
    </row>
    <row r="552" spans="1:7" ht="15" thickBot="1">
      <c r="A552" s="3103">
        <v>1219</v>
      </c>
      <c r="B552" s="3205" t="s">
        <v>3164</v>
      </c>
      <c r="C552" s="3206"/>
      <c r="D552" s="3104" t="s">
        <v>3171</v>
      </c>
      <c r="E552" s="3104" t="s">
        <v>463</v>
      </c>
      <c r="F552" s="3105">
        <v>64.099999999999994</v>
      </c>
      <c r="G552" s="3106" t="s">
        <v>3166</v>
      </c>
    </row>
    <row r="553" spans="1:7" ht="15" thickBot="1">
      <c r="A553" s="3103">
        <v>1220</v>
      </c>
      <c r="B553" s="3205" t="s">
        <v>3164</v>
      </c>
      <c r="C553" s="3206"/>
      <c r="D553" s="3104" t="s">
        <v>3172</v>
      </c>
      <c r="E553" s="3104" t="s">
        <v>463</v>
      </c>
      <c r="F553" s="3105">
        <v>64.099999999999994</v>
      </c>
      <c r="G553" s="3106" t="s">
        <v>3166</v>
      </c>
    </row>
    <row r="554" spans="1:7" ht="15" thickBot="1">
      <c r="A554" s="3103">
        <v>1221</v>
      </c>
      <c r="B554" s="3205" t="s">
        <v>3164</v>
      </c>
      <c r="C554" s="3206"/>
      <c r="D554" s="3104" t="s">
        <v>3173</v>
      </c>
      <c r="E554" s="3104" t="s">
        <v>463</v>
      </c>
      <c r="F554" s="3105">
        <v>88.6</v>
      </c>
      <c r="G554" s="3106" t="s">
        <v>3166</v>
      </c>
    </row>
    <row r="555" spans="1:7" ht="15" thickBot="1">
      <c r="A555" s="3103">
        <v>1222</v>
      </c>
      <c r="B555" s="3205" t="s">
        <v>3164</v>
      </c>
      <c r="C555" s="3206"/>
      <c r="D555" s="3104" t="s">
        <v>3174</v>
      </c>
      <c r="E555" s="3104" t="s">
        <v>463</v>
      </c>
      <c r="F555" s="3105">
        <v>88.6</v>
      </c>
      <c r="G555" s="3106" t="s">
        <v>3166</v>
      </c>
    </row>
    <row r="556" spans="1:7" ht="15" thickBot="1">
      <c r="A556" s="3103">
        <v>1223</v>
      </c>
      <c r="B556" s="3205" t="s">
        <v>3164</v>
      </c>
      <c r="C556" s="3206"/>
      <c r="D556" s="3104" t="s">
        <v>3175</v>
      </c>
      <c r="E556" s="3104" t="s">
        <v>463</v>
      </c>
      <c r="F556" s="3105">
        <v>64.099999999999994</v>
      </c>
      <c r="G556" s="3106" t="s">
        <v>3166</v>
      </c>
    </row>
    <row r="557" spans="1:7" ht="15" thickBot="1">
      <c r="A557" s="3103">
        <v>1224</v>
      </c>
      <c r="B557" s="3205" t="s">
        <v>3164</v>
      </c>
      <c r="C557" s="3206"/>
      <c r="D557" s="3104" t="s">
        <v>3176</v>
      </c>
      <c r="E557" s="3104" t="s">
        <v>463</v>
      </c>
      <c r="F557" s="3105">
        <v>64.099999999999994</v>
      </c>
      <c r="G557" s="3106" t="s">
        <v>3166</v>
      </c>
    </row>
    <row r="558" spans="1:7" ht="15" thickBot="1">
      <c r="A558" s="3103">
        <v>1225</v>
      </c>
      <c r="B558" s="3205" t="s">
        <v>3164</v>
      </c>
      <c r="C558" s="3206"/>
      <c r="D558" s="3104" t="s">
        <v>3177</v>
      </c>
      <c r="E558" s="3104" t="s">
        <v>463</v>
      </c>
      <c r="F558" s="3105">
        <v>88.6</v>
      </c>
      <c r="G558" s="3106" t="s">
        <v>3166</v>
      </c>
    </row>
    <row r="559" spans="1:7" ht="15" thickBot="1">
      <c r="A559" s="3103">
        <v>1226</v>
      </c>
      <c r="B559" s="3205" t="s">
        <v>3164</v>
      </c>
      <c r="C559" s="3206"/>
      <c r="D559" s="3104" t="s">
        <v>3178</v>
      </c>
      <c r="E559" s="3104" t="s">
        <v>463</v>
      </c>
      <c r="F559" s="3105">
        <v>88.6</v>
      </c>
      <c r="G559" s="3106" t="s">
        <v>3166</v>
      </c>
    </row>
    <row r="560" spans="1:7" ht="15" thickBot="1">
      <c r="A560" s="3103">
        <v>1227</v>
      </c>
      <c r="B560" s="3205" t="s">
        <v>3164</v>
      </c>
      <c r="C560" s="3206"/>
      <c r="D560" s="3104" t="s">
        <v>3179</v>
      </c>
      <c r="E560" s="3104" t="s">
        <v>463</v>
      </c>
      <c r="F560" s="3105">
        <v>64.099999999999994</v>
      </c>
      <c r="G560" s="3106" t="s">
        <v>3166</v>
      </c>
    </row>
    <row r="561" spans="1:7" ht="15" thickBot="1">
      <c r="A561" s="3103">
        <v>1228</v>
      </c>
      <c r="B561" s="3205" t="s">
        <v>3164</v>
      </c>
      <c r="C561" s="3206"/>
      <c r="D561" s="3104" t="s">
        <v>3180</v>
      </c>
      <c r="E561" s="3104" t="s">
        <v>463</v>
      </c>
      <c r="F561" s="3105">
        <v>64.099999999999994</v>
      </c>
      <c r="G561" s="3106" t="s">
        <v>3166</v>
      </c>
    </row>
    <row r="562" spans="1:7" ht="15" thickBot="1">
      <c r="A562" s="3103">
        <v>1229</v>
      </c>
      <c r="B562" s="3205" t="s">
        <v>3164</v>
      </c>
      <c r="C562" s="3206"/>
      <c r="D562" s="3104" t="s">
        <v>3181</v>
      </c>
      <c r="E562" s="3104" t="s">
        <v>463</v>
      </c>
      <c r="F562" s="3105">
        <v>88.6</v>
      </c>
      <c r="G562" s="3106" t="s">
        <v>3166</v>
      </c>
    </row>
    <row r="563" spans="1:7" ht="15" thickBot="1">
      <c r="A563" s="3103">
        <v>1230</v>
      </c>
      <c r="B563" s="3205" t="s">
        <v>3164</v>
      </c>
      <c r="C563" s="3206"/>
      <c r="D563" s="3104" t="s">
        <v>3182</v>
      </c>
      <c r="E563" s="3104" t="s">
        <v>463</v>
      </c>
      <c r="F563" s="3105">
        <v>88.6</v>
      </c>
      <c r="G563" s="3106" t="s">
        <v>3166</v>
      </c>
    </row>
    <row r="564" spans="1:7" ht="15" thickBot="1">
      <c r="A564" s="3103">
        <v>1231</v>
      </c>
      <c r="B564" s="3205" t="s">
        <v>3164</v>
      </c>
      <c r="C564" s="3206"/>
      <c r="D564" s="3104" t="s">
        <v>3183</v>
      </c>
      <c r="E564" s="3104" t="s">
        <v>463</v>
      </c>
      <c r="F564" s="3105">
        <v>64.099999999999994</v>
      </c>
      <c r="G564" s="3106" t="s">
        <v>3166</v>
      </c>
    </row>
    <row r="565" spans="1:7" ht="15" thickBot="1">
      <c r="A565" s="3103">
        <v>1232</v>
      </c>
      <c r="B565" s="3205" t="s">
        <v>3164</v>
      </c>
      <c r="C565" s="3206"/>
      <c r="D565" s="3104" t="s">
        <v>3184</v>
      </c>
      <c r="E565" s="3104" t="s">
        <v>463</v>
      </c>
      <c r="F565" s="3105">
        <v>64.099999999999994</v>
      </c>
      <c r="G565" s="3106" t="s">
        <v>3166</v>
      </c>
    </row>
    <row r="566" spans="1:7" ht="15" thickBot="1">
      <c r="A566" s="3103">
        <v>1233</v>
      </c>
      <c r="B566" s="3205" t="s">
        <v>3164</v>
      </c>
      <c r="C566" s="3206"/>
      <c r="D566" s="3104" t="s">
        <v>3185</v>
      </c>
      <c r="E566" s="3104" t="s">
        <v>463</v>
      </c>
      <c r="F566" s="3105">
        <v>88.6</v>
      </c>
      <c r="G566" s="3106" t="s">
        <v>3166</v>
      </c>
    </row>
    <row r="567" spans="1:7" ht="15" thickBot="1">
      <c r="A567" s="3103">
        <v>1234</v>
      </c>
      <c r="B567" s="3205" t="s">
        <v>3164</v>
      </c>
      <c r="C567" s="3206"/>
      <c r="D567" s="3104" t="s">
        <v>3186</v>
      </c>
      <c r="E567" s="3104" t="s">
        <v>463</v>
      </c>
      <c r="F567" s="3105">
        <v>88.6</v>
      </c>
      <c r="G567" s="3106" t="s">
        <v>3166</v>
      </c>
    </row>
    <row r="568" spans="1:7" ht="15" thickBot="1">
      <c r="A568" s="3103">
        <v>1235</v>
      </c>
      <c r="B568" s="3205" t="s">
        <v>3164</v>
      </c>
      <c r="C568" s="3206"/>
      <c r="D568" s="3104" t="s">
        <v>3187</v>
      </c>
      <c r="E568" s="3104" t="s">
        <v>463</v>
      </c>
      <c r="F568" s="3105">
        <v>64.099999999999994</v>
      </c>
      <c r="G568" s="3106" t="s">
        <v>3166</v>
      </c>
    </row>
    <row r="569" spans="1:7" ht="15" thickBot="1">
      <c r="A569" s="3103">
        <v>1236</v>
      </c>
      <c r="B569" s="3205" t="s">
        <v>3164</v>
      </c>
      <c r="C569" s="3206"/>
      <c r="D569" s="3104" t="s">
        <v>3188</v>
      </c>
      <c r="E569" s="3104" t="s">
        <v>463</v>
      </c>
      <c r="F569" s="3105">
        <v>64.099999999999994</v>
      </c>
      <c r="G569" s="3106" t="s">
        <v>3166</v>
      </c>
    </row>
    <row r="570" spans="1:7" ht="15" thickBot="1">
      <c r="A570" s="3103">
        <v>1237</v>
      </c>
      <c r="B570" s="3205" t="s">
        <v>3164</v>
      </c>
      <c r="C570" s="3206"/>
      <c r="D570" s="3104" t="s">
        <v>3189</v>
      </c>
      <c r="E570" s="3104" t="s">
        <v>463</v>
      </c>
      <c r="F570" s="3105">
        <v>88.6</v>
      </c>
      <c r="G570" s="3106" t="s">
        <v>3166</v>
      </c>
    </row>
    <row r="571" spans="1:7" ht="15" thickBot="1">
      <c r="A571" s="3103">
        <v>1238</v>
      </c>
      <c r="B571" s="3205" t="s">
        <v>3164</v>
      </c>
      <c r="C571" s="3206"/>
      <c r="D571" s="3104" t="s">
        <v>3190</v>
      </c>
      <c r="E571" s="3104" t="s">
        <v>463</v>
      </c>
      <c r="F571" s="3105">
        <v>88.6</v>
      </c>
      <c r="G571" s="3106" t="s">
        <v>3166</v>
      </c>
    </row>
    <row r="572" spans="1:7" ht="15" thickBot="1">
      <c r="A572" s="3103">
        <v>1239</v>
      </c>
      <c r="B572" s="3205" t="s">
        <v>3164</v>
      </c>
      <c r="C572" s="3206"/>
      <c r="D572" s="3104" t="s">
        <v>3191</v>
      </c>
      <c r="E572" s="3104" t="s">
        <v>463</v>
      </c>
      <c r="F572" s="3105">
        <v>64.099999999999994</v>
      </c>
      <c r="G572" s="3106" t="s">
        <v>3166</v>
      </c>
    </row>
    <row r="573" spans="1:7" ht="15" thickBot="1">
      <c r="A573" s="3103">
        <v>1240</v>
      </c>
      <c r="B573" s="3205" t="s">
        <v>3164</v>
      </c>
      <c r="C573" s="3206"/>
      <c r="D573" s="3104" t="s">
        <v>3192</v>
      </c>
      <c r="E573" s="3104" t="s">
        <v>463</v>
      </c>
      <c r="F573" s="3105">
        <v>64.099999999999994</v>
      </c>
      <c r="G573" s="3106" t="s">
        <v>3166</v>
      </c>
    </row>
    <row r="574" spans="1:7" ht="15" thickBot="1">
      <c r="A574" s="3103">
        <v>1241</v>
      </c>
      <c r="B574" s="3205" t="s">
        <v>3164</v>
      </c>
      <c r="C574" s="3206"/>
      <c r="D574" s="3104" t="s">
        <v>3193</v>
      </c>
      <c r="E574" s="3104" t="s">
        <v>463</v>
      </c>
      <c r="F574" s="3105">
        <v>88.6</v>
      </c>
      <c r="G574" s="3106" t="s">
        <v>3166</v>
      </c>
    </row>
    <row r="575" spans="1:7" ht="15" thickBot="1">
      <c r="A575" s="3103">
        <v>1242</v>
      </c>
      <c r="B575" s="3205" t="s">
        <v>3164</v>
      </c>
      <c r="C575" s="3206"/>
      <c r="D575" s="3104" t="s">
        <v>3194</v>
      </c>
      <c r="E575" s="3104" t="s">
        <v>463</v>
      </c>
      <c r="F575" s="3105">
        <v>88.6</v>
      </c>
      <c r="G575" s="3106" t="s">
        <v>3166</v>
      </c>
    </row>
    <row r="576" spans="1:7" ht="15" thickBot="1">
      <c r="A576" s="3103">
        <v>1243</v>
      </c>
      <c r="B576" s="3205" t="s">
        <v>3164</v>
      </c>
      <c r="C576" s="3206"/>
      <c r="D576" s="3104" t="s">
        <v>3195</v>
      </c>
      <c r="E576" s="3104" t="s">
        <v>463</v>
      </c>
      <c r="F576" s="3105">
        <v>64.099999999999994</v>
      </c>
      <c r="G576" s="3106" t="s">
        <v>3166</v>
      </c>
    </row>
    <row r="577" spans="1:7" ht="15" thickBot="1">
      <c r="A577" s="3103">
        <v>1244</v>
      </c>
      <c r="B577" s="3205" t="s">
        <v>3164</v>
      </c>
      <c r="C577" s="3206"/>
      <c r="D577" s="3104" t="s">
        <v>3196</v>
      </c>
      <c r="E577" s="3104" t="s">
        <v>463</v>
      </c>
      <c r="F577" s="3105">
        <v>64.099999999999994</v>
      </c>
      <c r="G577" s="3106" t="s">
        <v>3166</v>
      </c>
    </row>
    <row r="578" spans="1:7" ht="15" thickBot="1">
      <c r="A578" s="3103">
        <v>1245</v>
      </c>
      <c r="B578" s="3205" t="s">
        <v>3164</v>
      </c>
      <c r="C578" s="3206"/>
      <c r="D578" s="3104" t="s">
        <v>3197</v>
      </c>
      <c r="E578" s="3104" t="s">
        <v>463</v>
      </c>
      <c r="F578" s="3105">
        <v>88.6</v>
      </c>
      <c r="G578" s="3106" t="s">
        <v>3166</v>
      </c>
    </row>
    <row r="579" spans="1:7" ht="15" thickBot="1">
      <c r="A579" s="3103">
        <v>1246</v>
      </c>
      <c r="B579" s="3205" t="s">
        <v>3164</v>
      </c>
      <c r="C579" s="3206"/>
      <c r="D579" s="3104" t="s">
        <v>3198</v>
      </c>
      <c r="E579" s="3104" t="s">
        <v>463</v>
      </c>
      <c r="F579" s="3105">
        <v>88.6</v>
      </c>
      <c r="G579" s="3106" t="s">
        <v>3166</v>
      </c>
    </row>
    <row r="580" spans="1:7" ht="15" thickBot="1">
      <c r="A580" s="3103">
        <v>1247</v>
      </c>
      <c r="B580" s="3205" t="s">
        <v>3164</v>
      </c>
      <c r="C580" s="3206"/>
      <c r="D580" s="3104" t="s">
        <v>3199</v>
      </c>
      <c r="E580" s="3104" t="s">
        <v>463</v>
      </c>
      <c r="F580" s="3105">
        <v>64.099999999999994</v>
      </c>
      <c r="G580" s="3106" t="s">
        <v>3166</v>
      </c>
    </row>
    <row r="581" spans="1:7" ht="15" thickBot="1">
      <c r="A581" s="3103">
        <v>1248</v>
      </c>
      <c r="B581" s="3205" t="s">
        <v>3164</v>
      </c>
      <c r="C581" s="3206"/>
      <c r="D581" s="3104" t="s">
        <v>3200</v>
      </c>
      <c r="E581" s="3104" t="s">
        <v>463</v>
      </c>
      <c r="F581" s="3105">
        <v>64.099999999999994</v>
      </c>
      <c r="G581" s="3106" t="s">
        <v>3166</v>
      </c>
    </row>
    <row r="582" spans="1:7" ht="15" thickBot="1">
      <c r="A582" s="3103">
        <v>1249</v>
      </c>
      <c r="B582" s="3205" t="s">
        <v>3164</v>
      </c>
      <c r="C582" s="3206"/>
      <c r="D582" s="3104" t="s">
        <v>3201</v>
      </c>
      <c r="E582" s="3104" t="s">
        <v>463</v>
      </c>
      <c r="F582" s="3105">
        <v>88.6</v>
      </c>
      <c r="G582" s="3106" t="s">
        <v>3166</v>
      </c>
    </row>
    <row r="583" spans="1:7" ht="15" thickBot="1">
      <c r="A583" s="3103">
        <v>1250</v>
      </c>
      <c r="B583" s="3205" t="s">
        <v>3164</v>
      </c>
      <c r="C583" s="3206"/>
      <c r="D583" s="3104" t="s">
        <v>3202</v>
      </c>
      <c r="E583" s="3104" t="s">
        <v>463</v>
      </c>
      <c r="F583" s="3105">
        <v>88.6</v>
      </c>
      <c r="G583" s="3106" t="s">
        <v>3166</v>
      </c>
    </row>
    <row r="584" spans="1:7" ht="15" thickBot="1">
      <c r="A584" s="3103">
        <v>1251</v>
      </c>
      <c r="B584" s="3205" t="s">
        <v>3164</v>
      </c>
      <c r="C584" s="3206"/>
      <c r="D584" s="3104" t="s">
        <v>3203</v>
      </c>
      <c r="E584" s="3104" t="s">
        <v>463</v>
      </c>
      <c r="F584" s="3105">
        <v>64.099999999999994</v>
      </c>
      <c r="G584" s="3106" t="s">
        <v>3166</v>
      </c>
    </row>
    <row r="585" spans="1:7" ht="15" thickBot="1">
      <c r="A585" s="3103">
        <v>1252</v>
      </c>
      <c r="B585" s="3205" t="s">
        <v>3164</v>
      </c>
      <c r="C585" s="3206"/>
      <c r="D585" s="3104" t="s">
        <v>3204</v>
      </c>
      <c r="E585" s="3104" t="s">
        <v>463</v>
      </c>
      <c r="F585" s="3105">
        <v>64.099999999999994</v>
      </c>
      <c r="G585" s="3106" t="s">
        <v>3166</v>
      </c>
    </row>
    <row r="586" spans="1:7" ht="15" thickBot="1">
      <c r="A586" s="3103">
        <v>1253</v>
      </c>
      <c r="B586" s="3205" t="s">
        <v>3164</v>
      </c>
      <c r="C586" s="3206"/>
      <c r="D586" s="3104" t="s">
        <v>3205</v>
      </c>
      <c r="E586" s="3104" t="s">
        <v>463</v>
      </c>
      <c r="F586" s="3105">
        <v>88.6</v>
      </c>
      <c r="G586" s="3106" t="s">
        <v>3166</v>
      </c>
    </row>
    <row r="587" spans="1:7" ht="15" thickBot="1">
      <c r="A587" s="3103">
        <v>1254</v>
      </c>
      <c r="B587" s="3205" t="s">
        <v>3164</v>
      </c>
      <c r="C587" s="3206"/>
      <c r="D587" s="3104" t="s">
        <v>3206</v>
      </c>
      <c r="E587" s="3104" t="s">
        <v>463</v>
      </c>
      <c r="F587" s="3105">
        <v>88.6</v>
      </c>
      <c r="G587" s="3106" t="s">
        <v>3166</v>
      </c>
    </row>
    <row r="588" spans="1:7" ht="15" thickBot="1">
      <c r="A588" s="3103">
        <v>1255</v>
      </c>
      <c r="B588" s="3205" t="s">
        <v>3164</v>
      </c>
      <c r="C588" s="3206"/>
      <c r="D588" s="3104" t="s">
        <v>3207</v>
      </c>
      <c r="E588" s="3104" t="s">
        <v>463</v>
      </c>
      <c r="F588" s="3105">
        <v>64.099999999999994</v>
      </c>
      <c r="G588" s="3106" t="s">
        <v>3166</v>
      </c>
    </row>
    <row r="589" spans="1:7" ht="15" thickBot="1">
      <c r="A589" s="3103">
        <v>1256</v>
      </c>
      <c r="B589" s="3205" t="s">
        <v>3164</v>
      </c>
      <c r="C589" s="3206"/>
      <c r="D589" s="3104" t="s">
        <v>3208</v>
      </c>
      <c r="E589" s="3104" t="s">
        <v>463</v>
      </c>
      <c r="F589" s="3105">
        <v>64.099999999999994</v>
      </c>
      <c r="G589" s="3106" t="s">
        <v>3166</v>
      </c>
    </row>
    <row r="590" spans="1:7" ht="15" thickBot="1">
      <c r="A590" s="3103">
        <v>1257</v>
      </c>
      <c r="B590" s="3205" t="s">
        <v>3164</v>
      </c>
      <c r="C590" s="3206"/>
      <c r="D590" s="3104" t="s">
        <v>3209</v>
      </c>
      <c r="E590" s="3104" t="s">
        <v>463</v>
      </c>
      <c r="F590" s="3105">
        <v>88.6</v>
      </c>
      <c r="G590" s="3106" t="s">
        <v>3166</v>
      </c>
    </row>
    <row r="591" spans="1:7" ht="15" thickBot="1">
      <c r="A591" s="3103">
        <v>1258</v>
      </c>
      <c r="B591" s="3205" t="s">
        <v>3164</v>
      </c>
      <c r="C591" s="3206"/>
      <c r="D591" s="3104" t="s">
        <v>3210</v>
      </c>
      <c r="E591" s="3104" t="s">
        <v>463</v>
      </c>
      <c r="F591" s="3105">
        <v>88.6</v>
      </c>
      <c r="G591" s="3106" t="s">
        <v>3166</v>
      </c>
    </row>
    <row r="592" spans="1:7" ht="15" thickBot="1">
      <c r="A592" s="3103">
        <v>1259</v>
      </c>
      <c r="B592" s="3205" t="s">
        <v>3164</v>
      </c>
      <c r="C592" s="3206"/>
      <c r="D592" s="3104" t="s">
        <v>3211</v>
      </c>
      <c r="E592" s="3104" t="s">
        <v>463</v>
      </c>
      <c r="F592" s="3105">
        <v>64.099999999999994</v>
      </c>
      <c r="G592" s="3106" t="s">
        <v>3166</v>
      </c>
    </row>
    <row r="593" spans="1:7" ht="15" thickBot="1">
      <c r="A593" s="3103">
        <v>1260</v>
      </c>
      <c r="B593" s="3205" t="s">
        <v>3164</v>
      </c>
      <c r="C593" s="3206"/>
      <c r="D593" s="3104" t="s">
        <v>3212</v>
      </c>
      <c r="E593" s="3104" t="s">
        <v>463</v>
      </c>
      <c r="F593" s="3105">
        <v>64.099999999999994</v>
      </c>
      <c r="G593" s="3106" t="s">
        <v>3166</v>
      </c>
    </row>
    <row r="594" spans="1:7" ht="15" thickBot="1">
      <c r="A594" s="3103">
        <v>1261</v>
      </c>
      <c r="B594" s="3205" t="s">
        <v>3164</v>
      </c>
      <c r="C594" s="3206"/>
      <c r="D594" s="3104" t="s">
        <v>3213</v>
      </c>
      <c r="E594" s="3104" t="s">
        <v>463</v>
      </c>
      <c r="F594" s="3105">
        <v>88.6</v>
      </c>
      <c r="G594" s="3106" t="s">
        <v>3166</v>
      </c>
    </row>
    <row r="595" spans="1:7" ht="15" thickBot="1">
      <c r="A595" s="3103">
        <v>1262</v>
      </c>
      <c r="B595" s="3205" t="s">
        <v>3164</v>
      </c>
      <c r="C595" s="3206"/>
      <c r="D595" s="3104" t="s">
        <v>3214</v>
      </c>
      <c r="E595" s="3104" t="s">
        <v>463</v>
      </c>
      <c r="F595" s="3105">
        <v>88.6</v>
      </c>
      <c r="G595" s="3106" t="s">
        <v>3166</v>
      </c>
    </row>
    <row r="596" spans="1:7" ht="15" thickBot="1">
      <c r="A596" s="3103">
        <v>1263</v>
      </c>
      <c r="B596" s="3205" t="s">
        <v>3164</v>
      </c>
      <c r="C596" s="3206"/>
      <c r="D596" s="3104" t="s">
        <v>3215</v>
      </c>
      <c r="E596" s="3104" t="s">
        <v>463</v>
      </c>
      <c r="F596" s="3105">
        <v>64.099999999999994</v>
      </c>
      <c r="G596" s="3106" t="s">
        <v>3166</v>
      </c>
    </row>
    <row r="597" spans="1:7" ht="15" thickBot="1">
      <c r="A597" s="3103">
        <v>1264</v>
      </c>
      <c r="B597" s="3205" t="s">
        <v>3164</v>
      </c>
      <c r="C597" s="3206"/>
      <c r="D597" s="3104" t="s">
        <v>3216</v>
      </c>
      <c r="E597" s="3104" t="s">
        <v>463</v>
      </c>
      <c r="F597" s="3105">
        <v>64.099999999999994</v>
      </c>
      <c r="G597" s="3106" t="s">
        <v>3166</v>
      </c>
    </row>
    <row r="598" spans="1:7" ht="15" thickBot="1">
      <c r="A598" s="3103">
        <v>1265</v>
      </c>
      <c r="B598" s="3205" t="s">
        <v>3164</v>
      </c>
      <c r="C598" s="3206"/>
      <c r="D598" s="3104" t="s">
        <v>3217</v>
      </c>
      <c r="E598" s="3104" t="s">
        <v>463</v>
      </c>
      <c r="F598" s="3105">
        <v>88.6</v>
      </c>
      <c r="G598" s="3106" t="s">
        <v>3166</v>
      </c>
    </row>
    <row r="599" spans="1:7" ht="15" thickBot="1">
      <c r="A599" s="3103">
        <v>1266</v>
      </c>
      <c r="B599" s="3205" t="s">
        <v>3164</v>
      </c>
      <c r="C599" s="3206"/>
      <c r="D599" s="3104" t="s">
        <v>3218</v>
      </c>
      <c r="E599" s="3104" t="s">
        <v>463</v>
      </c>
      <c r="F599" s="3105">
        <v>88.6</v>
      </c>
      <c r="G599" s="3106" t="s">
        <v>3166</v>
      </c>
    </row>
    <row r="600" spans="1:7" ht="15" thickBot="1">
      <c r="A600" s="3103">
        <v>1267</v>
      </c>
      <c r="B600" s="3205" t="s">
        <v>3164</v>
      </c>
      <c r="C600" s="3206"/>
      <c r="D600" s="3104" t="s">
        <v>3219</v>
      </c>
      <c r="E600" s="3104" t="s">
        <v>463</v>
      </c>
      <c r="F600" s="3105">
        <v>64.099999999999994</v>
      </c>
      <c r="G600" s="3106" t="s">
        <v>3166</v>
      </c>
    </row>
    <row r="601" spans="1:7" ht="15" thickBot="1">
      <c r="A601" s="3103">
        <v>1268</v>
      </c>
      <c r="B601" s="3205" t="s">
        <v>3164</v>
      </c>
      <c r="C601" s="3206"/>
      <c r="D601" s="3104" t="s">
        <v>3220</v>
      </c>
      <c r="E601" s="3104" t="s">
        <v>463</v>
      </c>
      <c r="F601" s="3105">
        <v>64.099999999999994</v>
      </c>
      <c r="G601" s="3106" t="s">
        <v>3166</v>
      </c>
    </row>
    <row r="602" spans="1:7" ht="15" thickBot="1">
      <c r="A602" s="3103">
        <v>1269</v>
      </c>
      <c r="B602" s="3205" t="s">
        <v>3164</v>
      </c>
      <c r="C602" s="3206"/>
      <c r="D602" s="3104" t="s">
        <v>3221</v>
      </c>
      <c r="E602" s="3104" t="s">
        <v>463</v>
      </c>
      <c r="F602" s="3105">
        <v>88.6</v>
      </c>
      <c r="G602" s="3106" t="s">
        <v>3166</v>
      </c>
    </row>
    <row r="603" spans="1:7" ht="15" thickBot="1">
      <c r="A603" s="3103">
        <v>1270</v>
      </c>
      <c r="B603" s="3205" t="s">
        <v>3164</v>
      </c>
      <c r="C603" s="3206"/>
      <c r="D603" s="3104" t="s">
        <v>3222</v>
      </c>
      <c r="E603" s="3104" t="s">
        <v>463</v>
      </c>
      <c r="F603" s="3105">
        <v>88.6</v>
      </c>
      <c r="G603" s="3106" t="s">
        <v>3166</v>
      </c>
    </row>
    <row r="604" spans="1:7" ht="15" thickBot="1">
      <c r="A604" s="3103">
        <v>1271</v>
      </c>
      <c r="B604" s="3205" t="s">
        <v>3164</v>
      </c>
      <c r="C604" s="3206"/>
      <c r="D604" s="3104" t="s">
        <v>3223</v>
      </c>
      <c r="E604" s="3104" t="s">
        <v>463</v>
      </c>
      <c r="F604" s="3105">
        <v>64.099999999999994</v>
      </c>
      <c r="G604" s="3106" t="s">
        <v>3166</v>
      </c>
    </row>
    <row r="605" spans="1:7" ht="15" thickBot="1">
      <c r="A605" s="3103">
        <v>1272</v>
      </c>
      <c r="B605" s="3205" t="s">
        <v>3164</v>
      </c>
      <c r="C605" s="3206"/>
      <c r="D605" s="3104" t="s">
        <v>3224</v>
      </c>
      <c r="E605" s="3104" t="s">
        <v>463</v>
      </c>
      <c r="F605" s="3105">
        <v>64.099999999999994</v>
      </c>
      <c r="G605" s="3106" t="s">
        <v>3166</v>
      </c>
    </row>
    <row r="606" spans="1:7" ht="15" thickBot="1">
      <c r="A606" s="3103">
        <v>1273</v>
      </c>
      <c r="B606" s="3205" t="s">
        <v>3164</v>
      </c>
      <c r="C606" s="3206"/>
      <c r="D606" s="3104" t="s">
        <v>3225</v>
      </c>
      <c r="E606" s="3104" t="s">
        <v>463</v>
      </c>
      <c r="F606" s="3105">
        <v>88.6</v>
      </c>
      <c r="G606" s="3106" t="s">
        <v>3166</v>
      </c>
    </row>
    <row r="607" spans="1:7" ht="15" thickBot="1">
      <c r="A607" s="3103">
        <v>1274</v>
      </c>
      <c r="B607" s="3205" t="s">
        <v>3164</v>
      </c>
      <c r="C607" s="3206"/>
      <c r="D607" s="3104" t="s">
        <v>3226</v>
      </c>
      <c r="E607" s="3104" t="s">
        <v>463</v>
      </c>
      <c r="F607" s="3105">
        <v>51.33</v>
      </c>
      <c r="G607" s="3106" t="s">
        <v>3166</v>
      </c>
    </row>
    <row r="608" spans="1:7" ht="15" thickBot="1">
      <c r="A608" s="3103">
        <v>1275</v>
      </c>
      <c r="B608" s="3205" t="s">
        <v>3164</v>
      </c>
      <c r="C608" s="3206"/>
      <c r="D608" s="3104" t="s">
        <v>3227</v>
      </c>
      <c r="E608" s="3104" t="s">
        <v>463</v>
      </c>
      <c r="F608" s="3105">
        <v>61.24</v>
      </c>
      <c r="G608" s="3106" t="s">
        <v>3166</v>
      </c>
    </row>
    <row r="609" spans="1:7" ht="15" thickBot="1">
      <c r="A609" s="3103">
        <v>1276</v>
      </c>
      <c r="B609" s="3205" t="s">
        <v>3164</v>
      </c>
      <c r="C609" s="3206"/>
      <c r="D609" s="3104" t="s">
        <v>3228</v>
      </c>
      <c r="E609" s="3104" t="s">
        <v>463</v>
      </c>
      <c r="F609" s="3105">
        <v>88.56</v>
      </c>
      <c r="G609" s="3106" t="s">
        <v>3166</v>
      </c>
    </row>
    <row r="610" spans="1:7" ht="15" thickBot="1">
      <c r="A610" s="3103">
        <v>1277</v>
      </c>
      <c r="B610" s="3205" t="s">
        <v>3164</v>
      </c>
      <c r="C610" s="3206"/>
      <c r="D610" s="3104" t="s">
        <v>3229</v>
      </c>
      <c r="E610" s="3104" t="s">
        <v>463</v>
      </c>
      <c r="F610" s="3105">
        <v>51.62</v>
      </c>
      <c r="G610" s="3106" t="s">
        <v>3166</v>
      </c>
    </row>
    <row r="611" spans="1:7" ht="15" thickBot="1">
      <c r="A611" s="3103">
        <v>1278</v>
      </c>
      <c r="B611" s="3205" t="s">
        <v>3164</v>
      </c>
      <c r="C611" s="3206"/>
      <c r="D611" s="3104" t="s">
        <v>3230</v>
      </c>
      <c r="E611" s="3104" t="s">
        <v>463</v>
      </c>
      <c r="F611" s="3105">
        <v>61.24</v>
      </c>
      <c r="G611" s="3106" t="s">
        <v>3166</v>
      </c>
    </row>
    <row r="612" spans="1:7" ht="15" thickBot="1">
      <c r="A612" s="3103">
        <v>1279</v>
      </c>
      <c r="B612" s="3205" t="s">
        <v>3164</v>
      </c>
      <c r="C612" s="3206"/>
      <c r="D612" s="3104" t="s">
        <v>3231</v>
      </c>
      <c r="E612" s="3104" t="s">
        <v>463</v>
      </c>
      <c r="F612" s="3105">
        <v>88.69</v>
      </c>
      <c r="G612" s="3106" t="s">
        <v>3166</v>
      </c>
    </row>
    <row r="613" spans="1:7" ht="15" thickBot="1">
      <c r="A613" s="3103">
        <v>1280</v>
      </c>
      <c r="B613" s="3205" t="s">
        <v>3164</v>
      </c>
      <c r="C613" s="3206"/>
      <c r="D613" s="3104" t="s">
        <v>3232</v>
      </c>
      <c r="E613" s="3104" t="s">
        <v>463</v>
      </c>
      <c r="F613" s="3105">
        <v>51.62</v>
      </c>
      <c r="G613" s="3106" t="s">
        <v>3166</v>
      </c>
    </row>
    <row r="614" spans="1:7" ht="15" thickBot="1">
      <c r="A614" s="3103">
        <v>1281</v>
      </c>
      <c r="B614" s="3205" t="s">
        <v>3164</v>
      </c>
      <c r="C614" s="3206"/>
      <c r="D614" s="3104" t="s">
        <v>3233</v>
      </c>
      <c r="E614" s="3104" t="s">
        <v>463</v>
      </c>
      <c r="F614" s="3105">
        <v>61.24</v>
      </c>
      <c r="G614" s="3106" t="s">
        <v>3166</v>
      </c>
    </row>
    <row r="615" spans="1:7" ht="15" thickBot="1">
      <c r="A615" s="3103">
        <v>1282</v>
      </c>
      <c r="B615" s="3205" t="s">
        <v>3164</v>
      </c>
      <c r="C615" s="3206"/>
      <c r="D615" s="3104" t="s">
        <v>3234</v>
      </c>
      <c r="E615" s="3104" t="s">
        <v>463</v>
      </c>
      <c r="F615" s="3105">
        <v>88.69</v>
      </c>
      <c r="G615" s="3106" t="s">
        <v>3166</v>
      </c>
    </row>
    <row r="616" spans="1:7" ht="15" thickBot="1">
      <c r="A616" s="3103">
        <v>1283</v>
      </c>
      <c r="B616" s="3205" t="s">
        <v>3164</v>
      </c>
      <c r="C616" s="3206"/>
      <c r="D616" s="3104" t="s">
        <v>3235</v>
      </c>
      <c r="E616" s="3104" t="s">
        <v>463</v>
      </c>
      <c r="F616" s="3105">
        <v>51.62</v>
      </c>
      <c r="G616" s="3106" t="s">
        <v>3166</v>
      </c>
    </row>
    <row r="617" spans="1:7" ht="15" thickBot="1">
      <c r="A617" s="3103">
        <v>1284</v>
      </c>
      <c r="B617" s="3205" t="s">
        <v>3164</v>
      </c>
      <c r="C617" s="3206"/>
      <c r="D617" s="3104" t="s">
        <v>3236</v>
      </c>
      <c r="E617" s="3104" t="s">
        <v>463</v>
      </c>
      <c r="F617" s="3105">
        <v>61.24</v>
      </c>
      <c r="G617" s="3106" t="s">
        <v>3166</v>
      </c>
    </row>
    <row r="618" spans="1:7" ht="15" thickBot="1">
      <c r="A618" s="3103">
        <v>1285</v>
      </c>
      <c r="B618" s="3205" t="s">
        <v>3164</v>
      </c>
      <c r="C618" s="3206"/>
      <c r="D618" s="3104" t="s">
        <v>3237</v>
      </c>
      <c r="E618" s="3104" t="s">
        <v>463</v>
      </c>
      <c r="F618" s="3105">
        <v>88.69</v>
      </c>
      <c r="G618" s="3106" t="s">
        <v>3166</v>
      </c>
    </row>
    <row r="619" spans="1:7" ht="15" thickBot="1">
      <c r="A619" s="3103">
        <v>1286</v>
      </c>
      <c r="B619" s="3205" t="s">
        <v>3164</v>
      </c>
      <c r="C619" s="3206"/>
      <c r="D619" s="3104" t="s">
        <v>3238</v>
      </c>
      <c r="E619" s="3104" t="s">
        <v>463</v>
      </c>
      <c r="F619" s="3105">
        <v>51.62</v>
      </c>
      <c r="G619" s="3106" t="s">
        <v>3166</v>
      </c>
    </row>
    <row r="620" spans="1:7" ht="15" thickBot="1">
      <c r="A620" s="3103">
        <v>1287</v>
      </c>
      <c r="B620" s="3205" t="s">
        <v>3164</v>
      </c>
      <c r="C620" s="3206"/>
      <c r="D620" s="3104" t="s">
        <v>3239</v>
      </c>
      <c r="E620" s="3104" t="s">
        <v>463</v>
      </c>
      <c r="F620" s="3105">
        <v>61.24</v>
      </c>
      <c r="G620" s="3106" t="s">
        <v>3166</v>
      </c>
    </row>
    <row r="621" spans="1:7" ht="15" thickBot="1">
      <c r="A621" s="3103">
        <v>1288</v>
      </c>
      <c r="B621" s="3205" t="s">
        <v>3164</v>
      </c>
      <c r="C621" s="3206"/>
      <c r="D621" s="3104" t="s">
        <v>3240</v>
      </c>
      <c r="E621" s="3104" t="s">
        <v>463</v>
      </c>
      <c r="F621" s="3105">
        <v>88.69</v>
      </c>
      <c r="G621" s="3106" t="s">
        <v>3166</v>
      </c>
    </row>
    <row r="622" spans="1:7" ht="15" thickBot="1">
      <c r="A622" s="3103">
        <v>1289</v>
      </c>
      <c r="B622" s="3205" t="s">
        <v>3164</v>
      </c>
      <c r="C622" s="3206"/>
      <c r="D622" s="3104" t="s">
        <v>3241</v>
      </c>
      <c r="E622" s="3104" t="s">
        <v>463</v>
      </c>
      <c r="F622" s="3105">
        <v>51.62</v>
      </c>
      <c r="G622" s="3106" t="s">
        <v>3166</v>
      </c>
    </row>
    <row r="623" spans="1:7" ht="15" thickBot="1">
      <c r="A623" s="3103">
        <v>1290</v>
      </c>
      <c r="B623" s="3205" t="s">
        <v>3164</v>
      </c>
      <c r="C623" s="3206"/>
      <c r="D623" s="3104" t="s">
        <v>3242</v>
      </c>
      <c r="E623" s="3104" t="s">
        <v>463</v>
      </c>
      <c r="F623" s="3105">
        <v>61.24</v>
      </c>
      <c r="G623" s="3106" t="s">
        <v>3166</v>
      </c>
    </row>
    <row r="624" spans="1:7" ht="15" thickBot="1">
      <c r="A624" s="3103">
        <v>1291</v>
      </c>
      <c r="B624" s="3205" t="s">
        <v>3164</v>
      </c>
      <c r="C624" s="3206"/>
      <c r="D624" s="3104" t="s">
        <v>3243</v>
      </c>
      <c r="E624" s="3104" t="s">
        <v>463</v>
      </c>
      <c r="F624" s="3105">
        <v>88.69</v>
      </c>
      <c r="G624" s="3106" t="s">
        <v>3166</v>
      </c>
    </row>
    <row r="625" spans="1:7" ht="15" thickBot="1">
      <c r="A625" s="3103">
        <v>1292</v>
      </c>
      <c r="B625" s="3205" t="s">
        <v>3164</v>
      </c>
      <c r="C625" s="3206"/>
      <c r="D625" s="3104" t="s">
        <v>3244</v>
      </c>
      <c r="E625" s="3104" t="s">
        <v>463</v>
      </c>
      <c r="F625" s="3105">
        <v>51.62</v>
      </c>
      <c r="G625" s="3106" t="s">
        <v>3166</v>
      </c>
    </row>
    <row r="626" spans="1:7" ht="15" thickBot="1">
      <c r="A626" s="3103">
        <v>1293</v>
      </c>
      <c r="B626" s="3205" t="s">
        <v>3164</v>
      </c>
      <c r="C626" s="3206"/>
      <c r="D626" s="3104" t="s">
        <v>3245</v>
      </c>
      <c r="E626" s="3104" t="s">
        <v>463</v>
      </c>
      <c r="F626" s="3105">
        <v>61.24</v>
      </c>
      <c r="G626" s="3106" t="s">
        <v>3166</v>
      </c>
    </row>
    <row r="627" spans="1:7" ht="15" thickBot="1">
      <c r="A627" s="3103">
        <v>1294</v>
      </c>
      <c r="B627" s="3205" t="s">
        <v>3164</v>
      </c>
      <c r="C627" s="3206"/>
      <c r="D627" s="3104" t="s">
        <v>3246</v>
      </c>
      <c r="E627" s="3104" t="s">
        <v>463</v>
      </c>
      <c r="F627" s="3105">
        <v>88.69</v>
      </c>
      <c r="G627" s="3106" t="s">
        <v>3166</v>
      </c>
    </row>
    <row r="628" spans="1:7" ht="15" thickBot="1">
      <c r="A628" s="3103">
        <v>1295</v>
      </c>
      <c r="B628" s="3205" t="s">
        <v>3164</v>
      </c>
      <c r="C628" s="3206"/>
      <c r="D628" s="3104" t="s">
        <v>3247</v>
      </c>
      <c r="E628" s="3104" t="s">
        <v>463</v>
      </c>
      <c r="F628" s="3105">
        <v>51.62</v>
      </c>
      <c r="G628" s="3106" t="s">
        <v>3166</v>
      </c>
    </row>
    <row r="629" spans="1:7" ht="15" thickBot="1">
      <c r="A629" s="3103">
        <v>1296</v>
      </c>
      <c r="B629" s="3205" t="s">
        <v>3164</v>
      </c>
      <c r="C629" s="3206"/>
      <c r="D629" s="3104" t="s">
        <v>3248</v>
      </c>
      <c r="E629" s="3104" t="s">
        <v>463</v>
      </c>
      <c r="F629" s="3105">
        <v>61.24</v>
      </c>
      <c r="G629" s="3106" t="s">
        <v>3166</v>
      </c>
    </row>
    <row r="630" spans="1:7" ht="15" thickBot="1">
      <c r="A630" s="3103">
        <v>1297</v>
      </c>
      <c r="B630" s="3205" t="s">
        <v>3164</v>
      </c>
      <c r="C630" s="3206"/>
      <c r="D630" s="3104" t="s">
        <v>3249</v>
      </c>
      <c r="E630" s="3104" t="s">
        <v>463</v>
      </c>
      <c r="F630" s="3105">
        <v>88.69</v>
      </c>
      <c r="G630" s="3106" t="s">
        <v>3166</v>
      </c>
    </row>
    <row r="631" spans="1:7" ht="15" thickBot="1">
      <c r="A631" s="3103">
        <v>1298</v>
      </c>
      <c r="B631" s="3205" t="s">
        <v>3164</v>
      </c>
      <c r="C631" s="3206"/>
      <c r="D631" s="3104" t="s">
        <v>3250</v>
      </c>
      <c r="E631" s="3104" t="s">
        <v>463</v>
      </c>
      <c r="F631" s="3105">
        <v>51.62</v>
      </c>
      <c r="G631" s="3106" t="s">
        <v>3166</v>
      </c>
    </row>
    <row r="632" spans="1:7" ht="15" thickBot="1">
      <c r="A632" s="3103">
        <v>1299</v>
      </c>
      <c r="B632" s="3205" t="s">
        <v>3164</v>
      </c>
      <c r="C632" s="3206"/>
      <c r="D632" s="3104" t="s">
        <v>3251</v>
      </c>
      <c r="E632" s="3104" t="s">
        <v>463</v>
      </c>
      <c r="F632" s="3105">
        <v>61.24</v>
      </c>
      <c r="G632" s="3106" t="s">
        <v>3166</v>
      </c>
    </row>
    <row r="633" spans="1:7" ht="15" thickBot="1">
      <c r="A633" s="3103">
        <v>1300</v>
      </c>
      <c r="B633" s="3205" t="s">
        <v>3164</v>
      </c>
      <c r="C633" s="3206"/>
      <c r="D633" s="3104" t="s">
        <v>3252</v>
      </c>
      <c r="E633" s="3104" t="s">
        <v>463</v>
      </c>
      <c r="F633" s="3105">
        <v>88.69</v>
      </c>
      <c r="G633" s="3106" t="s">
        <v>3166</v>
      </c>
    </row>
    <row r="634" spans="1:7" ht="15" thickBot="1">
      <c r="A634" s="3103">
        <v>1301</v>
      </c>
      <c r="B634" s="3205" t="s">
        <v>3164</v>
      </c>
      <c r="C634" s="3206"/>
      <c r="D634" s="3104" t="s">
        <v>3253</v>
      </c>
      <c r="E634" s="3104" t="s">
        <v>463</v>
      </c>
      <c r="F634" s="3105">
        <v>88.56</v>
      </c>
      <c r="G634" s="3106" t="s">
        <v>3166</v>
      </c>
    </row>
    <row r="635" spans="1:7" ht="15" thickBot="1">
      <c r="A635" s="3103">
        <v>1302</v>
      </c>
      <c r="B635" s="3205" t="s">
        <v>3164</v>
      </c>
      <c r="C635" s="3206"/>
      <c r="D635" s="3104" t="s">
        <v>3254</v>
      </c>
      <c r="E635" s="3104" t="s">
        <v>463</v>
      </c>
      <c r="F635" s="3105">
        <v>88.69</v>
      </c>
      <c r="G635" s="3106" t="s">
        <v>3166</v>
      </c>
    </row>
    <row r="636" spans="1:7" ht="15" thickBot="1">
      <c r="A636" s="3103">
        <v>1303</v>
      </c>
      <c r="B636" s="3205" t="s">
        <v>3164</v>
      </c>
      <c r="C636" s="3206"/>
      <c r="D636" s="3104" t="s">
        <v>3255</v>
      </c>
      <c r="E636" s="3104" t="s">
        <v>463</v>
      </c>
      <c r="F636" s="3105">
        <v>88.69</v>
      </c>
      <c r="G636" s="3106" t="s">
        <v>3166</v>
      </c>
    </row>
    <row r="637" spans="1:7" ht="15" thickBot="1">
      <c r="A637" s="3103">
        <v>1304</v>
      </c>
      <c r="B637" s="3205" t="s">
        <v>3164</v>
      </c>
      <c r="C637" s="3206"/>
      <c r="D637" s="3104" t="s">
        <v>3256</v>
      </c>
      <c r="E637" s="3104" t="s">
        <v>463</v>
      </c>
      <c r="F637" s="3105">
        <v>88.69</v>
      </c>
      <c r="G637" s="3106" t="s">
        <v>3166</v>
      </c>
    </row>
    <row r="638" spans="1:7" ht="15" thickBot="1">
      <c r="A638" s="3103">
        <v>1305</v>
      </c>
      <c r="B638" s="3205" t="s">
        <v>3164</v>
      </c>
      <c r="C638" s="3206"/>
      <c r="D638" s="3104" t="s">
        <v>3257</v>
      </c>
      <c r="E638" s="3104" t="s">
        <v>463</v>
      </c>
      <c r="F638" s="3105">
        <v>88.69</v>
      </c>
      <c r="G638" s="3106" t="s">
        <v>3166</v>
      </c>
    </row>
    <row r="639" spans="1:7" ht="15" thickBot="1">
      <c r="A639" s="3103">
        <v>1306</v>
      </c>
      <c r="B639" s="3205" t="s">
        <v>3164</v>
      </c>
      <c r="C639" s="3206"/>
      <c r="D639" s="3104" t="s">
        <v>3258</v>
      </c>
      <c r="E639" s="3104" t="s">
        <v>463</v>
      </c>
      <c r="F639" s="3105">
        <v>88.69</v>
      </c>
      <c r="G639" s="3106" t="s">
        <v>3166</v>
      </c>
    </row>
    <row r="640" spans="1:7" ht="15" thickBot="1">
      <c r="A640" s="3103">
        <v>1307</v>
      </c>
      <c r="B640" s="3205" t="s">
        <v>3164</v>
      </c>
      <c r="C640" s="3206"/>
      <c r="D640" s="3104" t="s">
        <v>3259</v>
      </c>
      <c r="E640" s="3104" t="s">
        <v>463</v>
      </c>
      <c r="F640" s="3105">
        <v>88.69</v>
      </c>
      <c r="G640" s="3106" t="s">
        <v>3166</v>
      </c>
    </row>
    <row r="641" spans="1:7" ht="15" thickBot="1">
      <c r="A641" s="3103">
        <v>1308</v>
      </c>
      <c r="B641" s="3205" t="s">
        <v>3164</v>
      </c>
      <c r="C641" s="3206"/>
      <c r="D641" s="3104" t="s">
        <v>3260</v>
      </c>
      <c r="E641" s="3104" t="s">
        <v>463</v>
      </c>
      <c r="F641" s="3105">
        <v>88.69</v>
      </c>
      <c r="G641" s="3106" t="s">
        <v>3166</v>
      </c>
    </row>
    <row r="642" spans="1:7" ht="15" thickBot="1">
      <c r="A642" s="3103">
        <v>1309</v>
      </c>
      <c r="B642" s="3205" t="s">
        <v>3164</v>
      </c>
      <c r="C642" s="3206"/>
      <c r="D642" s="3104" t="s">
        <v>3261</v>
      </c>
      <c r="E642" s="3104" t="s">
        <v>463</v>
      </c>
      <c r="F642" s="3105">
        <v>88.69</v>
      </c>
      <c r="G642" s="3106" t="s">
        <v>3166</v>
      </c>
    </row>
    <row r="643" spans="1:7" ht="15" thickBot="1">
      <c r="A643" s="3103">
        <v>1310</v>
      </c>
      <c r="B643" s="3205" t="s">
        <v>3164</v>
      </c>
      <c r="C643" s="3206"/>
      <c r="D643" s="3104" t="s">
        <v>3262</v>
      </c>
      <c r="E643" s="3104" t="s">
        <v>463</v>
      </c>
      <c r="F643" s="3105">
        <v>88.69</v>
      </c>
      <c r="G643" s="3106" t="s">
        <v>3166</v>
      </c>
    </row>
    <row r="644" spans="1:7" ht="15" thickBot="1">
      <c r="A644" s="3103">
        <v>1311</v>
      </c>
      <c r="B644" s="3205" t="s">
        <v>3164</v>
      </c>
      <c r="C644" s="3206"/>
      <c r="D644" s="3104" t="s">
        <v>3263</v>
      </c>
      <c r="E644" s="3104" t="s">
        <v>463</v>
      </c>
      <c r="F644" s="3105">
        <v>88.69</v>
      </c>
      <c r="G644" s="3106" t="s">
        <v>3166</v>
      </c>
    </row>
    <row r="645" spans="1:7" ht="15" thickBot="1">
      <c r="A645" s="3103">
        <v>1312</v>
      </c>
      <c r="B645" s="3205" t="s">
        <v>3164</v>
      </c>
      <c r="C645" s="3206"/>
      <c r="D645" s="3104" t="s">
        <v>3264</v>
      </c>
      <c r="E645" s="3104" t="s">
        <v>463</v>
      </c>
      <c r="F645" s="3105">
        <v>88.69</v>
      </c>
      <c r="G645" s="3106" t="s">
        <v>3166</v>
      </c>
    </row>
    <row r="646" spans="1:7" ht="15" thickBot="1">
      <c r="A646" s="3103">
        <v>1313</v>
      </c>
      <c r="B646" s="3205" t="s">
        <v>3164</v>
      </c>
      <c r="C646" s="3206"/>
      <c r="D646" s="3104" t="s">
        <v>3265</v>
      </c>
      <c r="E646" s="3104" t="s">
        <v>463</v>
      </c>
      <c r="F646" s="3105">
        <v>88.69</v>
      </c>
      <c r="G646" s="3106" t="s">
        <v>3166</v>
      </c>
    </row>
    <row r="647" spans="1:7" ht="15" thickBot="1">
      <c r="A647" s="3103">
        <v>1314</v>
      </c>
      <c r="B647" s="3205" t="s">
        <v>3164</v>
      </c>
      <c r="C647" s="3206"/>
      <c r="D647" s="3104" t="s">
        <v>3266</v>
      </c>
      <c r="E647" s="3104" t="s">
        <v>463</v>
      </c>
      <c r="F647" s="3105">
        <v>88.69</v>
      </c>
      <c r="G647" s="3106" t="s">
        <v>3166</v>
      </c>
    </row>
    <row r="648" spans="1:7" ht="15" thickBot="1">
      <c r="A648" s="3103">
        <v>1315</v>
      </c>
      <c r="B648" s="3205" t="s">
        <v>3164</v>
      </c>
      <c r="C648" s="3206"/>
      <c r="D648" s="3104" t="s">
        <v>3267</v>
      </c>
      <c r="E648" s="3104" t="s">
        <v>463</v>
      </c>
      <c r="F648" s="3105">
        <v>88.69</v>
      </c>
      <c r="G648" s="3106" t="s">
        <v>3166</v>
      </c>
    </row>
    <row r="649" spans="1:7" ht="15" thickBot="1">
      <c r="A649" s="3103">
        <v>1316</v>
      </c>
      <c r="B649" s="3205" t="s">
        <v>3164</v>
      </c>
      <c r="C649" s="3206"/>
      <c r="D649" s="3104" t="s">
        <v>3268</v>
      </c>
      <c r="E649" s="3104" t="s">
        <v>463</v>
      </c>
      <c r="F649" s="3105">
        <v>88.69</v>
      </c>
      <c r="G649" s="3106" t="s">
        <v>3166</v>
      </c>
    </row>
    <row r="650" spans="1:7" ht="15" thickBot="1">
      <c r="A650" s="3103">
        <v>1317</v>
      </c>
      <c r="B650" s="3205" t="s">
        <v>3164</v>
      </c>
      <c r="C650" s="3206"/>
      <c r="D650" s="3104" t="s">
        <v>3269</v>
      </c>
      <c r="E650" s="3104" t="s">
        <v>463</v>
      </c>
      <c r="F650" s="3105">
        <v>88.69</v>
      </c>
      <c r="G650" s="3106" t="s">
        <v>3166</v>
      </c>
    </row>
    <row r="651" spans="1:7" ht="15" thickBot="1">
      <c r="A651" s="3103">
        <v>1318</v>
      </c>
      <c r="B651" s="3205" t="s">
        <v>3164</v>
      </c>
      <c r="C651" s="3206"/>
      <c r="D651" s="3104" t="s">
        <v>3270</v>
      </c>
      <c r="E651" s="3104" t="s">
        <v>463</v>
      </c>
      <c r="F651" s="3105">
        <v>88.69</v>
      </c>
      <c r="G651" s="3106" t="s">
        <v>3166</v>
      </c>
    </row>
    <row r="652" spans="1:7" ht="15" thickBot="1">
      <c r="A652" s="3103">
        <v>1319</v>
      </c>
      <c r="B652" s="3205" t="s">
        <v>3164</v>
      </c>
      <c r="C652" s="3206"/>
      <c r="D652" s="3104" t="s">
        <v>3271</v>
      </c>
      <c r="E652" s="3104" t="s">
        <v>463</v>
      </c>
      <c r="F652" s="3105">
        <v>89.04</v>
      </c>
      <c r="G652" s="3106" t="s">
        <v>3166</v>
      </c>
    </row>
    <row r="653" spans="1:7" ht="15" thickBot="1">
      <c r="A653" s="3103">
        <v>1320</v>
      </c>
      <c r="B653" s="3205" t="s">
        <v>3164</v>
      </c>
      <c r="C653" s="3206"/>
      <c r="D653" s="3104" t="s">
        <v>3272</v>
      </c>
      <c r="E653" s="3104" t="s">
        <v>463</v>
      </c>
      <c r="F653" s="3105">
        <v>88.69</v>
      </c>
      <c r="G653" s="3106" t="s">
        <v>3166</v>
      </c>
    </row>
    <row r="654" spans="1:7" ht="15" thickBot="1">
      <c r="A654" s="3103">
        <v>1321</v>
      </c>
      <c r="B654" s="3205" t="s">
        <v>3164</v>
      </c>
      <c r="C654" s="3206"/>
      <c r="D654" s="3104" t="s">
        <v>3273</v>
      </c>
      <c r="E654" s="3104" t="s">
        <v>463</v>
      </c>
      <c r="F654" s="3105">
        <v>88.69</v>
      </c>
      <c r="G654" s="3106" t="s">
        <v>3166</v>
      </c>
    </row>
    <row r="655" spans="1:7" ht="15" thickBot="1">
      <c r="A655" s="3103">
        <v>1322</v>
      </c>
      <c r="B655" s="3205" t="s">
        <v>3164</v>
      </c>
      <c r="C655" s="3206"/>
      <c r="D655" s="3104" t="s">
        <v>3274</v>
      </c>
      <c r="E655" s="3104" t="s">
        <v>463</v>
      </c>
      <c r="F655" s="3105">
        <v>88.56</v>
      </c>
      <c r="G655" s="3106" t="s">
        <v>3166</v>
      </c>
    </row>
    <row r="656" spans="1:7" ht="15" thickBot="1">
      <c r="A656" s="3103">
        <v>1323</v>
      </c>
      <c r="B656" s="3205" t="s">
        <v>3164</v>
      </c>
      <c r="C656" s="3206"/>
      <c r="D656" s="3104" t="s">
        <v>3275</v>
      </c>
      <c r="E656" s="3104" t="s">
        <v>463</v>
      </c>
      <c r="F656" s="3105">
        <v>88.69</v>
      </c>
      <c r="G656" s="3106" t="s">
        <v>3166</v>
      </c>
    </row>
    <row r="657" spans="1:7" ht="15" thickBot="1">
      <c r="A657" s="3103">
        <v>1324</v>
      </c>
      <c r="B657" s="3205" t="s">
        <v>3164</v>
      </c>
      <c r="C657" s="3206"/>
      <c r="D657" s="3104" t="s">
        <v>3276</v>
      </c>
      <c r="E657" s="3104" t="s">
        <v>463</v>
      </c>
      <c r="F657" s="3105">
        <v>88.69</v>
      </c>
      <c r="G657" s="3106" t="s">
        <v>3166</v>
      </c>
    </row>
    <row r="658" spans="1:7" ht="15" thickBot="1">
      <c r="A658" s="3103">
        <v>1325</v>
      </c>
      <c r="B658" s="3205" t="s">
        <v>3164</v>
      </c>
      <c r="C658" s="3206"/>
      <c r="D658" s="3104" t="s">
        <v>3277</v>
      </c>
      <c r="E658" s="3104" t="s">
        <v>463</v>
      </c>
      <c r="F658" s="3105">
        <v>88.69</v>
      </c>
      <c r="G658" s="3106" t="s">
        <v>3166</v>
      </c>
    </row>
    <row r="659" spans="1:7" ht="15" thickBot="1">
      <c r="A659" s="3103">
        <v>1326</v>
      </c>
      <c r="B659" s="3205" t="s">
        <v>3164</v>
      </c>
      <c r="C659" s="3206"/>
      <c r="D659" s="3104" t="s">
        <v>3278</v>
      </c>
      <c r="E659" s="3104" t="s">
        <v>463</v>
      </c>
      <c r="F659" s="3105">
        <v>88.69</v>
      </c>
      <c r="G659" s="3106" t="s">
        <v>3166</v>
      </c>
    </row>
    <row r="660" spans="1:7" ht="15" thickBot="1">
      <c r="A660" s="3103">
        <v>1327</v>
      </c>
      <c r="B660" s="3205" t="s">
        <v>3164</v>
      </c>
      <c r="C660" s="3206"/>
      <c r="D660" s="3104" t="s">
        <v>3279</v>
      </c>
      <c r="E660" s="3104" t="s">
        <v>463</v>
      </c>
      <c r="F660" s="3105">
        <v>88.69</v>
      </c>
      <c r="G660" s="3106" t="s">
        <v>3166</v>
      </c>
    </row>
    <row r="661" spans="1:7" ht="15" thickBot="1">
      <c r="A661" s="3103">
        <v>1328</v>
      </c>
      <c r="B661" s="3205" t="s">
        <v>3164</v>
      </c>
      <c r="C661" s="3206"/>
      <c r="D661" s="3104" t="s">
        <v>3280</v>
      </c>
      <c r="E661" s="3104" t="s">
        <v>463</v>
      </c>
      <c r="F661" s="3105">
        <v>88.69</v>
      </c>
      <c r="G661" s="3106" t="s">
        <v>3166</v>
      </c>
    </row>
    <row r="662" spans="1:7" ht="15" thickBot="1">
      <c r="A662" s="3103">
        <v>1329</v>
      </c>
      <c r="B662" s="3205" t="s">
        <v>3164</v>
      </c>
      <c r="C662" s="3206"/>
      <c r="D662" s="3104" t="s">
        <v>3281</v>
      </c>
      <c r="E662" s="3104" t="s">
        <v>463</v>
      </c>
      <c r="F662" s="3105">
        <v>88.69</v>
      </c>
      <c r="G662" s="3106" t="s">
        <v>3166</v>
      </c>
    </row>
    <row r="663" spans="1:7" ht="15" thickBot="1">
      <c r="A663" s="3103">
        <v>1330</v>
      </c>
      <c r="B663" s="3205" t="s">
        <v>3164</v>
      </c>
      <c r="C663" s="3206"/>
      <c r="D663" s="3104" t="s">
        <v>3282</v>
      </c>
      <c r="E663" s="3104" t="s">
        <v>463</v>
      </c>
      <c r="F663" s="3105">
        <v>88.69</v>
      </c>
      <c r="G663" s="3106" t="s">
        <v>3166</v>
      </c>
    </row>
    <row r="664" spans="1:7" ht="15" thickBot="1">
      <c r="A664" s="3103">
        <v>1331</v>
      </c>
      <c r="B664" s="3205" t="s">
        <v>3164</v>
      </c>
      <c r="C664" s="3206"/>
      <c r="D664" s="3104" t="s">
        <v>3283</v>
      </c>
      <c r="E664" s="3104" t="s">
        <v>463</v>
      </c>
      <c r="F664" s="3105">
        <v>88.69</v>
      </c>
      <c r="G664" s="3106" t="s">
        <v>3166</v>
      </c>
    </row>
    <row r="665" spans="1:7" ht="15" thickBot="1">
      <c r="A665" s="3103">
        <v>1332</v>
      </c>
      <c r="B665" s="3205" t="s">
        <v>3164</v>
      </c>
      <c r="C665" s="3206"/>
      <c r="D665" s="3104" t="s">
        <v>3284</v>
      </c>
      <c r="E665" s="3104" t="s">
        <v>463</v>
      </c>
      <c r="F665" s="3105">
        <v>88.69</v>
      </c>
      <c r="G665" s="3106" t="s">
        <v>3166</v>
      </c>
    </row>
    <row r="666" spans="1:7" ht="15" thickBot="1">
      <c r="A666" s="3103">
        <v>1333</v>
      </c>
      <c r="B666" s="3205" t="s">
        <v>3164</v>
      </c>
      <c r="C666" s="3206"/>
      <c r="D666" s="3104" t="s">
        <v>3285</v>
      </c>
      <c r="E666" s="3104" t="s">
        <v>463</v>
      </c>
      <c r="F666" s="3105">
        <v>88.69</v>
      </c>
      <c r="G666" s="3106" t="s">
        <v>3166</v>
      </c>
    </row>
    <row r="667" spans="1:7" ht="15" thickBot="1">
      <c r="A667" s="3103">
        <v>1334</v>
      </c>
      <c r="B667" s="3205" t="s">
        <v>3164</v>
      </c>
      <c r="C667" s="3206"/>
      <c r="D667" s="3104" t="s">
        <v>3286</v>
      </c>
      <c r="E667" s="3104" t="s">
        <v>463</v>
      </c>
      <c r="F667" s="3105">
        <v>88.69</v>
      </c>
      <c r="G667" s="3106" t="s">
        <v>3166</v>
      </c>
    </row>
    <row r="668" spans="1:7" ht="15" thickBot="1">
      <c r="A668" s="3103">
        <v>1335</v>
      </c>
      <c r="B668" s="3205" t="s">
        <v>3164</v>
      </c>
      <c r="C668" s="3206"/>
      <c r="D668" s="3104" t="s">
        <v>3287</v>
      </c>
      <c r="E668" s="3104" t="s">
        <v>463</v>
      </c>
      <c r="F668" s="3105">
        <v>88.69</v>
      </c>
      <c r="G668" s="3106" t="s">
        <v>3166</v>
      </c>
    </row>
    <row r="669" spans="1:7" ht="15" thickBot="1">
      <c r="A669" s="3103">
        <v>1336</v>
      </c>
      <c r="B669" s="3205" t="s">
        <v>3164</v>
      </c>
      <c r="C669" s="3206"/>
      <c r="D669" s="3104" t="s">
        <v>3288</v>
      </c>
      <c r="E669" s="3104" t="s">
        <v>463</v>
      </c>
      <c r="F669" s="3105">
        <v>88.69</v>
      </c>
      <c r="G669" s="3106" t="s">
        <v>3166</v>
      </c>
    </row>
    <row r="670" spans="1:7" ht="15" thickBot="1">
      <c r="A670" s="3103">
        <v>1337</v>
      </c>
      <c r="B670" s="3205" t="s">
        <v>3164</v>
      </c>
      <c r="C670" s="3206"/>
      <c r="D670" s="3104" t="s">
        <v>3289</v>
      </c>
      <c r="E670" s="3104" t="s">
        <v>463</v>
      </c>
      <c r="F670" s="3105">
        <v>88.69</v>
      </c>
      <c r="G670" s="3106" t="s">
        <v>3166</v>
      </c>
    </row>
    <row r="671" spans="1:7" ht="15" thickBot="1">
      <c r="A671" s="3103">
        <v>1338</v>
      </c>
      <c r="B671" s="3205" t="s">
        <v>3164</v>
      </c>
      <c r="C671" s="3206"/>
      <c r="D671" s="3104" t="s">
        <v>3290</v>
      </c>
      <c r="E671" s="3104" t="s">
        <v>463</v>
      </c>
      <c r="F671" s="3105">
        <v>88.69</v>
      </c>
      <c r="G671" s="3106" t="s">
        <v>3166</v>
      </c>
    </row>
    <row r="672" spans="1:7" ht="15" thickBot="1">
      <c r="A672" s="3103">
        <v>1339</v>
      </c>
      <c r="B672" s="3205" t="s">
        <v>3164</v>
      </c>
      <c r="C672" s="3206"/>
      <c r="D672" s="3104" t="s">
        <v>3291</v>
      </c>
      <c r="E672" s="3104" t="s">
        <v>463</v>
      </c>
      <c r="F672" s="3105">
        <v>88.69</v>
      </c>
      <c r="G672" s="3106" t="s">
        <v>3166</v>
      </c>
    </row>
    <row r="673" spans="1:7" ht="15" thickBot="1">
      <c r="A673" s="3103">
        <v>1340</v>
      </c>
      <c r="B673" s="3205" t="s">
        <v>3164</v>
      </c>
      <c r="C673" s="3206"/>
      <c r="D673" s="3104" t="s">
        <v>3292</v>
      </c>
      <c r="E673" s="3104" t="s">
        <v>463</v>
      </c>
      <c r="F673" s="3105">
        <v>61.24</v>
      </c>
      <c r="G673" s="3106" t="s">
        <v>3166</v>
      </c>
    </row>
    <row r="674" spans="1:7" ht="15" thickBot="1">
      <c r="A674" s="3103">
        <v>1341</v>
      </c>
      <c r="B674" s="3205" t="s">
        <v>3164</v>
      </c>
      <c r="C674" s="3206"/>
      <c r="D674" s="3104" t="s">
        <v>3293</v>
      </c>
      <c r="E674" s="3104" t="s">
        <v>463</v>
      </c>
      <c r="F674" s="3105">
        <v>51.62</v>
      </c>
      <c r="G674" s="3106" t="s">
        <v>3166</v>
      </c>
    </row>
    <row r="675" spans="1:7" ht="15" thickBot="1">
      <c r="A675" s="3103">
        <v>1342</v>
      </c>
      <c r="B675" s="3205" t="s">
        <v>3164</v>
      </c>
      <c r="C675" s="3206"/>
      <c r="D675" s="3104" t="s">
        <v>3294</v>
      </c>
      <c r="E675" s="3104" t="s">
        <v>463</v>
      </c>
      <c r="F675" s="3105">
        <v>88.56</v>
      </c>
      <c r="G675" s="3106" t="s">
        <v>3166</v>
      </c>
    </row>
    <row r="676" spans="1:7" ht="15" thickBot="1">
      <c r="A676" s="3103">
        <v>1343</v>
      </c>
      <c r="B676" s="3205" t="s">
        <v>3164</v>
      </c>
      <c r="C676" s="3206"/>
      <c r="D676" s="3104" t="s">
        <v>3295</v>
      </c>
      <c r="E676" s="3104" t="s">
        <v>463</v>
      </c>
      <c r="F676" s="3105">
        <v>61.24</v>
      </c>
      <c r="G676" s="3106" t="s">
        <v>3166</v>
      </c>
    </row>
    <row r="677" spans="1:7" ht="15" thickBot="1">
      <c r="A677" s="3103">
        <v>1344</v>
      </c>
      <c r="B677" s="3205" t="s">
        <v>3164</v>
      </c>
      <c r="C677" s="3206"/>
      <c r="D677" s="3104" t="s">
        <v>3296</v>
      </c>
      <c r="E677" s="3104" t="s">
        <v>463</v>
      </c>
      <c r="F677" s="3105">
        <v>51.33</v>
      </c>
      <c r="G677" s="3106" t="s">
        <v>3166</v>
      </c>
    </row>
    <row r="678" spans="1:7" ht="15" thickBot="1">
      <c r="A678" s="3103">
        <v>1345</v>
      </c>
      <c r="B678" s="3205" t="s">
        <v>3164</v>
      </c>
      <c r="C678" s="3206"/>
      <c r="D678" s="3104" t="s">
        <v>3297</v>
      </c>
      <c r="E678" s="3104" t="s">
        <v>463</v>
      </c>
      <c r="F678" s="3105">
        <v>88.69</v>
      </c>
      <c r="G678" s="3106" t="s">
        <v>3166</v>
      </c>
    </row>
    <row r="679" spans="1:7" ht="15" thickBot="1">
      <c r="A679" s="3103">
        <v>1346</v>
      </c>
      <c r="B679" s="3205" t="s">
        <v>3164</v>
      </c>
      <c r="C679" s="3206"/>
      <c r="D679" s="3104" t="s">
        <v>3298</v>
      </c>
      <c r="E679" s="3104" t="s">
        <v>463</v>
      </c>
      <c r="F679" s="3105">
        <v>61.24</v>
      </c>
      <c r="G679" s="3106" t="s">
        <v>3166</v>
      </c>
    </row>
    <row r="680" spans="1:7" ht="15" thickBot="1">
      <c r="A680" s="3103">
        <v>1347</v>
      </c>
      <c r="B680" s="3205" t="s">
        <v>3164</v>
      </c>
      <c r="C680" s="3206"/>
      <c r="D680" s="3104" t="s">
        <v>3299</v>
      </c>
      <c r="E680" s="3104" t="s">
        <v>463</v>
      </c>
      <c r="F680" s="3105">
        <v>51.62</v>
      </c>
      <c r="G680" s="3106" t="s">
        <v>3166</v>
      </c>
    </row>
    <row r="681" spans="1:7" ht="15" thickBot="1">
      <c r="A681" s="3103">
        <v>1348</v>
      </c>
      <c r="B681" s="3205" t="s">
        <v>3164</v>
      </c>
      <c r="C681" s="3206"/>
      <c r="D681" s="3104" t="s">
        <v>3300</v>
      </c>
      <c r="E681" s="3104" t="s">
        <v>463</v>
      </c>
      <c r="F681" s="3105">
        <v>88.69</v>
      </c>
      <c r="G681" s="3106" t="s">
        <v>3166</v>
      </c>
    </row>
    <row r="682" spans="1:7" ht="15" thickBot="1">
      <c r="A682" s="3103">
        <v>1349</v>
      </c>
      <c r="B682" s="3205" t="s">
        <v>3164</v>
      </c>
      <c r="C682" s="3206"/>
      <c r="D682" s="3104" t="s">
        <v>3301</v>
      </c>
      <c r="E682" s="3104" t="s">
        <v>463</v>
      </c>
      <c r="F682" s="3105">
        <v>61.24</v>
      </c>
      <c r="G682" s="3106" t="s">
        <v>3166</v>
      </c>
    </row>
    <row r="683" spans="1:7" ht="15" thickBot="1">
      <c r="A683" s="3103">
        <v>1350</v>
      </c>
      <c r="B683" s="3205" t="s">
        <v>3164</v>
      </c>
      <c r="C683" s="3206"/>
      <c r="D683" s="3104" t="s">
        <v>3302</v>
      </c>
      <c r="E683" s="3104" t="s">
        <v>463</v>
      </c>
      <c r="F683" s="3105">
        <v>51.62</v>
      </c>
      <c r="G683" s="3106" t="s">
        <v>3166</v>
      </c>
    </row>
    <row r="684" spans="1:7" ht="15" thickBot="1">
      <c r="A684" s="3103">
        <v>1351</v>
      </c>
      <c r="B684" s="3205" t="s">
        <v>3164</v>
      </c>
      <c r="C684" s="3206"/>
      <c r="D684" s="3104" t="s">
        <v>3303</v>
      </c>
      <c r="E684" s="3104" t="s">
        <v>463</v>
      </c>
      <c r="F684" s="3105">
        <v>88.69</v>
      </c>
      <c r="G684" s="3106" t="s">
        <v>3166</v>
      </c>
    </row>
    <row r="685" spans="1:7" ht="15" thickBot="1">
      <c r="A685" s="3103">
        <v>1352</v>
      </c>
      <c r="B685" s="3205" t="s">
        <v>3164</v>
      </c>
      <c r="C685" s="3206"/>
      <c r="D685" s="3104" t="s">
        <v>3304</v>
      </c>
      <c r="E685" s="3104" t="s">
        <v>463</v>
      </c>
      <c r="F685" s="3105">
        <v>61.24</v>
      </c>
      <c r="G685" s="3106" t="s">
        <v>3166</v>
      </c>
    </row>
    <row r="686" spans="1:7" ht="15" thickBot="1">
      <c r="A686" s="3103">
        <v>1353</v>
      </c>
      <c r="B686" s="3205" t="s">
        <v>3164</v>
      </c>
      <c r="C686" s="3206"/>
      <c r="D686" s="3104" t="s">
        <v>3305</v>
      </c>
      <c r="E686" s="3104" t="s">
        <v>463</v>
      </c>
      <c r="F686" s="3105">
        <v>51.62</v>
      </c>
      <c r="G686" s="3106" t="s">
        <v>3166</v>
      </c>
    </row>
    <row r="687" spans="1:7" ht="15" thickBot="1">
      <c r="A687" s="3103">
        <v>1354</v>
      </c>
      <c r="B687" s="3205" t="s">
        <v>3164</v>
      </c>
      <c r="C687" s="3206"/>
      <c r="D687" s="3104" t="s">
        <v>3306</v>
      </c>
      <c r="E687" s="3104" t="s">
        <v>463</v>
      </c>
      <c r="F687" s="3105">
        <v>88.69</v>
      </c>
      <c r="G687" s="3106" t="s">
        <v>3166</v>
      </c>
    </row>
    <row r="688" spans="1:7" ht="15" thickBot="1">
      <c r="A688" s="3103">
        <v>1355</v>
      </c>
      <c r="B688" s="3205" t="s">
        <v>3164</v>
      </c>
      <c r="C688" s="3206"/>
      <c r="D688" s="3104" t="s">
        <v>3307</v>
      </c>
      <c r="E688" s="3104" t="s">
        <v>463</v>
      </c>
      <c r="F688" s="3105">
        <v>61.24</v>
      </c>
      <c r="G688" s="3106" t="s">
        <v>3166</v>
      </c>
    </row>
    <row r="689" spans="1:7" ht="15" thickBot="1">
      <c r="A689" s="3103">
        <v>1356</v>
      </c>
      <c r="B689" s="3205" t="s">
        <v>3164</v>
      </c>
      <c r="C689" s="3206"/>
      <c r="D689" s="3104" t="s">
        <v>3308</v>
      </c>
      <c r="E689" s="3104" t="s">
        <v>463</v>
      </c>
      <c r="F689" s="3105">
        <v>51.62</v>
      </c>
      <c r="G689" s="3106" t="s">
        <v>3166</v>
      </c>
    </row>
    <row r="690" spans="1:7" ht="15" thickBot="1">
      <c r="A690" s="3103">
        <v>1357</v>
      </c>
      <c r="B690" s="3205" t="s">
        <v>3164</v>
      </c>
      <c r="C690" s="3206"/>
      <c r="D690" s="3104" t="s">
        <v>3309</v>
      </c>
      <c r="E690" s="3104" t="s">
        <v>463</v>
      </c>
      <c r="F690" s="3105">
        <v>88.69</v>
      </c>
      <c r="G690" s="3106" t="s">
        <v>3166</v>
      </c>
    </row>
    <row r="691" spans="1:7" ht="15" thickBot="1">
      <c r="A691" s="3103">
        <v>1358</v>
      </c>
      <c r="B691" s="3205" t="s">
        <v>3164</v>
      </c>
      <c r="C691" s="3206"/>
      <c r="D691" s="3104" t="s">
        <v>3310</v>
      </c>
      <c r="E691" s="3104" t="s">
        <v>463</v>
      </c>
      <c r="F691" s="3105">
        <v>61.24</v>
      </c>
      <c r="G691" s="3106" t="s">
        <v>3166</v>
      </c>
    </row>
    <row r="692" spans="1:7" ht="15" thickBot="1">
      <c r="A692" s="3103">
        <v>1359</v>
      </c>
      <c r="B692" s="3205" t="s">
        <v>3164</v>
      </c>
      <c r="C692" s="3206"/>
      <c r="D692" s="3104" t="s">
        <v>3311</v>
      </c>
      <c r="E692" s="3104" t="s">
        <v>463</v>
      </c>
      <c r="F692" s="3105">
        <v>51.62</v>
      </c>
      <c r="G692" s="3106" t="s">
        <v>3166</v>
      </c>
    </row>
    <row r="693" spans="1:7" ht="15" thickBot="1">
      <c r="A693" s="3103">
        <v>1360</v>
      </c>
      <c r="B693" s="3205" t="s">
        <v>3164</v>
      </c>
      <c r="C693" s="3206"/>
      <c r="D693" s="3104" t="s">
        <v>3312</v>
      </c>
      <c r="E693" s="3104" t="s">
        <v>463</v>
      </c>
      <c r="F693" s="3105">
        <v>88.69</v>
      </c>
      <c r="G693" s="3106" t="s">
        <v>3166</v>
      </c>
    </row>
    <row r="694" spans="1:7" ht="15" thickBot="1">
      <c r="A694" s="3103">
        <v>1361</v>
      </c>
      <c r="B694" s="3205" t="s">
        <v>3164</v>
      </c>
      <c r="C694" s="3206"/>
      <c r="D694" s="3104" t="s">
        <v>3313</v>
      </c>
      <c r="E694" s="3104" t="s">
        <v>463</v>
      </c>
      <c r="F694" s="3105">
        <v>61.24</v>
      </c>
      <c r="G694" s="3106" t="s">
        <v>3166</v>
      </c>
    </row>
    <row r="695" spans="1:7" ht="15" thickBot="1">
      <c r="A695" s="3103">
        <v>1362</v>
      </c>
      <c r="B695" s="3205" t="s">
        <v>3164</v>
      </c>
      <c r="C695" s="3206"/>
      <c r="D695" s="3104" t="s">
        <v>3314</v>
      </c>
      <c r="E695" s="3104" t="s">
        <v>463</v>
      </c>
      <c r="F695" s="3105">
        <v>51.62</v>
      </c>
      <c r="G695" s="3106" t="s">
        <v>3166</v>
      </c>
    </row>
    <row r="696" spans="1:7" ht="15" thickBot="1">
      <c r="A696" s="3103">
        <v>1363</v>
      </c>
      <c r="B696" s="3205" t="s">
        <v>3164</v>
      </c>
      <c r="C696" s="3206"/>
      <c r="D696" s="3104" t="s">
        <v>3315</v>
      </c>
      <c r="E696" s="3104" t="s">
        <v>463</v>
      </c>
      <c r="F696" s="3105">
        <v>88.69</v>
      </c>
      <c r="G696" s="3106" t="s">
        <v>3166</v>
      </c>
    </row>
    <row r="697" spans="1:7" ht="15" thickBot="1">
      <c r="A697" s="3103">
        <v>1364</v>
      </c>
      <c r="B697" s="3205" t="s">
        <v>3164</v>
      </c>
      <c r="C697" s="3206"/>
      <c r="D697" s="3104" t="s">
        <v>3316</v>
      </c>
      <c r="E697" s="3104" t="s">
        <v>463</v>
      </c>
      <c r="F697" s="3105">
        <v>61.24</v>
      </c>
      <c r="G697" s="3106" t="s">
        <v>3166</v>
      </c>
    </row>
    <row r="698" spans="1:7" ht="15" thickBot="1">
      <c r="A698" s="3103">
        <v>1365</v>
      </c>
      <c r="B698" s="3205" t="s">
        <v>3164</v>
      </c>
      <c r="C698" s="3206"/>
      <c r="D698" s="3104" t="s">
        <v>3317</v>
      </c>
      <c r="E698" s="3104" t="s">
        <v>463</v>
      </c>
      <c r="F698" s="3105">
        <v>51.62</v>
      </c>
      <c r="G698" s="3106" t="s">
        <v>3166</v>
      </c>
    </row>
    <row r="699" spans="1:7" ht="15" thickBot="1">
      <c r="A699" s="3103">
        <v>1366</v>
      </c>
      <c r="B699" s="3205" t="s">
        <v>3164</v>
      </c>
      <c r="C699" s="3206"/>
      <c r="D699" s="3104" t="s">
        <v>3318</v>
      </c>
      <c r="E699" s="3104" t="s">
        <v>463</v>
      </c>
      <c r="F699" s="3105">
        <v>88.69</v>
      </c>
      <c r="G699" s="3106" t="s">
        <v>3166</v>
      </c>
    </row>
    <row r="700" spans="1:7" ht="15" thickBot="1">
      <c r="A700" s="3103">
        <v>1367</v>
      </c>
      <c r="B700" s="3205" t="s">
        <v>3164</v>
      </c>
      <c r="C700" s="3206"/>
      <c r="D700" s="3104" t="s">
        <v>3319</v>
      </c>
      <c r="E700" s="3104" t="s">
        <v>463</v>
      </c>
      <c r="F700" s="3105">
        <v>61.24</v>
      </c>
      <c r="G700" s="3106" t="s">
        <v>3166</v>
      </c>
    </row>
    <row r="701" spans="1:7" ht="15" thickBot="1">
      <c r="A701" s="3103">
        <v>1368</v>
      </c>
      <c r="B701" s="3205" t="s">
        <v>3164</v>
      </c>
      <c r="C701" s="3206"/>
      <c r="D701" s="3104" t="s">
        <v>3320</v>
      </c>
      <c r="E701" s="3104" t="s">
        <v>463</v>
      </c>
      <c r="F701" s="3105">
        <v>51.62</v>
      </c>
      <c r="G701" s="3106" t="s">
        <v>3166</v>
      </c>
    </row>
    <row r="702" spans="1:7" ht="15" thickBot="1">
      <c r="A702" s="3103">
        <v>1369</v>
      </c>
      <c r="B702" s="3205" t="s">
        <v>3164</v>
      </c>
      <c r="C702" s="3206"/>
      <c r="D702" s="3104" t="s">
        <v>3321</v>
      </c>
      <c r="E702" s="3104" t="s">
        <v>463</v>
      </c>
      <c r="F702" s="3105">
        <v>50.42</v>
      </c>
      <c r="G702" s="3106" t="s">
        <v>3166</v>
      </c>
    </row>
    <row r="703" spans="1:7" ht="15" thickBot="1">
      <c r="A703" s="3103">
        <v>1370</v>
      </c>
      <c r="B703" s="3205" t="s">
        <v>3164</v>
      </c>
      <c r="C703" s="3206"/>
      <c r="D703" s="3104" t="s">
        <v>3322</v>
      </c>
      <c r="E703" s="3104" t="s">
        <v>463</v>
      </c>
      <c r="F703" s="3105">
        <v>50.12</v>
      </c>
      <c r="G703" s="3106" t="s">
        <v>3166</v>
      </c>
    </row>
    <row r="704" spans="1:7" ht="15" thickBot="1">
      <c r="A704" s="3103">
        <v>1371</v>
      </c>
      <c r="B704" s="3205" t="s">
        <v>3164</v>
      </c>
      <c r="C704" s="3206"/>
      <c r="D704" s="3104" t="s">
        <v>3323</v>
      </c>
      <c r="E704" s="3104" t="s">
        <v>463</v>
      </c>
      <c r="F704" s="3105">
        <v>49.78</v>
      </c>
      <c r="G704" s="3106" t="s">
        <v>3166</v>
      </c>
    </row>
    <row r="705" spans="1:7" ht="15" thickBot="1">
      <c r="A705" s="3103">
        <v>1372</v>
      </c>
      <c r="B705" s="3205" t="s">
        <v>3164</v>
      </c>
      <c r="C705" s="3206"/>
      <c r="D705" s="3104" t="s">
        <v>3324</v>
      </c>
      <c r="E705" s="3104" t="s">
        <v>463</v>
      </c>
      <c r="F705" s="3105">
        <v>50.42</v>
      </c>
      <c r="G705" s="3106" t="s">
        <v>3166</v>
      </c>
    </row>
    <row r="706" spans="1:7" ht="15" thickBot="1">
      <c r="A706" s="3103">
        <v>1373</v>
      </c>
      <c r="B706" s="3205" t="s">
        <v>3164</v>
      </c>
      <c r="C706" s="3206"/>
      <c r="D706" s="3104" t="s">
        <v>3325</v>
      </c>
      <c r="E706" s="3104" t="s">
        <v>463</v>
      </c>
      <c r="F706" s="3105">
        <v>50.12</v>
      </c>
      <c r="G706" s="3106" t="s">
        <v>3166</v>
      </c>
    </row>
    <row r="707" spans="1:7" ht="15" thickBot="1">
      <c r="A707" s="3103">
        <v>1374</v>
      </c>
      <c r="B707" s="3205" t="s">
        <v>3164</v>
      </c>
      <c r="C707" s="3206"/>
      <c r="D707" s="3104" t="s">
        <v>3326</v>
      </c>
      <c r="E707" s="3104" t="s">
        <v>463</v>
      </c>
      <c r="F707" s="3105">
        <v>49.78</v>
      </c>
      <c r="G707" s="3106" t="s">
        <v>3166</v>
      </c>
    </row>
    <row r="708" spans="1:7" ht="15" thickBot="1">
      <c r="A708" s="3103">
        <v>1375</v>
      </c>
      <c r="B708" s="3205" t="s">
        <v>3164</v>
      </c>
      <c r="C708" s="3206"/>
      <c r="D708" s="3104" t="s">
        <v>3327</v>
      </c>
      <c r="E708" s="3104" t="s">
        <v>463</v>
      </c>
      <c r="F708" s="3105">
        <v>50.42</v>
      </c>
      <c r="G708" s="3106" t="s">
        <v>3166</v>
      </c>
    </row>
    <row r="709" spans="1:7" ht="15" thickBot="1">
      <c r="A709" s="3103">
        <v>1376</v>
      </c>
      <c r="B709" s="3205" t="s">
        <v>3164</v>
      </c>
      <c r="C709" s="3206"/>
      <c r="D709" s="3104" t="s">
        <v>3328</v>
      </c>
      <c r="E709" s="3104" t="s">
        <v>463</v>
      </c>
      <c r="F709" s="3105">
        <v>50.12</v>
      </c>
      <c r="G709" s="3106" t="s">
        <v>3166</v>
      </c>
    </row>
    <row r="710" spans="1:7" ht="15" thickBot="1">
      <c r="A710" s="3103">
        <v>1377</v>
      </c>
      <c r="B710" s="3205" t="s">
        <v>3164</v>
      </c>
      <c r="C710" s="3206"/>
      <c r="D710" s="3104" t="s">
        <v>3329</v>
      </c>
      <c r="E710" s="3104" t="s">
        <v>463</v>
      </c>
      <c r="F710" s="3105">
        <v>49.78</v>
      </c>
      <c r="G710" s="3106" t="s">
        <v>3166</v>
      </c>
    </row>
    <row r="711" spans="1:7" ht="15" thickBot="1">
      <c r="A711" s="3103">
        <v>1378</v>
      </c>
      <c r="B711" s="3205" t="s">
        <v>3164</v>
      </c>
      <c r="C711" s="3206"/>
      <c r="D711" s="3104" t="s">
        <v>3330</v>
      </c>
      <c r="E711" s="3104" t="s">
        <v>463</v>
      </c>
      <c r="F711" s="3105">
        <v>50.42</v>
      </c>
      <c r="G711" s="3106" t="s">
        <v>3166</v>
      </c>
    </row>
    <row r="712" spans="1:7" ht="15" thickBot="1">
      <c r="A712" s="3103">
        <v>1379</v>
      </c>
      <c r="B712" s="3205" t="s">
        <v>3164</v>
      </c>
      <c r="C712" s="3206"/>
      <c r="D712" s="3104" t="s">
        <v>3331</v>
      </c>
      <c r="E712" s="3104" t="s">
        <v>463</v>
      </c>
      <c r="F712" s="3105">
        <v>50.12</v>
      </c>
      <c r="G712" s="3106" t="s">
        <v>3166</v>
      </c>
    </row>
    <row r="713" spans="1:7" ht="15" thickBot="1">
      <c r="A713" s="3103">
        <v>1380</v>
      </c>
      <c r="B713" s="3205" t="s">
        <v>3164</v>
      </c>
      <c r="C713" s="3206"/>
      <c r="D713" s="3104" t="s">
        <v>3332</v>
      </c>
      <c r="E713" s="3104" t="s">
        <v>463</v>
      </c>
      <c r="F713" s="3105">
        <v>49.78</v>
      </c>
      <c r="G713" s="3106" t="s">
        <v>3166</v>
      </c>
    </row>
    <row r="714" spans="1:7" ht="15" thickBot="1">
      <c r="A714" s="3103">
        <v>1381</v>
      </c>
      <c r="B714" s="3205" t="s">
        <v>3164</v>
      </c>
      <c r="C714" s="3206"/>
      <c r="D714" s="3104" t="s">
        <v>3333</v>
      </c>
      <c r="E714" s="3104" t="s">
        <v>463</v>
      </c>
      <c r="F714" s="3105">
        <v>50.42</v>
      </c>
      <c r="G714" s="3106" t="s">
        <v>3166</v>
      </c>
    </row>
    <row r="715" spans="1:7" ht="15" thickBot="1">
      <c r="A715" s="3103">
        <v>1382</v>
      </c>
      <c r="B715" s="3205" t="s">
        <v>3164</v>
      </c>
      <c r="C715" s="3206"/>
      <c r="D715" s="3104" t="s">
        <v>3334</v>
      </c>
      <c r="E715" s="3104" t="s">
        <v>463</v>
      </c>
      <c r="F715" s="3105">
        <v>50.12</v>
      </c>
      <c r="G715" s="3106" t="s">
        <v>3166</v>
      </c>
    </row>
    <row r="716" spans="1:7" ht="15" thickBot="1">
      <c r="A716" s="3103">
        <v>1383</v>
      </c>
      <c r="B716" s="3205" t="s">
        <v>3164</v>
      </c>
      <c r="C716" s="3206"/>
      <c r="D716" s="3104" t="s">
        <v>3335</v>
      </c>
      <c r="E716" s="3104" t="s">
        <v>463</v>
      </c>
      <c r="F716" s="3105">
        <v>49.78</v>
      </c>
      <c r="G716" s="3106" t="s">
        <v>3166</v>
      </c>
    </row>
    <row r="717" spans="1:7" ht="15" thickBot="1">
      <c r="A717" s="3103">
        <v>1384</v>
      </c>
      <c r="B717" s="3205" t="s">
        <v>3164</v>
      </c>
      <c r="C717" s="3206"/>
      <c r="D717" s="3104" t="s">
        <v>3336</v>
      </c>
      <c r="E717" s="3104" t="s">
        <v>463</v>
      </c>
      <c r="F717" s="3105">
        <v>50.42</v>
      </c>
      <c r="G717" s="3106" t="s">
        <v>3166</v>
      </c>
    </row>
    <row r="718" spans="1:7" ht="15" thickBot="1">
      <c r="A718" s="3103">
        <v>1385</v>
      </c>
      <c r="B718" s="3205" t="s">
        <v>3164</v>
      </c>
      <c r="C718" s="3206"/>
      <c r="D718" s="3104" t="s">
        <v>3337</v>
      </c>
      <c r="E718" s="3104" t="s">
        <v>463</v>
      </c>
      <c r="F718" s="3105">
        <v>50.12</v>
      </c>
      <c r="G718" s="3106" t="s">
        <v>3166</v>
      </c>
    </row>
    <row r="719" spans="1:7" ht="15" thickBot="1">
      <c r="A719" s="3103">
        <v>1386</v>
      </c>
      <c r="B719" s="3205" t="s">
        <v>3164</v>
      </c>
      <c r="C719" s="3206"/>
      <c r="D719" s="3104" t="s">
        <v>3338</v>
      </c>
      <c r="E719" s="3104" t="s">
        <v>463</v>
      </c>
      <c r="F719" s="3105">
        <v>49.94</v>
      </c>
      <c r="G719" s="3106" t="s">
        <v>3166</v>
      </c>
    </row>
    <row r="720" spans="1:7" ht="15" thickBot="1">
      <c r="A720" s="3103">
        <v>1387</v>
      </c>
      <c r="B720" s="3205" t="s">
        <v>3164</v>
      </c>
      <c r="C720" s="3206"/>
      <c r="D720" s="3104" t="s">
        <v>3339</v>
      </c>
      <c r="E720" s="3104" t="s">
        <v>463</v>
      </c>
      <c r="F720" s="3105">
        <v>49.78</v>
      </c>
      <c r="G720" s="3106" t="s">
        <v>3166</v>
      </c>
    </row>
    <row r="721" spans="1:7" ht="15" thickBot="1">
      <c r="A721" s="3103">
        <v>1388</v>
      </c>
      <c r="B721" s="3205" t="s">
        <v>3164</v>
      </c>
      <c r="C721" s="3206"/>
      <c r="D721" s="3104" t="s">
        <v>3340</v>
      </c>
      <c r="E721" s="3104" t="s">
        <v>463</v>
      </c>
      <c r="F721" s="3105">
        <v>50.12</v>
      </c>
      <c r="G721" s="3106" t="s">
        <v>3166</v>
      </c>
    </row>
    <row r="722" spans="1:7" ht="15" thickBot="1">
      <c r="A722" s="3103">
        <v>1389</v>
      </c>
      <c r="B722" s="3205" t="s">
        <v>3164</v>
      </c>
      <c r="C722" s="3206"/>
      <c r="D722" s="3104" t="s">
        <v>3341</v>
      </c>
      <c r="E722" s="3104" t="s">
        <v>463</v>
      </c>
      <c r="F722" s="3105">
        <v>49.94</v>
      </c>
      <c r="G722" s="3106" t="s">
        <v>3166</v>
      </c>
    </row>
    <row r="723" spans="1:7" ht="15" thickBot="1">
      <c r="A723" s="3103">
        <v>1390</v>
      </c>
      <c r="B723" s="3205" t="s">
        <v>3164</v>
      </c>
      <c r="C723" s="3206"/>
      <c r="D723" s="3104" t="s">
        <v>3342</v>
      </c>
      <c r="E723" s="3104" t="s">
        <v>463</v>
      </c>
      <c r="F723" s="3105">
        <v>50.42</v>
      </c>
      <c r="G723" s="3106" t="s">
        <v>3166</v>
      </c>
    </row>
    <row r="724" spans="1:7" ht="15" thickBot="1">
      <c r="A724" s="3103">
        <v>1391</v>
      </c>
      <c r="B724" s="3205" t="s">
        <v>3164</v>
      </c>
      <c r="C724" s="3206"/>
      <c r="D724" s="3104" t="s">
        <v>3343</v>
      </c>
      <c r="E724" s="3104" t="s">
        <v>463</v>
      </c>
      <c r="F724" s="3105">
        <v>50.12</v>
      </c>
      <c r="G724" s="3106" t="s">
        <v>3166</v>
      </c>
    </row>
    <row r="725" spans="1:7" ht="15" thickBot="1">
      <c r="A725" s="3103">
        <v>1392</v>
      </c>
      <c r="B725" s="3205" t="s">
        <v>3164</v>
      </c>
      <c r="C725" s="3206"/>
      <c r="D725" s="3104" t="s">
        <v>3344</v>
      </c>
      <c r="E725" s="3104" t="s">
        <v>463</v>
      </c>
      <c r="F725" s="3105">
        <v>49.94</v>
      </c>
      <c r="G725" s="3106" t="s">
        <v>3166</v>
      </c>
    </row>
    <row r="726" spans="1:7" ht="15" thickBot="1">
      <c r="A726" s="3103">
        <v>1393</v>
      </c>
      <c r="B726" s="3205" t="s">
        <v>3164</v>
      </c>
      <c r="C726" s="3206"/>
      <c r="D726" s="3104" t="s">
        <v>3345</v>
      </c>
      <c r="E726" s="3104" t="s">
        <v>463</v>
      </c>
      <c r="F726" s="3105">
        <v>49.78</v>
      </c>
      <c r="G726" s="3106" t="s">
        <v>3166</v>
      </c>
    </row>
    <row r="727" spans="1:7" ht="15" thickBot="1">
      <c r="A727" s="3103">
        <v>1394</v>
      </c>
      <c r="B727" s="3205" t="s">
        <v>3164</v>
      </c>
      <c r="C727" s="3206"/>
      <c r="D727" s="3104" t="s">
        <v>3346</v>
      </c>
      <c r="E727" s="3104" t="s">
        <v>463</v>
      </c>
      <c r="F727" s="3105">
        <v>50.12</v>
      </c>
      <c r="G727" s="3106" t="s">
        <v>3166</v>
      </c>
    </row>
    <row r="728" spans="1:7" ht="15" thickBot="1">
      <c r="A728" s="3103">
        <v>1395</v>
      </c>
      <c r="B728" s="3205" t="s">
        <v>3164</v>
      </c>
      <c r="C728" s="3206"/>
      <c r="D728" s="3104" t="s">
        <v>3347</v>
      </c>
      <c r="E728" s="3104" t="s">
        <v>463</v>
      </c>
      <c r="F728" s="3105">
        <v>49.94</v>
      </c>
      <c r="G728" s="3106" t="s">
        <v>3166</v>
      </c>
    </row>
    <row r="729" spans="1:7" ht="15" thickBot="1">
      <c r="A729" s="3103">
        <v>1396</v>
      </c>
      <c r="B729" s="3205" t="s">
        <v>3164</v>
      </c>
      <c r="C729" s="3206"/>
      <c r="D729" s="3104" t="s">
        <v>3348</v>
      </c>
      <c r="E729" s="3104" t="s">
        <v>463</v>
      </c>
      <c r="F729" s="3105">
        <v>49.78</v>
      </c>
      <c r="G729" s="3106" t="s">
        <v>3166</v>
      </c>
    </row>
    <row r="730" spans="1:7" ht="15" thickBot="1">
      <c r="A730" s="3103">
        <v>1397</v>
      </c>
      <c r="B730" s="3205" t="s">
        <v>3164</v>
      </c>
      <c r="C730" s="3206"/>
      <c r="D730" s="3104" t="s">
        <v>3349</v>
      </c>
      <c r="E730" s="3104" t="s">
        <v>463</v>
      </c>
      <c r="F730" s="3105">
        <v>50.12</v>
      </c>
      <c r="G730" s="3106" t="s">
        <v>3166</v>
      </c>
    </row>
    <row r="731" spans="1:7" ht="15" thickBot="1">
      <c r="A731" s="3103">
        <v>1398</v>
      </c>
      <c r="B731" s="3205" t="s">
        <v>3164</v>
      </c>
      <c r="C731" s="3206"/>
      <c r="D731" s="3104" t="s">
        <v>3350</v>
      </c>
      <c r="E731" s="3104" t="s">
        <v>463</v>
      </c>
      <c r="F731" s="3105">
        <v>49.94</v>
      </c>
      <c r="G731" s="3106" t="s">
        <v>3166</v>
      </c>
    </row>
    <row r="732" spans="1:7" ht="15" thickBot="1">
      <c r="A732" s="3103">
        <v>1399</v>
      </c>
      <c r="B732" s="3205" t="s">
        <v>3164</v>
      </c>
      <c r="C732" s="3206"/>
      <c r="D732" s="3104" t="s">
        <v>3351</v>
      </c>
      <c r="E732" s="3104" t="s">
        <v>463</v>
      </c>
      <c r="F732" s="3105">
        <v>49.78</v>
      </c>
      <c r="G732" s="3106" t="s">
        <v>3166</v>
      </c>
    </row>
    <row r="733" spans="1:7" ht="15" thickBot="1">
      <c r="A733" s="3103">
        <v>1400</v>
      </c>
      <c r="B733" s="3205" t="s">
        <v>3164</v>
      </c>
      <c r="C733" s="3206"/>
      <c r="D733" s="3104" t="s">
        <v>3352</v>
      </c>
      <c r="E733" s="3104" t="s">
        <v>463</v>
      </c>
      <c r="F733" s="3105">
        <v>50.12</v>
      </c>
      <c r="G733" s="3106" t="s">
        <v>3166</v>
      </c>
    </row>
    <row r="734" spans="1:7" ht="15" thickBot="1">
      <c r="A734" s="3103">
        <v>1401</v>
      </c>
      <c r="B734" s="3205" t="s">
        <v>3164</v>
      </c>
      <c r="C734" s="3206"/>
      <c r="D734" s="3104" t="s">
        <v>3353</v>
      </c>
      <c r="E734" s="3104" t="s">
        <v>463</v>
      </c>
      <c r="F734" s="3105">
        <v>49.94</v>
      </c>
      <c r="G734" s="3106" t="s">
        <v>3166</v>
      </c>
    </row>
    <row r="735" spans="1:7" ht="15" thickBot="1">
      <c r="A735" s="3103">
        <v>1402</v>
      </c>
      <c r="B735" s="3205" t="s">
        <v>3164</v>
      </c>
      <c r="C735" s="3206"/>
      <c r="D735" s="3104" t="s">
        <v>3354</v>
      </c>
      <c r="E735" s="3104" t="s">
        <v>463</v>
      </c>
      <c r="F735" s="3105">
        <v>49.78</v>
      </c>
      <c r="G735" s="3106" t="s">
        <v>3166</v>
      </c>
    </row>
    <row r="736" spans="1:7" ht="15" thickBot="1">
      <c r="A736" s="3103">
        <v>1403</v>
      </c>
      <c r="B736" s="3205" t="s">
        <v>3164</v>
      </c>
      <c r="C736" s="3206"/>
      <c r="D736" s="3104" t="s">
        <v>3355</v>
      </c>
      <c r="E736" s="3104" t="s">
        <v>463</v>
      </c>
      <c r="F736" s="3105">
        <v>50.12</v>
      </c>
      <c r="G736" s="3106" t="s">
        <v>3166</v>
      </c>
    </row>
    <row r="737" spans="1:7" ht="15" thickBot="1">
      <c r="A737" s="3103">
        <v>1404</v>
      </c>
      <c r="B737" s="3205" t="s">
        <v>3164</v>
      </c>
      <c r="C737" s="3206"/>
      <c r="D737" s="3104" t="s">
        <v>3356</v>
      </c>
      <c r="E737" s="3104" t="s">
        <v>463</v>
      </c>
      <c r="F737" s="3105">
        <v>49.94</v>
      </c>
      <c r="G737" s="3106" t="s">
        <v>3166</v>
      </c>
    </row>
    <row r="738" spans="1:7" ht="15" thickBot="1">
      <c r="A738" s="3103">
        <v>1405</v>
      </c>
      <c r="B738" s="3205" t="s">
        <v>3164</v>
      </c>
      <c r="C738" s="3206"/>
      <c r="D738" s="3104" t="s">
        <v>3357</v>
      </c>
      <c r="E738" s="3104" t="s">
        <v>463</v>
      </c>
      <c r="F738" s="3105">
        <v>50.42</v>
      </c>
      <c r="G738" s="3106" t="s">
        <v>3166</v>
      </c>
    </row>
    <row r="739" spans="1:7" ht="15" thickBot="1">
      <c r="A739" s="3103">
        <v>1406</v>
      </c>
      <c r="B739" s="3205" t="s">
        <v>3164</v>
      </c>
      <c r="C739" s="3206"/>
      <c r="D739" s="3104" t="s">
        <v>3358</v>
      </c>
      <c r="E739" s="3104" t="s">
        <v>463</v>
      </c>
      <c r="F739" s="3105">
        <v>50.12</v>
      </c>
      <c r="G739" s="3106" t="s">
        <v>3166</v>
      </c>
    </row>
    <row r="740" spans="1:7" ht="15" thickBot="1">
      <c r="A740" s="3103">
        <v>1407</v>
      </c>
      <c r="B740" s="3205" t="s">
        <v>3164</v>
      </c>
      <c r="C740" s="3206"/>
      <c r="D740" s="3104" t="s">
        <v>3359</v>
      </c>
      <c r="E740" s="3104" t="s">
        <v>463</v>
      </c>
      <c r="F740" s="3105">
        <v>49.94</v>
      </c>
      <c r="G740" s="3106" t="s">
        <v>3166</v>
      </c>
    </row>
    <row r="741" spans="1:7" ht="15" thickBot="1">
      <c r="A741" s="3103">
        <v>1408</v>
      </c>
      <c r="B741" s="3205" t="s">
        <v>3164</v>
      </c>
      <c r="C741" s="3206"/>
      <c r="D741" s="3104" t="s">
        <v>3360</v>
      </c>
      <c r="E741" s="3104" t="s">
        <v>463</v>
      </c>
      <c r="F741" s="3105">
        <v>50.42</v>
      </c>
      <c r="G741" s="3106" t="s">
        <v>3166</v>
      </c>
    </row>
    <row r="742" spans="1:7" ht="15" thickBot="1">
      <c r="A742" s="3103">
        <v>1409</v>
      </c>
      <c r="B742" s="3205" t="s">
        <v>3164</v>
      </c>
      <c r="C742" s="3206"/>
      <c r="D742" s="3104" t="s">
        <v>3361</v>
      </c>
      <c r="E742" s="3104" t="s">
        <v>463</v>
      </c>
      <c r="F742" s="3105">
        <v>50.12</v>
      </c>
      <c r="G742" s="3106" t="s">
        <v>3166</v>
      </c>
    </row>
    <row r="743" spans="1:7" ht="15" thickBot="1">
      <c r="A743" s="3103">
        <v>1410</v>
      </c>
      <c r="B743" s="3205" t="s">
        <v>3164</v>
      </c>
      <c r="C743" s="3206"/>
      <c r="D743" s="3104" t="s">
        <v>3362</v>
      </c>
      <c r="E743" s="3104" t="s">
        <v>463</v>
      </c>
      <c r="F743" s="3105">
        <v>49.94</v>
      </c>
      <c r="G743" s="3106" t="s">
        <v>3166</v>
      </c>
    </row>
    <row r="744" spans="1:7" ht="15" thickBot="1">
      <c r="A744" s="3103">
        <v>1411</v>
      </c>
      <c r="B744" s="3205" t="s">
        <v>3164</v>
      </c>
      <c r="C744" s="3206"/>
      <c r="D744" s="3104" t="s">
        <v>3363</v>
      </c>
      <c r="E744" s="3104" t="s">
        <v>463</v>
      </c>
      <c r="F744" s="3105">
        <v>50.42</v>
      </c>
      <c r="G744" s="3106" t="s">
        <v>3166</v>
      </c>
    </row>
    <row r="745" spans="1:7" ht="15" thickBot="1">
      <c r="A745" s="3103">
        <v>1412</v>
      </c>
      <c r="B745" s="3205" t="s">
        <v>3164</v>
      </c>
      <c r="C745" s="3206"/>
      <c r="D745" s="3104" t="s">
        <v>3364</v>
      </c>
      <c r="E745" s="3104" t="s">
        <v>463</v>
      </c>
      <c r="F745" s="3105">
        <v>50.12</v>
      </c>
      <c r="G745" s="3106" t="s">
        <v>3166</v>
      </c>
    </row>
    <row r="746" spans="1:7" ht="15" thickBot="1">
      <c r="A746" s="3103">
        <v>1413</v>
      </c>
      <c r="B746" s="3205" t="s">
        <v>3164</v>
      </c>
      <c r="C746" s="3206"/>
      <c r="D746" s="3104" t="s">
        <v>3365</v>
      </c>
      <c r="E746" s="3104" t="s">
        <v>463</v>
      </c>
      <c r="F746" s="3105">
        <v>49.94</v>
      </c>
      <c r="G746" s="3106" t="s">
        <v>3166</v>
      </c>
    </row>
    <row r="747" spans="1:7" ht="15" thickBot="1">
      <c r="A747" s="3103">
        <v>1414</v>
      </c>
      <c r="B747" s="3205" t="s">
        <v>3164</v>
      </c>
      <c r="C747" s="3206"/>
      <c r="D747" s="3104" t="s">
        <v>3366</v>
      </c>
      <c r="E747" s="3104" t="s">
        <v>463</v>
      </c>
      <c r="F747" s="3105">
        <v>50.42</v>
      </c>
      <c r="G747" s="3106" t="s">
        <v>3166</v>
      </c>
    </row>
    <row r="748" spans="1:7" ht="15" thickBot="1">
      <c r="A748" s="3103">
        <v>1415</v>
      </c>
      <c r="B748" s="3205" t="s">
        <v>3164</v>
      </c>
      <c r="C748" s="3206"/>
      <c r="D748" s="3104" t="s">
        <v>3367</v>
      </c>
      <c r="E748" s="3104" t="s">
        <v>463</v>
      </c>
      <c r="F748" s="3105">
        <v>50.12</v>
      </c>
      <c r="G748" s="3106" t="s">
        <v>3166</v>
      </c>
    </row>
    <row r="749" spans="1:7" ht="15" thickBot="1">
      <c r="A749" s="3103">
        <v>1416</v>
      </c>
      <c r="B749" s="3205" t="s">
        <v>3164</v>
      </c>
      <c r="C749" s="3206"/>
      <c r="D749" s="3104" t="s">
        <v>3368</v>
      </c>
      <c r="E749" s="3104" t="s">
        <v>463</v>
      </c>
      <c r="F749" s="3105">
        <v>49.94</v>
      </c>
      <c r="G749" s="3106" t="s">
        <v>3166</v>
      </c>
    </row>
    <row r="750" spans="1:7" ht="15" thickBot="1">
      <c r="A750" s="3103">
        <v>1417</v>
      </c>
      <c r="B750" s="3205" t="s">
        <v>3164</v>
      </c>
      <c r="C750" s="3206"/>
      <c r="D750" s="3104" t="s">
        <v>3369</v>
      </c>
      <c r="E750" s="3104" t="s">
        <v>463</v>
      </c>
      <c r="F750" s="3105">
        <v>49.24</v>
      </c>
      <c r="G750" s="3106" t="s">
        <v>3166</v>
      </c>
    </row>
    <row r="751" spans="1:7" ht="15" thickBot="1">
      <c r="A751" s="3103">
        <v>1418</v>
      </c>
      <c r="B751" s="3205" t="s">
        <v>3164</v>
      </c>
      <c r="C751" s="3206"/>
      <c r="D751" s="3104" t="s">
        <v>3370</v>
      </c>
      <c r="E751" s="3104" t="s">
        <v>463</v>
      </c>
      <c r="F751" s="3105">
        <v>49.94</v>
      </c>
      <c r="G751" s="3106" t="s">
        <v>3166</v>
      </c>
    </row>
    <row r="752" spans="1:7" ht="15" thickBot="1">
      <c r="A752" s="3103">
        <v>1419</v>
      </c>
      <c r="B752" s="3205" t="s">
        <v>3164</v>
      </c>
      <c r="C752" s="3206"/>
      <c r="D752" s="3104" t="s">
        <v>3371</v>
      </c>
      <c r="E752" s="3104" t="s">
        <v>463</v>
      </c>
      <c r="F752" s="3105">
        <v>49.99</v>
      </c>
      <c r="G752" s="3106" t="s">
        <v>3166</v>
      </c>
    </row>
    <row r="753" spans="1:7" ht="15" thickBot="1">
      <c r="A753" s="3103">
        <v>1420</v>
      </c>
      <c r="B753" s="3205" t="s">
        <v>3164</v>
      </c>
      <c r="C753" s="3206"/>
      <c r="D753" s="3104" t="s">
        <v>3372</v>
      </c>
      <c r="E753" s="3104" t="s">
        <v>463</v>
      </c>
      <c r="F753" s="3105">
        <v>64.099999999999994</v>
      </c>
      <c r="G753" s="3106" t="s">
        <v>3166</v>
      </c>
    </row>
    <row r="754" spans="1:7" ht="15" thickBot="1">
      <c r="A754" s="3103">
        <v>1421</v>
      </c>
      <c r="B754" s="3205" t="s">
        <v>3164</v>
      </c>
      <c r="C754" s="3206"/>
      <c r="D754" s="3104" t="s">
        <v>3373</v>
      </c>
      <c r="E754" s="3104" t="s">
        <v>463</v>
      </c>
      <c r="F754" s="3105">
        <v>64.2</v>
      </c>
      <c r="G754" s="3106" t="s">
        <v>3166</v>
      </c>
    </row>
    <row r="755" spans="1:7" ht="15" thickBot="1">
      <c r="A755" s="3103">
        <v>1422</v>
      </c>
      <c r="B755" s="3205" t="s">
        <v>3164</v>
      </c>
      <c r="C755" s="3206"/>
      <c r="D755" s="3104" t="s">
        <v>3374</v>
      </c>
      <c r="E755" s="3104" t="s">
        <v>463</v>
      </c>
      <c r="F755" s="3105">
        <v>88.92</v>
      </c>
      <c r="G755" s="3106" t="s">
        <v>3166</v>
      </c>
    </row>
    <row r="756" spans="1:7" ht="15" thickBot="1">
      <c r="A756" s="3103">
        <v>1423</v>
      </c>
      <c r="B756" s="3205" t="s">
        <v>3164</v>
      </c>
      <c r="C756" s="3206"/>
      <c r="D756" s="3104" t="s">
        <v>3375</v>
      </c>
      <c r="E756" s="3104" t="s">
        <v>463</v>
      </c>
      <c r="F756" s="3105">
        <v>49.08</v>
      </c>
      <c r="G756" s="3106" t="s">
        <v>3166</v>
      </c>
    </row>
    <row r="757" spans="1:7" ht="15" thickBot="1">
      <c r="A757" s="3103">
        <v>1424</v>
      </c>
      <c r="B757" s="3205" t="s">
        <v>3164</v>
      </c>
      <c r="C757" s="3206"/>
      <c r="D757" s="3104" t="s">
        <v>3376</v>
      </c>
      <c r="E757" s="3104" t="s">
        <v>463</v>
      </c>
      <c r="F757" s="3105">
        <v>49.94</v>
      </c>
      <c r="G757" s="3106" t="s">
        <v>3166</v>
      </c>
    </row>
    <row r="758" spans="1:7" ht="15" thickBot="1">
      <c r="A758" s="3103">
        <v>1425</v>
      </c>
      <c r="B758" s="3205" t="s">
        <v>3164</v>
      </c>
      <c r="C758" s="3206"/>
      <c r="D758" s="3104" t="s">
        <v>3377</v>
      </c>
      <c r="E758" s="3104" t="s">
        <v>463</v>
      </c>
      <c r="F758" s="3105">
        <v>49.99</v>
      </c>
      <c r="G758" s="3106" t="s">
        <v>3166</v>
      </c>
    </row>
    <row r="759" spans="1:7" ht="15" thickBot="1">
      <c r="A759" s="3103">
        <v>1426</v>
      </c>
      <c r="B759" s="3205" t="s">
        <v>3164</v>
      </c>
      <c r="C759" s="3206"/>
      <c r="D759" s="3104" t="s">
        <v>3378</v>
      </c>
      <c r="E759" s="3104" t="s">
        <v>463</v>
      </c>
      <c r="F759" s="3105">
        <v>64.099999999999994</v>
      </c>
      <c r="G759" s="3106" t="s">
        <v>3166</v>
      </c>
    </row>
    <row r="760" spans="1:7" ht="15" thickBot="1">
      <c r="A760" s="3103">
        <v>1427</v>
      </c>
      <c r="B760" s="3205" t="s">
        <v>3164</v>
      </c>
      <c r="C760" s="3206"/>
      <c r="D760" s="3104" t="s">
        <v>3379</v>
      </c>
      <c r="E760" s="3104" t="s">
        <v>463</v>
      </c>
      <c r="F760" s="3105">
        <v>64.2</v>
      </c>
      <c r="G760" s="3106" t="s">
        <v>3166</v>
      </c>
    </row>
    <row r="761" spans="1:7" ht="15" thickBot="1">
      <c r="A761" s="3103">
        <v>1428</v>
      </c>
      <c r="B761" s="3205" t="s">
        <v>3164</v>
      </c>
      <c r="C761" s="3206"/>
      <c r="D761" s="3104" t="s">
        <v>3380</v>
      </c>
      <c r="E761" s="3104" t="s">
        <v>463</v>
      </c>
      <c r="F761" s="3105">
        <v>88.84</v>
      </c>
      <c r="G761" s="3106" t="s">
        <v>3166</v>
      </c>
    </row>
    <row r="762" spans="1:7" ht="15" thickBot="1">
      <c r="A762" s="3103">
        <v>1429</v>
      </c>
      <c r="B762" s="3205" t="s">
        <v>3164</v>
      </c>
      <c r="C762" s="3206"/>
      <c r="D762" s="3104" t="s">
        <v>3381</v>
      </c>
      <c r="E762" s="3104" t="s">
        <v>463</v>
      </c>
      <c r="F762" s="3105">
        <v>49.24</v>
      </c>
      <c r="G762" s="3106" t="s">
        <v>3166</v>
      </c>
    </row>
    <row r="763" spans="1:7" ht="15" thickBot="1">
      <c r="A763" s="3103">
        <v>1430</v>
      </c>
      <c r="B763" s="3205" t="s">
        <v>3164</v>
      </c>
      <c r="C763" s="3206"/>
      <c r="D763" s="3104" t="s">
        <v>3382</v>
      </c>
      <c r="E763" s="3104" t="s">
        <v>463</v>
      </c>
      <c r="F763" s="3105">
        <v>49.94</v>
      </c>
      <c r="G763" s="3106" t="s">
        <v>3166</v>
      </c>
    </row>
    <row r="764" spans="1:7" ht="15" thickBot="1">
      <c r="A764" s="3103">
        <v>1431</v>
      </c>
      <c r="B764" s="3205" t="s">
        <v>3164</v>
      </c>
      <c r="C764" s="3206"/>
      <c r="D764" s="3104" t="s">
        <v>3383</v>
      </c>
      <c r="E764" s="3104" t="s">
        <v>463</v>
      </c>
      <c r="F764" s="3105">
        <v>49.99</v>
      </c>
      <c r="G764" s="3106" t="s">
        <v>3166</v>
      </c>
    </row>
    <row r="765" spans="1:7" ht="15" thickBot="1">
      <c r="A765" s="3103">
        <v>1432</v>
      </c>
      <c r="B765" s="3205" t="s">
        <v>3164</v>
      </c>
      <c r="C765" s="3206"/>
      <c r="D765" s="3104" t="s">
        <v>3384</v>
      </c>
      <c r="E765" s="3104" t="s">
        <v>463</v>
      </c>
      <c r="F765" s="3105">
        <v>64.099999999999994</v>
      </c>
      <c r="G765" s="3106" t="s">
        <v>3166</v>
      </c>
    </row>
    <row r="766" spans="1:7" ht="15" thickBot="1">
      <c r="A766" s="3103">
        <v>1433</v>
      </c>
      <c r="B766" s="3205" t="s">
        <v>3164</v>
      </c>
      <c r="C766" s="3206"/>
      <c r="D766" s="3104" t="s">
        <v>3385</v>
      </c>
      <c r="E766" s="3104" t="s">
        <v>463</v>
      </c>
      <c r="F766" s="3105">
        <v>64.2</v>
      </c>
      <c r="G766" s="3106" t="s">
        <v>3166</v>
      </c>
    </row>
    <row r="767" spans="1:7" ht="15" thickBot="1">
      <c r="A767" s="3103">
        <v>1434</v>
      </c>
      <c r="B767" s="3205" t="s">
        <v>3164</v>
      </c>
      <c r="C767" s="3206"/>
      <c r="D767" s="3104" t="s">
        <v>3386</v>
      </c>
      <c r="E767" s="3104" t="s">
        <v>463</v>
      </c>
      <c r="F767" s="3105">
        <v>88.92</v>
      </c>
      <c r="G767" s="3106" t="s">
        <v>3166</v>
      </c>
    </row>
    <row r="768" spans="1:7" ht="15" thickBot="1">
      <c r="A768" s="3103">
        <v>1435</v>
      </c>
      <c r="B768" s="3205" t="s">
        <v>3164</v>
      </c>
      <c r="C768" s="3206"/>
      <c r="D768" s="3104" t="s">
        <v>3387</v>
      </c>
      <c r="E768" s="3104" t="s">
        <v>463</v>
      </c>
      <c r="F768" s="3105">
        <v>49.7</v>
      </c>
      <c r="G768" s="3106" t="s">
        <v>3166</v>
      </c>
    </row>
    <row r="769" spans="1:7" ht="15" thickBot="1">
      <c r="A769" s="3103">
        <v>1436</v>
      </c>
      <c r="B769" s="3205" t="s">
        <v>3164</v>
      </c>
      <c r="C769" s="3206"/>
      <c r="D769" s="3104" t="s">
        <v>3388</v>
      </c>
      <c r="E769" s="3104" t="s">
        <v>463</v>
      </c>
      <c r="F769" s="3105">
        <v>49.94</v>
      </c>
      <c r="G769" s="3106" t="s">
        <v>3166</v>
      </c>
    </row>
    <row r="770" spans="1:7" ht="15" thickBot="1">
      <c r="A770" s="3103">
        <v>1437</v>
      </c>
      <c r="B770" s="3205" t="s">
        <v>3164</v>
      </c>
      <c r="C770" s="3206"/>
      <c r="D770" s="3104" t="s">
        <v>3389</v>
      </c>
      <c r="E770" s="3104" t="s">
        <v>463</v>
      </c>
      <c r="F770" s="3105">
        <v>49.99</v>
      </c>
      <c r="G770" s="3106" t="s">
        <v>3166</v>
      </c>
    </row>
    <row r="771" spans="1:7" ht="15" thickBot="1">
      <c r="A771" s="3103">
        <v>1438</v>
      </c>
      <c r="B771" s="3205" t="s">
        <v>3164</v>
      </c>
      <c r="C771" s="3206"/>
      <c r="D771" s="3104" t="s">
        <v>3390</v>
      </c>
      <c r="E771" s="3104" t="s">
        <v>463</v>
      </c>
      <c r="F771" s="3105">
        <v>64.099999999999994</v>
      </c>
      <c r="G771" s="3106" t="s">
        <v>3166</v>
      </c>
    </row>
    <row r="772" spans="1:7" ht="15" thickBot="1">
      <c r="A772" s="3103">
        <v>1439</v>
      </c>
      <c r="B772" s="3205" t="s">
        <v>3164</v>
      </c>
      <c r="C772" s="3206"/>
      <c r="D772" s="3104" t="s">
        <v>3391</v>
      </c>
      <c r="E772" s="3104" t="s">
        <v>463</v>
      </c>
      <c r="F772" s="3105">
        <v>64.2</v>
      </c>
      <c r="G772" s="3106" t="s">
        <v>3166</v>
      </c>
    </row>
    <row r="773" spans="1:7" ht="15" thickBot="1">
      <c r="A773" s="3103">
        <v>1440</v>
      </c>
      <c r="B773" s="3205" t="s">
        <v>3164</v>
      </c>
      <c r="C773" s="3206"/>
      <c r="D773" s="3104" t="s">
        <v>3392</v>
      </c>
      <c r="E773" s="3104" t="s">
        <v>463</v>
      </c>
      <c r="F773" s="3105">
        <v>88.92</v>
      </c>
      <c r="G773" s="3106" t="s">
        <v>3166</v>
      </c>
    </row>
    <row r="774" spans="1:7" ht="15" thickBot="1">
      <c r="A774" s="3103">
        <v>1441</v>
      </c>
      <c r="B774" s="3205" t="s">
        <v>3164</v>
      </c>
      <c r="C774" s="3206"/>
      <c r="D774" s="3104" t="s">
        <v>3393</v>
      </c>
      <c r="E774" s="3104" t="s">
        <v>463</v>
      </c>
      <c r="F774" s="3105">
        <v>49.7</v>
      </c>
      <c r="G774" s="3106" t="s">
        <v>3166</v>
      </c>
    </row>
    <row r="775" spans="1:7" ht="15" thickBot="1">
      <c r="A775" s="3103">
        <v>1442</v>
      </c>
      <c r="B775" s="3205" t="s">
        <v>3164</v>
      </c>
      <c r="C775" s="3206"/>
      <c r="D775" s="3104" t="s">
        <v>3394</v>
      </c>
      <c r="E775" s="3104" t="s">
        <v>463</v>
      </c>
      <c r="F775" s="3105">
        <v>49.94</v>
      </c>
      <c r="G775" s="3106" t="s">
        <v>3166</v>
      </c>
    </row>
    <row r="776" spans="1:7" ht="15" thickBot="1">
      <c r="A776" s="3103">
        <v>1443</v>
      </c>
      <c r="B776" s="3205" t="s">
        <v>3164</v>
      </c>
      <c r="C776" s="3206"/>
      <c r="D776" s="3104" t="s">
        <v>3395</v>
      </c>
      <c r="E776" s="3104" t="s">
        <v>463</v>
      </c>
      <c r="F776" s="3105">
        <v>49.99</v>
      </c>
      <c r="G776" s="3106" t="s">
        <v>3166</v>
      </c>
    </row>
    <row r="777" spans="1:7" ht="15" thickBot="1">
      <c r="A777" s="3103">
        <v>1444</v>
      </c>
      <c r="B777" s="3205" t="s">
        <v>3164</v>
      </c>
      <c r="C777" s="3206"/>
      <c r="D777" s="3104" t="s">
        <v>3396</v>
      </c>
      <c r="E777" s="3104" t="s">
        <v>463</v>
      </c>
      <c r="F777" s="3105">
        <v>64.099999999999994</v>
      </c>
      <c r="G777" s="3106" t="s">
        <v>3166</v>
      </c>
    </row>
    <row r="778" spans="1:7" ht="15" thickBot="1">
      <c r="A778" s="3103">
        <v>1445</v>
      </c>
      <c r="B778" s="3205" t="s">
        <v>3164</v>
      </c>
      <c r="C778" s="3206"/>
      <c r="D778" s="3104" t="s">
        <v>3397</v>
      </c>
      <c r="E778" s="3104" t="s">
        <v>463</v>
      </c>
      <c r="F778" s="3105">
        <v>64.2</v>
      </c>
      <c r="G778" s="3106" t="s">
        <v>3166</v>
      </c>
    </row>
    <row r="779" spans="1:7" ht="15" thickBot="1">
      <c r="A779" s="3103">
        <v>1446</v>
      </c>
      <c r="B779" s="3205" t="s">
        <v>3164</v>
      </c>
      <c r="C779" s="3206"/>
      <c r="D779" s="3104" t="s">
        <v>3398</v>
      </c>
      <c r="E779" s="3104" t="s">
        <v>463</v>
      </c>
      <c r="F779" s="3105">
        <v>88.92</v>
      </c>
      <c r="G779" s="3106" t="s">
        <v>3166</v>
      </c>
    </row>
    <row r="780" spans="1:7" ht="15" thickBot="1">
      <c r="A780" s="3103">
        <v>1447</v>
      </c>
      <c r="B780" s="3205" t="s">
        <v>3164</v>
      </c>
      <c r="C780" s="3206"/>
      <c r="D780" s="3104" t="s">
        <v>3399</v>
      </c>
      <c r="E780" s="3104" t="s">
        <v>463</v>
      </c>
      <c r="F780" s="3105">
        <v>49.7</v>
      </c>
      <c r="G780" s="3106" t="s">
        <v>3166</v>
      </c>
    </row>
    <row r="781" spans="1:7" ht="15" thickBot="1">
      <c r="A781" s="3103">
        <v>1448</v>
      </c>
      <c r="B781" s="3205" t="s">
        <v>3164</v>
      </c>
      <c r="C781" s="3206"/>
      <c r="D781" s="3104" t="s">
        <v>3400</v>
      </c>
      <c r="E781" s="3104" t="s">
        <v>463</v>
      </c>
      <c r="F781" s="3105">
        <v>49.94</v>
      </c>
      <c r="G781" s="3106" t="s">
        <v>3166</v>
      </c>
    </row>
    <row r="782" spans="1:7" ht="15" thickBot="1">
      <c r="A782" s="3103">
        <v>1449</v>
      </c>
      <c r="B782" s="3205" t="s">
        <v>3164</v>
      </c>
      <c r="C782" s="3206"/>
      <c r="D782" s="3104" t="s">
        <v>3401</v>
      </c>
      <c r="E782" s="3104" t="s">
        <v>463</v>
      </c>
      <c r="F782" s="3105">
        <v>49.99</v>
      </c>
      <c r="G782" s="3106" t="s">
        <v>3166</v>
      </c>
    </row>
    <row r="783" spans="1:7" ht="15" thickBot="1">
      <c r="A783" s="3103">
        <v>1450</v>
      </c>
      <c r="B783" s="3205" t="s">
        <v>3164</v>
      </c>
      <c r="C783" s="3206"/>
      <c r="D783" s="3104" t="s">
        <v>3402</v>
      </c>
      <c r="E783" s="3104" t="s">
        <v>463</v>
      </c>
      <c r="F783" s="3105">
        <v>64.099999999999994</v>
      </c>
      <c r="G783" s="3106" t="s">
        <v>3166</v>
      </c>
    </row>
    <row r="784" spans="1:7" ht="15" thickBot="1">
      <c r="A784" s="3103">
        <v>1451</v>
      </c>
      <c r="B784" s="3205" t="s">
        <v>3164</v>
      </c>
      <c r="C784" s="3206"/>
      <c r="D784" s="3104" t="s">
        <v>3403</v>
      </c>
      <c r="E784" s="3104" t="s">
        <v>463</v>
      </c>
      <c r="F784" s="3105">
        <v>64.2</v>
      </c>
      <c r="G784" s="3106" t="s">
        <v>3166</v>
      </c>
    </row>
    <row r="785" spans="1:7" ht="15" thickBot="1">
      <c r="A785" s="3103">
        <v>1452</v>
      </c>
      <c r="B785" s="3205" t="s">
        <v>3164</v>
      </c>
      <c r="C785" s="3206"/>
      <c r="D785" s="3104" t="s">
        <v>3404</v>
      </c>
      <c r="E785" s="3104" t="s">
        <v>463</v>
      </c>
      <c r="F785" s="3105">
        <v>88.92</v>
      </c>
      <c r="G785" s="3106" t="s">
        <v>3166</v>
      </c>
    </row>
    <row r="786" spans="1:7" ht="15" thickBot="1">
      <c r="A786" s="3103">
        <v>1453</v>
      </c>
      <c r="B786" s="3205" t="s">
        <v>3164</v>
      </c>
      <c r="C786" s="3206"/>
      <c r="D786" s="3104" t="s">
        <v>3405</v>
      </c>
      <c r="E786" s="3104" t="s">
        <v>463</v>
      </c>
      <c r="F786" s="3105">
        <v>49.7</v>
      </c>
      <c r="G786" s="3106" t="s">
        <v>3166</v>
      </c>
    </row>
    <row r="787" spans="1:7" ht="15" thickBot="1">
      <c r="A787" s="3103">
        <v>1454</v>
      </c>
      <c r="B787" s="3205" t="s">
        <v>3164</v>
      </c>
      <c r="C787" s="3206"/>
      <c r="D787" s="3104" t="s">
        <v>3406</v>
      </c>
      <c r="E787" s="3104" t="s">
        <v>463</v>
      </c>
      <c r="F787" s="3105">
        <v>49.94</v>
      </c>
      <c r="G787" s="3106" t="s">
        <v>3166</v>
      </c>
    </row>
    <row r="788" spans="1:7" ht="15" thickBot="1">
      <c r="A788" s="3103">
        <v>1455</v>
      </c>
      <c r="B788" s="3205" t="s">
        <v>3164</v>
      </c>
      <c r="C788" s="3206"/>
      <c r="D788" s="3104" t="s">
        <v>3407</v>
      </c>
      <c r="E788" s="3104" t="s">
        <v>463</v>
      </c>
      <c r="F788" s="3105">
        <v>49.99</v>
      </c>
      <c r="G788" s="3106" t="s">
        <v>3166</v>
      </c>
    </row>
    <row r="789" spans="1:7" ht="15" thickBot="1">
      <c r="A789" s="3103">
        <v>1456</v>
      </c>
      <c r="B789" s="3205" t="s">
        <v>3164</v>
      </c>
      <c r="C789" s="3206"/>
      <c r="D789" s="3104" t="s">
        <v>3408</v>
      </c>
      <c r="E789" s="3104" t="s">
        <v>463</v>
      </c>
      <c r="F789" s="3105">
        <v>64.099999999999994</v>
      </c>
      <c r="G789" s="3106" t="s">
        <v>3166</v>
      </c>
    </row>
    <row r="790" spans="1:7" ht="15" thickBot="1">
      <c r="A790" s="3103">
        <v>1457</v>
      </c>
      <c r="B790" s="3205" t="s">
        <v>3164</v>
      </c>
      <c r="C790" s="3206"/>
      <c r="D790" s="3104" t="s">
        <v>3409</v>
      </c>
      <c r="E790" s="3104" t="s">
        <v>463</v>
      </c>
      <c r="F790" s="3105">
        <v>64.2</v>
      </c>
      <c r="G790" s="3106" t="s">
        <v>3166</v>
      </c>
    </row>
    <row r="791" spans="1:7" ht="15" thickBot="1">
      <c r="A791" s="3103">
        <v>1458</v>
      </c>
      <c r="B791" s="3205" t="s">
        <v>3164</v>
      </c>
      <c r="C791" s="3206"/>
      <c r="D791" s="3104" t="s">
        <v>3410</v>
      </c>
      <c r="E791" s="3104" t="s">
        <v>463</v>
      </c>
      <c r="F791" s="3105">
        <v>88.92</v>
      </c>
      <c r="G791" s="3106" t="s">
        <v>3166</v>
      </c>
    </row>
    <row r="792" spans="1:7" ht="15" thickBot="1">
      <c r="A792" s="3103">
        <v>1459</v>
      </c>
      <c r="B792" s="3205" t="s">
        <v>3164</v>
      </c>
      <c r="C792" s="3206"/>
      <c r="D792" s="3104" t="s">
        <v>3411</v>
      </c>
      <c r="E792" s="3104" t="s">
        <v>463</v>
      </c>
      <c r="F792" s="3105">
        <v>49.15</v>
      </c>
      <c r="G792" s="3106" t="s">
        <v>3166</v>
      </c>
    </row>
    <row r="793" spans="1:7" ht="15" thickBot="1">
      <c r="A793" s="3103">
        <v>1460</v>
      </c>
      <c r="B793" s="3205" t="s">
        <v>3164</v>
      </c>
      <c r="C793" s="3206"/>
      <c r="D793" s="3104" t="s">
        <v>3412</v>
      </c>
      <c r="E793" s="3104" t="s">
        <v>463</v>
      </c>
      <c r="F793" s="3105">
        <v>49.94</v>
      </c>
      <c r="G793" s="3106" t="s">
        <v>3166</v>
      </c>
    </row>
    <row r="794" spans="1:7" ht="15" thickBot="1">
      <c r="A794" s="3103">
        <v>1461</v>
      </c>
      <c r="B794" s="3205" t="s">
        <v>3164</v>
      </c>
      <c r="C794" s="3206"/>
      <c r="D794" s="3104" t="s">
        <v>3413</v>
      </c>
      <c r="E794" s="3104" t="s">
        <v>463</v>
      </c>
      <c r="F794" s="3105">
        <v>49.99</v>
      </c>
      <c r="G794" s="3106" t="s">
        <v>3166</v>
      </c>
    </row>
    <row r="795" spans="1:7" ht="15" thickBot="1">
      <c r="A795" s="3103">
        <v>1462</v>
      </c>
      <c r="B795" s="3205" t="s">
        <v>3164</v>
      </c>
      <c r="C795" s="3206"/>
      <c r="D795" s="3104" t="s">
        <v>3414</v>
      </c>
      <c r="E795" s="3104" t="s">
        <v>463</v>
      </c>
      <c r="F795" s="3105">
        <v>64.099999999999994</v>
      </c>
      <c r="G795" s="3106" t="s">
        <v>3166</v>
      </c>
    </row>
    <row r="796" spans="1:7" ht="15" thickBot="1">
      <c r="A796" s="3103">
        <v>1463</v>
      </c>
      <c r="B796" s="3205" t="s">
        <v>3164</v>
      </c>
      <c r="C796" s="3206"/>
      <c r="D796" s="3104" t="s">
        <v>3415</v>
      </c>
      <c r="E796" s="3104" t="s">
        <v>463</v>
      </c>
      <c r="F796" s="3105">
        <v>64.2</v>
      </c>
      <c r="G796" s="3106" t="s">
        <v>3166</v>
      </c>
    </row>
    <row r="797" spans="1:7" ht="15" thickBot="1">
      <c r="A797" s="3103">
        <v>1464</v>
      </c>
      <c r="B797" s="3205" t="s">
        <v>3164</v>
      </c>
      <c r="C797" s="3206"/>
      <c r="D797" s="3104" t="s">
        <v>3416</v>
      </c>
      <c r="E797" s="3104" t="s">
        <v>463</v>
      </c>
      <c r="F797" s="3105">
        <v>88.84</v>
      </c>
      <c r="G797" s="3106" t="s">
        <v>3166</v>
      </c>
    </row>
    <row r="798" spans="1:7" ht="15" thickBot="1">
      <c r="A798" s="3103">
        <v>1465</v>
      </c>
      <c r="B798" s="3205" t="s">
        <v>3164</v>
      </c>
      <c r="C798" s="3206"/>
      <c r="D798" s="3104" t="s">
        <v>3417</v>
      </c>
      <c r="E798" s="3104" t="s">
        <v>463</v>
      </c>
      <c r="F798" s="3105">
        <v>49.24</v>
      </c>
      <c r="G798" s="3106" t="s">
        <v>3166</v>
      </c>
    </row>
    <row r="799" spans="1:7" ht="15" thickBot="1">
      <c r="A799" s="3103">
        <v>1466</v>
      </c>
      <c r="B799" s="3205" t="s">
        <v>3164</v>
      </c>
      <c r="C799" s="3206"/>
      <c r="D799" s="3104" t="s">
        <v>3418</v>
      </c>
      <c r="E799" s="3104" t="s">
        <v>463</v>
      </c>
      <c r="F799" s="3105">
        <v>49.94</v>
      </c>
      <c r="G799" s="3106" t="s">
        <v>3166</v>
      </c>
    </row>
    <row r="800" spans="1:7" ht="15" thickBot="1">
      <c r="A800" s="3103">
        <v>1467</v>
      </c>
      <c r="B800" s="3205" t="s">
        <v>3164</v>
      </c>
      <c r="C800" s="3206"/>
      <c r="D800" s="3104" t="s">
        <v>3419</v>
      </c>
      <c r="E800" s="3104" t="s">
        <v>463</v>
      </c>
      <c r="F800" s="3105">
        <v>49.99</v>
      </c>
      <c r="G800" s="3106" t="s">
        <v>3166</v>
      </c>
    </row>
    <row r="801" spans="1:7" ht="15" thickBot="1">
      <c r="A801" s="3103">
        <v>1468</v>
      </c>
      <c r="B801" s="3205" t="s">
        <v>3164</v>
      </c>
      <c r="C801" s="3206"/>
      <c r="D801" s="3104" t="s">
        <v>3420</v>
      </c>
      <c r="E801" s="3104" t="s">
        <v>463</v>
      </c>
      <c r="F801" s="3105">
        <v>64.099999999999994</v>
      </c>
      <c r="G801" s="3106" t="s">
        <v>3166</v>
      </c>
    </row>
    <row r="802" spans="1:7" ht="15" thickBot="1">
      <c r="A802" s="3103">
        <v>1469</v>
      </c>
      <c r="B802" s="3205" t="s">
        <v>3164</v>
      </c>
      <c r="C802" s="3206"/>
      <c r="D802" s="3104" t="s">
        <v>3421</v>
      </c>
      <c r="E802" s="3104" t="s">
        <v>463</v>
      </c>
      <c r="F802" s="3105">
        <v>64.2</v>
      </c>
      <c r="G802" s="3106" t="s">
        <v>3166</v>
      </c>
    </row>
    <row r="803" spans="1:7" ht="15" thickBot="1">
      <c r="A803" s="3103">
        <v>1470</v>
      </c>
      <c r="B803" s="3205" t="s">
        <v>3164</v>
      </c>
      <c r="C803" s="3206"/>
      <c r="D803" s="3104" t="s">
        <v>3422</v>
      </c>
      <c r="E803" s="3104" t="s">
        <v>463</v>
      </c>
      <c r="F803" s="3105">
        <v>88.92</v>
      </c>
      <c r="G803" s="3106" t="s">
        <v>3166</v>
      </c>
    </row>
    <row r="804" spans="1:7" ht="15" thickBot="1">
      <c r="A804" s="3103">
        <v>1471</v>
      </c>
      <c r="B804" s="3205" t="s">
        <v>3164</v>
      </c>
      <c r="C804" s="3206"/>
      <c r="D804" s="3104" t="s">
        <v>3423</v>
      </c>
      <c r="E804" s="3104" t="s">
        <v>463</v>
      </c>
      <c r="F804" s="3105">
        <v>49.24</v>
      </c>
      <c r="G804" s="3106" t="s">
        <v>3166</v>
      </c>
    </row>
    <row r="805" spans="1:7" ht="15" thickBot="1">
      <c r="A805" s="3103">
        <v>1472</v>
      </c>
      <c r="B805" s="3205" t="s">
        <v>3164</v>
      </c>
      <c r="C805" s="3206"/>
      <c r="D805" s="3104" t="s">
        <v>3424</v>
      </c>
      <c r="E805" s="3104" t="s">
        <v>463</v>
      </c>
      <c r="F805" s="3105">
        <v>49.94</v>
      </c>
      <c r="G805" s="3106" t="s">
        <v>3166</v>
      </c>
    </row>
    <row r="806" spans="1:7" ht="15" thickBot="1">
      <c r="A806" s="3103">
        <v>1473</v>
      </c>
      <c r="B806" s="3205" t="s">
        <v>3164</v>
      </c>
      <c r="C806" s="3206"/>
      <c r="D806" s="3104" t="s">
        <v>3425</v>
      </c>
      <c r="E806" s="3104" t="s">
        <v>463</v>
      </c>
      <c r="F806" s="3105">
        <v>49.99</v>
      </c>
      <c r="G806" s="3106" t="s">
        <v>3166</v>
      </c>
    </row>
    <row r="807" spans="1:7" ht="15" thickBot="1">
      <c r="A807" s="3103">
        <v>1474</v>
      </c>
      <c r="B807" s="3205" t="s">
        <v>3164</v>
      </c>
      <c r="C807" s="3206"/>
      <c r="D807" s="3104" t="s">
        <v>3426</v>
      </c>
      <c r="E807" s="3104" t="s">
        <v>463</v>
      </c>
      <c r="F807" s="3105">
        <v>64.099999999999994</v>
      </c>
      <c r="G807" s="3106" t="s">
        <v>3166</v>
      </c>
    </row>
    <row r="808" spans="1:7" ht="15" thickBot="1">
      <c r="A808" s="3103">
        <v>1475</v>
      </c>
      <c r="B808" s="3205" t="s">
        <v>3164</v>
      </c>
      <c r="C808" s="3206"/>
      <c r="D808" s="3104" t="s">
        <v>3427</v>
      </c>
      <c r="E808" s="3104" t="s">
        <v>463</v>
      </c>
      <c r="F808" s="3105">
        <v>64.2</v>
      </c>
      <c r="G808" s="3106" t="s">
        <v>3166</v>
      </c>
    </row>
    <row r="809" spans="1:7" ht="15" thickBot="1">
      <c r="A809" s="3103">
        <v>1476</v>
      </c>
      <c r="B809" s="3205" t="s">
        <v>3164</v>
      </c>
      <c r="C809" s="3206"/>
      <c r="D809" s="3104" t="s">
        <v>3428</v>
      </c>
      <c r="E809" s="3104" t="s">
        <v>463</v>
      </c>
      <c r="F809" s="3105">
        <v>88.92</v>
      </c>
      <c r="G809" s="3106" t="s">
        <v>3166</v>
      </c>
    </row>
    <row r="810" spans="1:7" ht="15" thickBot="1">
      <c r="A810" s="3103">
        <v>1477</v>
      </c>
      <c r="B810" s="3205" t="s">
        <v>3164</v>
      </c>
      <c r="C810" s="3206"/>
      <c r="D810" s="3104" t="s">
        <v>3429</v>
      </c>
      <c r="E810" s="3104" t="s">
        <v>463</v>
      </c>
      <c r="F810" s="3105">
        <v>49.24</v>
      </c>
      <c r="G810" s="3106" t="s">
        <v>3166</v>
      </c>
    </row>
    <row r="811" spans="1:7" ht="15" thickBot="1">
      <c r="A811" s="3103">
        <v>1478</v>
      </c>
      <c r="B811" s="3205" t="s">
        <v>3164</v>
      </c>
      <c r="C811" s="3206"/>
      <c r="D811" s="3104" t="s">
        <v>3430</v>
      </c>
      <c r="E811" s="3104" t="s">
        <v>463</v>
      </c>
      <c r="F811" s="3105">
        <v>49.94</v>
      </c>
      <c r="G811" s="3106" t="s">
        <v>3166</v>
      </c>
    </row>
    <row r="812" spans="1:7" ht="15" thickBot="1">
      <c r="A812" s="3103">
        <v>1479</v>
      </c>
      <c r="B812" s="3205" t="s">
        <v>3164</v>
      </c>
      <c r="C812" s="3206"/>
      <c r="D812" s="3104" t="s">
        <v>3431</v>
      </c>
      <c r="E812" s="3104" t="s">
        <v>463</v>
      </c>
      <c r="F812" s="3105">
        <v>49.99</v>
      </c>
      <c r="G812" s="3106" t="s">
        <v>3166</v>
      </c>
    </row>
    <row r="813" spans="1:7" ht="15" thickBot="1">
      <c r="A813" s="3103">
        <v>1480</v>
      </c>
      <c r="B813" s="3205" t="s">
        <v>3164</v>
      </c>
      <c r="C813" s="3206"/>
      <c r="D813" s="3104" t="s">
        <v>3432</v>
      </c>
      <c r="E813" s="3104" t="s">
        <v>463</v>
      </c>
      <c r="F813" s="3105">
        <v>64.099999999999994</v>
      </c>
      <c r="G813" s="3106" t="s">
        <v>3166</v>
      </c>
    </row>
    <row r="814" spans="1:7" ht="15" thickBot="1">
      <c r="A814" s="3103">
        <v>1481</v>
      </c>
      <c r="B814" s="3205" t="s">
        <v>3164</v>
      </c>
      <c r="C814" s="3206"/>
      <c r="D814" s="3104" t="s">
        <v>3433</v>
      </c>
      <c r="E814" s="3104" t="s">
        <v>463</v>
      </c>
      <c r="F814" s="3105">
        <v>64.2</v>
      </c>
      <c r="G814" s="3106" t="s">
        <v>3166</v>
      </c>
    </row>
    <row r="815" spans="1:7" ht="15" thickBot="1">
      <c r="A815" s="3103">
        <v>1482</v>
      </c>
      <c r="B815" s="3205" t="s">
        <v>3164</v>
      </c>
      <c r="C815" s="3206"/>
      <c r="D815" s="3104" t="s">
        <v>3434</v>
      </c>
      <c r="E815" s="3104" t="s">
        <v>463</v>
      </c>
      <c r="F815" s="3105">
        <v>88.92</v>
      </c>
      <c r="G815" s="3106" t="s">
        <v>3166</v>
      </c>
    </row>
    <row r="816" spans="1:7" ht="15" thickBot="1">
      <c r="A816" s="3103">
        <v>1483</v>
      </c>
      <c r="B816" s="3205" t="s">
        <v>3164</v>
      </c>
      <c r="C816" s="3206"/>
      <c r="D816" s="3104" t="s">
        <v>3435</v>
      </c>
      <c r="E816" s="3104" t="s">
        <v>463</v>
      </c>
      <c r="F816" s="3105">
        <v>49.24</v>
      </c>
      <c r="G816" s="3106" t="s">
        <v>3166</v>
      </c>
    </row>
    <row r="817" spans="1:7" ht="15" thickBot="1">
      <c r="A817" s="3103">
        <v>1484</v>
      </c>
      <c r="B817" s="3205" t="s">
        <v>3164</v>
      </c>
      <c r="C817" s="3206"/>
      <c r="D817" s="3104" t="s">
        <v>3436</v>
      </c>
      <c r="E817" s="3104" t="s">
        <v>463</v>
      </c>
      <c r="F817" s="3105">
        <v>49.94</v>
      </c>
      <c r="G817" s="3106" t="s">
        <v>3166</v>
      </c>
    </row>
    <row r="818" spans="1:7" ht="15" thickBot="1">
      <c r="A818" s="3103">
        <v>1485</v>
      </c>
      <c r="B818" s="3205" t="s">
        <v>3164</v>
      </c>
      <c r="C818" s="3206"/>
      <c r="D818" s="3104" t="s">
        <v>3437</v>
      </c>
      <c r="E818" s="3104" t="s">
        <v>463</v>
      </c>
      <c r="F818" s="3105">
        <v>49.99</v>
      </c>
      <c r="G818" s="3106" t="s">
        <v>3166</v>
      </c>
    </row>
    <row r="819" spans="1:7" ht="15" thickBot="1">
      <c r="A819" s="3103">
        <v>1486</v>
      </c>
      <c r="B819" s="3205" t="s">
        <v>3164</v>
      </c>
      <c r="C819" s="3206"/>
      <c r="D819" s="3104" t="s">
        <v>3438</v>
      </c>
      <c r="E819" s="3104" t="s">
        <v>463</v>
      </c>
      <c r="F819" s="3105">
        <v>64.099999999999994</v>
      </c>
      <c r="G819" s="3106" t="s">
        <v>3166</v>
      </c>
    </row>
    <row r="820" spans="1:7" ht="15" thickBot="1">
      <c r="A820" s="3103">
        <v>1487</v>
      </c>
      <c r="B820" s="3205" t="s">
        <v>3164</v>
      </c>
      <c r="C820" s="3206"/>
      <c r="D820" s="3104" t="s">
        <v>3439</v>
      </c>
      <c r="E820" s="3104" t="s">
        <v>463</v>
      </c>
      <c r="F820" s="3105">
        <v>64.2</v>
      </c>
      <c r="G820" s="3106" t="s">
        <v>3166</v>
      </c>
    </row>
    <row r="821" spans="1:7" ht="15" thickBot="1">
      <c r="A821" s="3103">
        <v>1488</v>
      </c>
      <c r="B821" s="3205" t="s">
        <v>3164</v>
      </c>
      <c r="C821" s="3206"/>
      <c r="D821" s="3104" t="s">
        <v>3440</v>
      </c>
      <c r="E821" s="3104" t="s">
        <v>463</v>
      </c>
      <c r="F821" s="3105">
        <v>88.92</v>
      </c>
      <c r="G821" s="3106" t="s">
        <v>3166</v>
      </c>
    </row>
    <row r="822" spans="1:7" ht="15" thickBot="1">
      <c r="A822" s="3103">
        <v>1489</v>
      </c>
      <c r="B822" s="3205" t="s">
        <v>3164</v>
      </c>
      <c r="C822" s="3206"/>
      <c r="D822" s="3104" t="s">
        <v>3441</v>
      </c>
      <c r="E822" s="3104" t="s">
        <v>463</v>
      </c>
      <c r="F822" s="3105">
        <v>49.24</v>
      </c>
      <c r="G822" s="3106" t="s">
        <v>3166</v>
      </c>
    </row>
    <row r="823" spans="1:7" ht="15" thickBot="1">
      <c r="A823" s="3103">
        <v>1490</v>
      </c>
      <c r="B823" s="3205" t="s">
        <v>3164</v>
      </c>
      <c r="C823" s="3206"/>
      <c r="D823" s="3104" t="s">
        <v>3442</v>
      </c>
      <c r="E823" s="3104" t="s">
        <v>463</v>
      </c>
      <c r="F823" s="3105">
        <v>49.94</v>
      </c>
      <c r="G823" s="3106" t="s">
        <v>3166</v>
      </c>
    </row>
    <row r="824" spans="1:7" ht="15" thickBot="1">
      <c r="A824" s="3103">
        <v>1491</v>
      </c>
      <c r="B824" s="3205" t="s">
        <v>3164</v>
      </c>
      <c r="C824" s="3206"/>
      <c r="D824" s="3104" t="s">
        <v>3443</v>
      </c>
      <c r="E824" s="3104" t="s">
        <v>463</v>
      </c>
      <c r="F824" s="3105">
        <v>49.99</v>
      </c>
      <c r="G824" s="3106" t="s">
        <v>3166</v>
      </c>
    </row>
    <row r="825" spans="1:7" ht="15" thickBot="1">
      <c r="A825" s="3103">
        <v>1492</v>
      </c>
      <c r="B825" s="3205" t="s">
        <v>3164</v>
      </c>
      <c r="C825" s="3206"/>
      <c r="D825" s="3104" t="s">
        <v>3444</v>
      </c>
      <c r="E825" s="3104" t="s">
        <v>463</v>
      </c>
      <c r="F825" s="3105">
        <v>64.099999999999994</v>
      </c>
      <c r="G825" s="3106" t="s">
        <v>3166</v>
      </c>
    </row>
    <row r="826" spans="1:7" ht="15" thickBot="1">
      <c r="A826" s="3103">
        <v>1493</v>
      </c>
      <c r="B826" s="3205" t="s">
        <v>3164</v>
      </c>
      <c r="C826" s="3206"/>
      <c r="D826" s="3104" t="s">
        <v>3445</v>
      </c>
      <c r="E826" s="3104" t="s">
        <v>463</v>
      </c>
      <c r="F826" s="3105">
        <v>64.2</v>
      </c>
      <c r="G826" s="3106" t="s">
        <v>3166</v>
      </c>
    </row>
    <row r="827" spans="1:7" ht="15" thickBot="1">
      <c r="A827" s="3103">
        <v>1494</v>
      </c>
      <c r="B827" s="3205" t="s">
        <v>3164</v>
      </c>
      <c r="C827" s="3206"/>
      <c r="D827" s="3104" t="s">
        <v>3446</v>
      </c>
      <c r="E827" s="3104" t="s">
        <v>463</v>
      </c>
      <c r="F827" s="3105">
        <v>88.92</v>
      </c>
      <c r="G827" s="3106" t="s">
        <v>3166</v>
      </c>
    </row>
    <row r="828" spans="1:7" ht="15" thickBot="1">
      <c r="A828" s="3103">
        <v>1495</v>
      </c>
      <c r="B828" s="3205" t="s">
        <v>3164</v>
      </c>
      <c r="C828" s="3206"/>
      <c r="D828" s="3104" t="s">
        <v>3447</v>
      </c>
      <c r="E828" s="3104" t="s">
        <v>463</v>
      </c>
      <c r="F828" s="3105">
        <v>49.24</v>
      </c>
      <c r="G828" s="3106" t="s">
        <v>3166</v>
      </c>
    </row>
    <row r="829" spans="1:7" ht="15" thickBot="1">
      <c r="A829" s="3103">
        <v>1496</v>
      </c>
      <c r="B829" s="3205" t="s">
        <v>3164</v>
      </c>
      <c r="C829" s="3206"/>
      <c r="D829" s="3104" t="s">
        <v>3448</v>
      </c>
      <c r="E829" s="3104" t="s">
        <v>463</v>
      </c>
      <c r="F829" s="3105">
        <v>49.94</v>
      </c>
      <c r="G829" s="3106" t="s">
        <v>3166</v>
      </c>
    </row>
    <row r="830" spans="1:7" ht="15" thickBot="1">
      <c r="A830" s="3103">
        <v>1497</v>
      </c>
      <c r="B830" s="3205" t="s">
        <v>3164</v>
      </c>
      <c r="C830" s="3206"/>
      <c r="D830" s="3104" t="s">
        <v>3449</v>
      </c>
      <c r="E830" s="3104" t="s">
        <v>463</v>
      </c>
      <c r="F830" s="3105">
        <v>49.99</v>
      </c>
      <c r="G830" s="3106" t="s">
        <v>3166</v>
      </c>
    </row>
    <row r="831" spans="1:7" ht="15" thickBot="1">
      <c r="A831" s="3103">
        <v>1498</v>
      </c>
      <c r="B831" s="3205" t="s">
        <v>3164</v>
      </c>
      <c r="C831" s="3206"/>
      <c r="D831" s="3104" t="s">
        <v>3450</v>
      </c>
      <c r="E831" s="3104" t="s">
        <v>463</v>
      </c>
      <c r="F831" s="3105">
        <v>64.099999999999994</v>
      </c>
      <c r="G831" s="3106" t="s">
        <v>3166</v>
      </c>
    </row>
    <row r="832" spans="1:7" ht="15" thickBot="1">
      <c r="A832" s="3103">
        <v>1499</v>
      </c>
      <c r="B832" s="3205" t="s">
        <v>3164</v>
      </c>
      <c r="C832" s="3206"/>
      <c r="D832" s="3104" t="s">
        <v>3451</v>
      </c>
      <c r="E832" s="3104" t="s">
        <v>463</v>
      </c>
      <c r="F832" s="3105">
        <v>64.2</v>
      </c>
      <c r="G832" s="3106" t="s">
        <v>3166</v>
      </c>
    </row>
    <row r="833" spans="1:7" ht="15" thickBot="1">
      <c r="A833" s="3103">
        <v>1500</v>
      </c>
      <c r="B833" s="3205" t="s">
        <v>3164</v>
      </c>
      <c r="C833" s="3206"/>
      <c r="D833" s="3104" t="s">
        <v>3452</v>
      </c>
      <c r="E833" s="3104" t="s">
        <v>463</v>
      </c>
      <c r="F833" s="3105">
        <v>88.92</v>
      </c>
      <c r="G833" s="3106" t="s">
        <v>3166</v>
      </c>
    </row>
    <row r="834" spans="1:7" ht="15" thickBot="1">
      <c r="A834" s="3103">
        <v>1501</v>
      </c>
      <c r="B834" s="3205" t="s">
        <v>3164</v>
      </c>
      <c r="C834" s="3206"/>
      <c r="D834" s="3104" t="s">
        <v>3453</v>
      </c>
      <c r="E834" s="3104" t="s">
        <v>463</v>
      </c>
      <c r="F834" s="3105">
        <v>49.24</v>
      </c>
      <c r="G834" s="3106" t="s">
        <v>3166</v>
      </c>
    </row>
    <row r="835" spans="1:7" ht="15" thickBot="1">
      <c r="A835" s="3103">
        <v>1502</v>
      </c>
      <c r="B835" s="3205" t="s">
        <v>3164</v>
      </c>
      <c r="C835" s="3206"/>
      <c r="D835" s="3104" t="s">
        <v>3454</v>
      </c>
      <c r="E835" s="3104" t="s">
        <v>463</v>
      </c>
      <c r="F835" s="3105">
        <v>49.94</v>
      </c>
      <c r="G835" s="3106" t="s">
        <v>3166</v>
      </c>
    </row>
    <row r="836" spans="1:7" ht="15" thickBot="1">
      <c r="A836" s="3103">
        <v>1503</v>
      </c>
      <c r="B836" s="3205" t="s">
        <v>3164</v>
      </c>
      <c r="C836" s="3206"/>
      <c r="D836" s="3104" t="s">
        <v>3455</v>
      </c>
      <c r="E836" s="3104" t="s">
        <v>463</v>
      </c>
      <c r="F836" s="3105">
        <v>49.99</v>
      </c>
      <c r="G836" s="3106" t="s">
        <v>3166</v>
      </c>
    </row>
    <row r="837" spans="1:7" ht="15" thickBot="1">
      <c r="A837" s="3103">
        <v>1504</v>
      </c>
      <c r="B837" s="3205" t="s">
        <v>3164</v>
      </c>
      <c r="C837" s="3206"/>
      <c r="D837" s="3104" t="s">
        <v>3456</v>
      </c>
      <c r="E837" s="3104" t="s">
        <v>463</v>
      </c>
      <c r="F837" s="3105">
        <v>64.099999999999994</v>
      </c>
      <c r="G837" s="3106" t="s">
        <v>3166</v>
      </c>
    </row>
    <row r="838" spans="1:7" ht="15" thickBot="1">
      <c r="A838" s="3103">
        <v>1505</v>
      </c>
      <c r="B838" s="3205" t="s">
        <v>3164</v>
      </c>
      <c r="C838" s="3206"/>
      <c r="D838" s="3104" t="s">
        <v>3457</v>
      </c>
      <c r="E838" s="3104" t="s">
        <v>463</v>
      </c>
      <c r="F838" s="3105">
        <v>64.2</v>
      </c>
      <c r="G838" s="3106" t="s">
        <v>3166</v>
      </c>
    </row>
    <row r="839" spans="1:7" ht="15" thickBot="1">
      <c r="A839" s="3103">
        <v>1506</v>
      </c>
      <c r="B839" s="3205" t="s">
        <v>3164</v>
      </c>
      <c r="C839" s="3206"/>
      <c r="D839" s="3104" t="s">
        <v>3458</v>
      </c>
      <c r="E839" s="3104" t="s">
        <v>463</v>
      </c>
      <c r="F839" s="3105">
        <v>88.92</v>
      </c>
      <c r="G839" s="3106" t="s">
        <v>3166</v>
      </c>
    </row>
    <row r="840" spans="1:7" ht="15" thickBot="1">
      <c r="A840" s="3103">
        <v>1507</v>
      </c>
      <c r="B840" s="3205" t="s">
        <v>3164</v>
      </c>
      <c r="C840" s="3206"/>
      <c r="D840" s="3104" t="s">
        <v>3459</v>
      </c>
      <c r="E840" s="3104" t="s">
        <v>463</v>
      </c>
      <c r="F840" s="3105">
        <v>52.12</v>
      </c>
      <c r="G840" s="3106" t="s">
        <v>3166</v>
      </c>
    </row>
    <row r="841" spans="1:7" ht="15" thickBot="1">
      <c r="A841" s="3103">
        <v>1508</v>
      </c>
      <c r="B841" s="3205" t="s">
        <v>3164</v>
      </c>
      <c r="C841" s="3206"/>
      <c r="D841" s="3104" t="s">
        <v>3460</v>
      </c>
      <c r="E841" s="3104" t="s">
        <v>463</v>
      </c>
      <c r="F841" s="3105">
        <v>52.23</v>
      </c>
      <c r="G841" s="3106" t="s">
        <v>3166</v>
      </c>
    </row>
    <row r="842" spans="1:7" ht="15" thickBot="1">
      <c r="A842" s="3103">
        <v>1509</v>
      </c>
      <c r="B842" s="3205" t="s">
        <v>3164</v>
      </c>
      <c r="C842" s="3206"/>
      <c r="D842" s="3104" t="s">
        <v>3461</v>
      </c>
      <c r="E842" s="3104" t="s">
        <v>463</v>
      </c>
      <c r="F842" s="3105">
        <v>52.23</v>
      </c>
      <c r="G842" s="3106" t="s">
        <v>3166</v>
      </c>
    </row>
    <row r="843" spans="1:7" ht="15" thickBot="1">
      <c r="A843" s="3103">
        <v>1510</v>
      </c>
      <c r="B843" s="3205" t="s">
        <v>3164</v>
      </c>
      <c r="C843" s="3206"/>
      <c r="D843" s="3104" t="s">
        <v>3462</v>
      </c>
      <c r="E843" s="3104" t="s">
        <v>463</v>
      </c>
      <c r="F843" s="3105">
        <v>51.55</v>
      </c>
      <c r="G843" s="3106" t="s">
        <v>3166</v>
      </c>
    </row>
    <row r="844" spans="1:7" ht="15" thickBot="1">
      <c r="A844" s="3103">
        <v>1511</v>
      </c>
      <c r="B844" s="3205" t="s">
        <v>3164</v>
      </c>
      <c r="C844" s="3206"/>
      <c r="D844" s="3104" t="s">
        <v>3463</v>
      </c>
      <c r="E844" s="3104" t="s">
        <v>463</v>
      </c>
      <c r="F844" s="3105">
        <v>52.12</v>
      </c>
      <c r="G844" s="3106" t="s">
        <v>3166</v>
      </c>
    </row>
    <row r="845" spans="1:7" ht="15" thickBot="1">
      <c r="A845" s="3103">
        <v>1512</v>
      </c>
      <c r="B845" s="3205" t="s">
        <v>3164</v>
      </c>
      <c r="C845" s="3206"/>
      <c r="D845" s="3104" t="s">
        <v>3464</v>
      </c>
      <c r="E845" s="3104" t="s">
        <v>463</v>
      </c>
      <c r="F845" s="3105">
        <v>52.12</v>
      </c>
      <c r="G845" s="3106" t="s">
        <v>3166</v>
      </c>
    </row>
    <row r="846" spans="1:7" ht="15" thickBot="1">
      <c r="A846" s="3103">
        <v>1513</v>
      </c>
      <c r="B846" s="3205" t="s">
        <v>3164</v>
      </c>
      <c r="C846" s="3206"/>
      <c r="D846" s="3104" t="s">
        <v>3465</v>
      </c>
      <c r="E846" s="3104" t="s">
        <v>463</v>
      </c>
      <c r="F846" s="3105">
        <v>80.45</v>
      </c>
      <c r="G846" s="3106" t="s">
        <v>3166</v>
      </c>
    </row>
    <row r="847" spans="1:7" ht="15" thickBot="1">
      <c r="A847" s="3103">
        <v>1514</v>
      </c>
      <c r="B847" s="3205" t="s">
        <v>3164</v>
      </c>
      <c r="C847" s="3206"/>
      <c r="D847" s="3104" t="s">
        <v>3466</v>
      </c>
      <c r="E847" s="3104" t="s">
        <v>463</v>
      </c>
      <c r="F847" s="3105">
        <v>52.12</v>
      </c>
      <c r="G847" s="3106" t="s">
        <v>3166</v>
      </c>
    </row>
    <row r="848" spans="1:7" ht="15" thickBot="1">
      <c r="A848" s="3103">
        <v>1515</v>
      </c>
      <c r="B848" s="3205" t="s">
        <v>3164</v>
      </c>
      <c r="C848" s="3206"/>
      <c r="D848" s="3104" t="s">
        <v>3467</v>
      </c>
      <c r="E848" s="3104" t="s">
        <v>463</v>
      </c>
      <c r="F848" s="3105">
        <v>52.23</v>
      </c>
      <c r="G848" s="3106" t="s">
        <v>3166</v>
      </c>
    </row>
    <row r="849" spans="1:7" ht="15" thickBot="1">
      <c r="A849" s="3103">
        <v>1516</v>
      </c>
      <c r="B849" s="3205" t="s">
        <v>3164</v>
      </c>
      <c r="C849" s="3206"/>
      <c r="D849" s="3104" t="s">
        <v>3468</v>
      </c>
      <c r="E849" s="3104" t="s">
        <v>463</v>
      </c>
      <c r="F849" s="3105">
        <v>52.23</v>
      </c>
      <c r="G849" s="3106" t="s">
        <v>3166</v>
      </c>
    </row>
    <row r="850" spans="1:7" ht="15" thickBot="1">
      <c r="A850" s="3103">
        <v>1517</v>
      </c>
      <c r="B850" s="3205" t="s">
        <v>3164</v>
      </c>
      <c r="C850" s="3206"/>
      <c r="D850" s="3104" t="s">
        <v>3469</v>
      </c>
      <c r="E850" s="3104" t="s">
        <v>463</v>
      </c>
      <c r="F850" s="3105">
        <v>51.55</v>
      </c>
      <c r="G850" s="3106" t="s">
        <v>3166</v>
      </c>
    </row>
    <row r="851" spans="1:7" ht="15" thickBot="1">
      <c r="A851" s="3103">
        <v>1518</v>
      </c>
      <c r="B851" s="3205" t="s">
        <v>3164</v>
      </c>
      <c r="C851" s="3206"/>
      <c r="D851" s="3104" t="s">
        <v>3470</v>
      </c>
      <c r="E851" s="3104" t="s">
        <v>463</v>
      </c>
      <c r="F851" s="3105">
        <v>52.12</v>
      </c>
      <c r="G851" s="3106" t="s">
        <v>3166</v>
      </c>
    </row>
    <row r="852" spans="1:7" ht="15" thickBot="1">
      <c r="A852" s="3103">
        <v>1519</v>
      </c>
      <c r="B852" s="3205" t="s">
        <v>3164</v>
      </c>
      <c r="C852" s="3206"/>
      <c r="D852" s="3104" t="s">
        <v>3471</v>
      </c>
      <c r="E852" s="3104" t="s">
        <v>463</v>
      </c>
      <c r="F852" s="3105">
        <v>52.23</v>
      </c>
      <c r="G852" s="3106" t="s">
        <v>3166</v>
      </c>
    </row>
    <row r="853" spans="1:7" ht="15" thickBot="1">
      <c r="A853" s="3103">
        <v>1520</v>
      </c>
      <c r="B853" s="3205" t="s">
        <v>3164</v>
      </c>
      <c r="C853" s="3206"/>
      <c r="D853" s="3104" t="s">
        <v>3472</v>
      </c>
      <c r="E853" s="3104" t="s">
        <v>463</v>
      </c>
      <c r="F853" s="3105">
        <v>52.23</v>
      </c>
      <c r="G853" s="3106" t="s">
        <v>3166</v>
      </c>
    </row>
    <row r="854" spans="1:7" ht="15" thickBot="1">
      <c r="A854" s="3103">
        <v>1521</v>
      </c>
      <c r="B854" s="3205" t="s">
        <v>3164</v>
      </c>
      <c r="C854" s="3206"/>
      <c r="D854" s="3104" t="s">
        <v>3473</v>
      </c>
      <c r="E854" s="3104" t="s">
        <v>463</v>
      </c>
      <c r="F854" s="3105">
        <v>51.55</v>
      </c>
      <c r="G854" s="3106" t="s">
        <v>3166</v>
      </c>
    </row>
    <row r="855" spans="1:7" ht="15" thickBot="1">
      <c r="A855" s="3103">
        <v>1522</v>
      </c>
      <c r="B855" s="3205" t="s">
        <v>3164</v>
      </c>
      <c r="C855" s="3206"/>
      <c r="D855" s="3104" t="s">
        <v>3474</v>
      </c>
      <c r="E855" s="3104" t="s">
        <v>463</v>
      </c>
      <c r="F855" s="3105">
        <v>52.12</v>
      </c>
      <c r="G855" s="3106" t="s">
        <v>3166</v>
      </c>
    </row>
    <row r="856" spans="1:7" ht="15" thickBot="1">
      <c r="A856" s="3103">
        <v>1523</v>
      </c>
      <c r="B856" s="3205" t="s">
        <v>3164</v>
      </c>
      <c r="C856" s="3206"/>
      <c r="D856" s="3104" t="s">
        <v>3475</v>
      </c>
      <c r="E856" s="3104" t="s">
        <v>463</v>
      </c>
      <c r="F856" s="3105">
        <v>52.23</v>
      </c>
      <c r="G856" s="3106" t="s">
        <v>3166</v>
      </c>
    </row>
    <row r="857" spans="1:7" ht="15" thickBot="1">
      <c r="A857" s="3103">
        <v>1524</v>
      </c>
      <c r="B857" s="3205" t="s">
        <v>3164</v>
      </c>
      <c r="C857" s="3206"/>
      <c r="D857" s="3104" t="s">
        <v>3476</v>
      </c>
      <c r="E857" s="3104" t="s">
        <v>463</v>
      </c>
      <c r="F857" s="3105">
        <v>52.23</v>
      </c>
      <c r="G857" s="3106" t="s">
        <v>3166</v>
      </c>
    </row>
    <row r="858" spans="1:7" ht="15" thickBot="1">
      <c r="A858" s="3103">
        <v>1525</v>
      </c>
      <c r="B858" s="3205" t="s">
        <v>3164</v>
      </c>
      <c r="C858" s="3206"/>
      <c r="D858" s="3104" t="s">
        <v>3477</v>
      </c>
      <c r="E858" s="3104" t="s">
        <v>463</v>
      </c>
      <c r="F858" s="3105">
        <v>51.55</v>
      </c>
      <c r="G858" s="3106" t="s">
        <v>3166</v>
      </c>
    </row>
    <row r="859" spans="1:7" ht="15" thickBot="1">
      <c r="A859" s="3103">
        <v>1526</v>
      </c>
      <c r="B859" s="3205" t="s">
        <v>3164</v>
      </c>
      <c r="C859" s="3206"/>
      <c r="D859" s="3104" t="s">
        <v>3478</v>
      </c>
      <c r="E859" s="3104" t="s">
        <v>463</v>
      </c>
      <c r="F859" s="3105">
        <v>52.12</v>
      </c>
      <c r="G859" s="3106" t="s">
        <v>3166</v>
      </c>
    </row>
    <row r="860" spans="1:7" ht="15" thickBot="1">
      <c r="A860" s="3103">
        <v>1527</v>
      </c>
      <c r="B860" s="3205" t="s">
        <v>3164</v>
      </c>
      <c r="C860" s="3206"/>
      <c r="D860" s="3104" t="s">
        <v>3479</v>
      </c>
      <c r="E860" s="3104" t="s">
        <v>463</v>
      </c>
      <c r="F860" s="3105">
        <v>52.23</v>
      </c>
      <c r="G860" s="3106" t="s">
        <v>3166</v>
      </c>
    </row>
    <row r="861" spans="1:7" ht="15" thickBot="1">
      <c r="A861" s="3103">
        <v>1528</v>
      </c>
      <c r="B861" s="3205" t="s">
        <v>3164</v>
      </c>
      <c r="C861" s="3206"/>
      <c r="D861" s="3104" t="s">
        <v>3480</v>
      </c>
      <c r="E861" s="3104" t="s">
        <v>463</v>
      </c>
      <c r="F861" s="3105">
        <v>52.23</v>
      </c>
      <c r="G861" s="3106" t="s">
        <v>3166</v>
      </c>
    </row>
    <row r="862" spans="1:7" ht="15" thickBot="1">
      <c r="A862" s="3103">
        <v>1529</v>
      </c>
      <c r="B862" s="3205" t="s">
        <v>3164</v>
      </c>
      <c r="C862" s="3206"/>
      <c r="D862" s="3104" t="s">
        <v>3481</v>
      </c>
      <c r="E862" s="3104" t="s">
        <v>463</v>
      </c>
      <c r="F862" s="3105">
        <v>51.55</v>
      </c>
      <c r="G862" s="3106" t="s">
        <v>3166</v>
      </c>
    </row>
    <row r="863" spans="1:7" ht="15" thickBot="1">
      <c r="A863" s="3103">
        <v>1530</v>
      </c>
      <c r="B863" s="3205" t="s">
        <v>3164</v>
      </c>
      <c r="C863" s="3206"/>
      <c r="D863" s="3104" t="s">
        <v>3482</v>
      </c>
      <c r="E863" s="3104" t="s">
        <v>463</v>
      </c>
      <c r="F863" s="3105">
        <v>52.12</v>
      </c>
      <c r="G863" s="3106" t="s">
        <v>3166</v>
      </c>
    </row>
    <row r="864" spans="1:7" ht="15" thickBot="1">
      <c r="A864" s="3103">
        <v>1531</v>
      </c>
      <c r="B864" s="3205" t="s">
        <v>3164</v>
      </c>
      <c r="C864" s="3206"/>
      <c r="D864" s="3104" t="s">
        <v>3483</v>
      </c>
      <c r="E864" s="3104" t="s">
        <v>463</v>
      </c>
      <c r="F864" s="3105">
        <v>52.23</v>
      </c>
      <c r="G864" s="3106" t="s">
        <v>3166</v>
      </c>
    </row>
    <row r="865" spans="1:7" ht="15" thickBot="1">
      <c r="A865" s="3103">
        <v>1532</v>
      </c>
      <c r="B865" s="3205" t="s">
        <v>3164</v>
      </c>
      <c r="C865" s="3206"/>
      <c r="D865" s="3104" t="s">
        <v>3484</v>
      </c>
      <c r="E865" s="3104" t="s">
        <v>463</v>
      </c>
      <c r="F865" s="3105">
        <v>52.23</v>
      </c>
      <c r="G865" s="3106" t="s">
        <v>3166</v>
      </c>
    </row>
    <row r="866" spans="1:7" ht="15" thickBot="1">
      <c r="A866" s="3103">
        <v>1533</v>
      </c>
      <c r="B866" s="3205" t="s">
        <v>3164</v>
      </c>
      <c r="C866" s="3206"/>
      <c r="D866" s="3104" t="s">
        <v>3485</v>
      </c>
      <c r="E866" s="3104" t="s">
        <v>463</v>
      </c>
      <c r="F866" s="3105">
        <v>51.55</v>
      </c>
      <c r="G866" s="3106" t="s">
        <v>3166</v>
      </c>
    </row>
    <row r="867" spans="1:7" ht="15" thickBot="1">
      <c r="A867" s="3103">
        <v>1534</v>
      </c>
      <c r="B867" s="3205" t="s">
        <v>3164</v>
      </c>
      <c r="C867" s="3206"/>
      <c r="D867" s="3104" t="s">
        <v>3486</v>
      </c>
      <c r="E867" s="3104" t="s">
        <v>463</v>
      </c>
      <c r="F867" s="3105">
        <v>52.12</v>
      </c>
      <c r="G867" s="3106" t="s">
        <v>3166</v>
      </c>
    </row>
    <row r="868" spans="1:7" ht="15" thickBot="1">
      <c r="A868" s="3103">
        <v>1535</v>
      </c>
      <c r="B868" s="3205" t="s">
        <v>3164</v>
      </c>
      <c r="C868" s="3206"/>
      <c r="D868" s="3104" t="s">
        <v>3487</v>
      </c>
      <c r="E868" s="3104" t="s">
        <v>463</v>
      </c>
      <c r="F868" s="3105">
        <v>52.23</v>
      </c>
      <c r="G868" s="3106" t="s">
        <v>3166</v>
      </c>
    </row>
    <row r="869" spans="1:7" ht="15" thickBot="1">
      <c r="A869" s="3103">
        <v>1536</v>
      </c>
      <c r="B869" s="3205" t="s">
        <v>3164</v>
      </c>
      <c r="C869" s="3206"/>
      <c r="D869" s="3104" t="s">
        <v>3488</v>
      </c>
      <c r="E869" s="3104" t="s">
        <v>463</v>
      </c>
      <c r="F869" s="3105">
        <v>52.23</v>
      </c>
      <c r="G869" s="3106" t="s">
        <v>3166</v>
      </c>
    </row>
    <row r="870" spans="1:7" ht="15" thickBot="1">
      <c r="A870" s="3103">
        <v>1537</v>
      </c>
      <c r="B870" s="3205" t="s">
        <v>3164</v>
      </c>
      <c r="C870" s="3206"/>
      <c r="D870" s="3104" t="s">
        <v>3489</v>
      </c>
      <c r="E870" s="3104" t="s">
        <v>463</v>
      </c>
      <c r="F870" s="3105">
        <v>51.55</v>
      </c>
      <c r="G870" s="3106" t="s">
        <v>3166</v>
      </c>
    </row>
    <row r="871" spans="1:7" ht="15" thickBot="1">
      <c r="A871" s="3103">
        <v>1538</v>
      </c>
      <c r="B871" s="3205" t="s">
        <v>3164</v>
      </c>
      <c r="C871" s="3206"/>
      <c r="D871" s="3104" t="s">
        <v>3490</v>
      </c>
      <c r="E871" s="3104" t="s">
        <v>463</v>
      </c>
      <c r="F871" s="3105">
        <v>52.12</v>
      </c>
      <c r="G871" s="3106" t="s">
        <v>3166</v>
      </c>
    </row>
    <row r="872" spans="1:7" ht="15" thickBot="1">
      <c r="A872" s="3103">
        <v>1539</v>
      </c>
      <c r="B872" s="3205" t="s">
        <v>3164</v>
      </c>
      <c r="C872" s="3206"/>
      <c r="D872" s="3104" t="s">
        <v>3491</v>
      </c>
      <c r="E872" s="3104" t="s">
        <v>463</v>
      </c>
      <c r="F872" s="3105">
        <v>52.23</v>
      </c>
      <c r="G872" s="3106" t="s">
        <v>3166</v>
      </c>
    </row>
    <row r="873" spans="1:7" ht="15" thickBot="1">
      <c r="A873" s="3103">
        <v>1540</v>
      </c>
      <c r="B873" s="3205" t="s">
        <v>3164</v>
      </c>
      <c r="C873" s="3206"/>
      <c r="D873" s="3104" t="s">
        <v>3492</v>
      </c>
      <c r="E873" s="3104" t="s">
        <v>463</v>
      </c>
      <c r="F873" s="3105">
        <v>52.23</v>
      </c>
      <c r="G873" s="3106" t="s">
        <v>3166</v>
      </c>
    </row>
    <row r="874" spans="1:7" ht="15" thickBot="1">
      <c r="A874" s="3103">
        <v>1541</v>
      </c>
      <c r="B874" s="3205" t="s">
        <v>3164</v>
      </c>
      <c r="C874" s="3206"/>
      <c r="D874" s="3104" t="s">
        <v>3493</v>
      </c>
      <c r="E874" s="3104" t="s">
        <v>463</v>
      </c>
      <c r="F874" s="3105">
        <v>51.55</v>
      </c>
      <c r="G874" s="3106" t="s">
        <v>3166</v>
      </c>
    </row>
    <row r="875" spans="1:7" ht="15" thickBot="1">
      <c r="A875" s="3103">
        <v>1542</v>
      </c>
      <c r="B875" s="3205" t="s">
        <v>3164</v>
      </c>
      <c r="C875" s="3206"/>
      <c r="D875" s="3104" t="s">
        <v>3494</v>
      </c>
      <c r="E875" s="3104" t="s">
        <v>463</v>
      </c>
      <c r="F875" s="3105">
        <v>52.12</v>
      </c>
      <c r="G875" s="3106" t="s">
        <v>3166</v>
      </c>
    </row>
    <row r="876" spans="1:7" ht="15" thickBot="1">
      <c r="A876" s="3103">
        <v>1543</v>
      </c>
      <c r="B876" s="3205" t="s">
        <v>3164</v>
      </c>
      <c r="C876" s="3206"/>
      <c r="D876" s="3104" t="s">
        <v>3495</v>
      </c>
      <c r="E876" s="3104" t="s">
        <v>463</v>
      </c>
      <c r="F876" s="3105">
        <v>52.23</v>
      </c>
      <c r="G876" s="3106" t="s">
        <v>3166</v>
      </c>
    </row>
    <row r="877" spans="1:7" ht="15" thickBot="1">
      <c r="A877" s="3103">
        <v>1544</v>
      </c>
      <c r="B877" s="3205" t="s">
        <v>3164</v>
      </c>
      <c r="C877" s="3206"/>
      <c r="D877" s="3104" t="s">
        <v>3496</v>
      </c>
      <c r="E877" s="3104" t="s">
        <v>463</v>
      </c>
      <c r="F877" s="3105">
        <v>52.23</v>
      </c>
      <c r="G877" s="3106" t="s">
        <v>3166</v>
      </c>
    </row>
    <row r="878" spans="1:7" ht="15" thickBot="1">
      <c r="A878" s="3103">
        <v>1545</v>
      </c>
      <c r="B878" s="3205" t="s">
        <v>3164</v>
      </c>
      <c r="C878" s="3206"/>
      <c r="D878" s="3104" t="s">
        <v>3497</v>
      </c>
      <c r="E878" s="3104" t="s">
        <v>463</v>
      </c>
      <c r="F878" s="3105">
        <v>51.55</v>
      </c>
      <c r="G878" s="3106" t="s">
        <v>3166</v>
      </c>
    </row>
    <row r="879" spans="1:7" ht="15" thickBot="1">
      <c r="A879" s="3103">
        <v>1546</v>
      </c>
      <c r="B879" s="3205" t="s">
        <v>3164</v>
      </c>
      <c r="C879" s="3206"/>
      <c r="D879" s="3104" t="s">
        <v>3498</v>
      </c>
      <c r="E879" s="3104" t="s">
        <v>463</v>
      </c>
      <c r="F879" s="3105">
        <v>52.12</v>
      </c>
      <c r="G879" s="3106" t="s">
        <v>3166</v>
      </c>
    </row>
    <row r="880" spans="1:7" ht="15" thickBot="1">
      <c r="A880" s="3103">
        <v>1547</v>
      </c>
      <c r="B880" s="3205" t="s">
        <v>3164</v>
      </c>
      <c r="C880" s="3206"/>
      <c r="D880" s="3104" t="s">
        <v>3499</v>
      </c>
      <c r="E880" s="3104" t="s">
        <v>463</v>
      </c>
      <c r="F880" s="3105">
        <v>52.23</v>
      </c>
      <c r="G880" s="3106" t="s">
        <v>3166</v>
      </c>
    </row>
    <row r="881" spans="1:7" ht="15" thickBot="1">
      <c r="A881" s="3103">
        <v>1548</v>
      </c>
      <c r="B881" s="3205" t="s">
        <v>3164</v>
      </c>
      <c r="C881" s="3206"/>
      <c r="D881" s="3104" t="s">
        <v>3500</v>
      </c>
      <c r="E881" s="3104" t="s">
        <v>463</v>
      </c>
      <c r="F881" s="3105">
        <v>52.23</v>
      </c>
      <c r="G881" s="3106" t="s">
        <v>3166</v>
      </c>
    </row>
    <row r="882" spans="1:7" ht="15" thickBot="1">
      <c r="A882" s="3103">
        <v>1549</v>
      </c>
      <c r="B882" s="3205" t="s">
        <v>3164</v>
      </c>
      <c r="C882" s="3206"/>
      <c r="D882" s="3104" t="s">
        <v>3501</v>
      </c>
      <c r="E882" s="3104" t="s">
        <v>463</v>
      </c>
      <c r="F882" s="3105">
        <v>51.55</v>
      </c>
      <c r="G882" s="3106" t="s">
        <v>3166</v>
      </c>
    </row>
    <row r="883" spans="1:7" ht="15" thickBot="1">
      <c r="A883" s="3103">
        <v>1550</v>
      </c>
      <c r="B883" s="3205" t="s">
        <v>3164</v>
      </c>
      <c r="C883" s="3206"/>
      <c r="D883" s="3104" t="s">
        <v>3502</v>
      </c>
      <c r="E883" s="3104" t="s">
        <v>463</v>
      </c>
      <c r="F883" s="3105">
        <v>52.12</v>
      </c>
      <c r="G883" s="3106" t="s">
        <v>3166</v>
      </c>
    </row>
    <row r="884" spans="1:7" ht="15" thickBot="1">
      <c r="A884" s="3103">
        <v>1551</v>
      </c>
      <c r="B884" s="3205" t="s">
        <v>3164</v>
      </c>
      <c r="C884" s="3206"/>
      <c r="D884" s="3104" t="s">
        <v>3503</v>
      </c>
      <c r="E884" s="3104" t="s">
        <v>463</v>
      </c>
      <c r="F884" s="3105">
        <v>52.23</v>
      </c>
      <c r="G884" s="3106" t="s">
        <v>3166</v>
      </c>
    </row>
    <row r="885" spans="1:7" ht="15" thickBot="1">
      <c r="A885" s="3103">
        <v>1552</v>
      </c>
      <c r="B885" s="3205" t="s">
        <v>3164</v>
      </c>
      <c r="C885" s="3206"/>
      <c r="D885" s="3104" t="s">
        <v>3504</v>
      </c>
      <c r="E885" s="3104" t="s">
        <v>463</v>
      </c>
      <c r="F885" s="3105">
        <v>52.23</v>
      </c>
      <c r="G885" s="3106" t="s">
        <v>3166</v>
      </c>
    </row>
    <row r="886" spans="1:7" ht="15" thickBot="1">
      <c r="A886" s="3103">
        <v>1553</v>
      </c>
      <c r="B886" s="3205" t="s">
        <v>3164</v>
      </c>
      <c r="C886" s="3206"/>
      <c r="D886" s="3104" t="s">
        <v>3505</v>
      </c>
      <c r="E886" s="3104" t="s">
        <v>463</v>
      </c>
      <c r="F886" s="3105">
        <v>51.55</v>
      </c>
      <c r="G886" s="3106" t="s">
        <v>3166</v>
      </c>
    </row>
    <row r="887" spans="1:7" ht="15" thickBot="1">
      <c r="A887" s="3103">
        <v>1554</v>
      </c>
      <c r="B887" s="3205" t="s">
        <v>3164</v>
      </c>
      <c r="C887" s="3206"/>
      <c r="D887" s="3104" t="s">
        <v>3506</v>
      </c>
      <c r="E887" s="3104" t="s">
        <v>463</v>
      </c>
      <c r="F887" s="3105">
        <v>52.12</v>
      </c>
      <c r="G887" s="3106" t="s">
        <v>3166</v>
      </c>
    </row>
    <row r="888" spans="1:7" ht="15" thickBot="1">
      <c r="A888" s="3103">
        <v>1555</v>
      </c>
      <c r="B888" s="3205" t="s">
        <v>3164</v>
      </c>
      <c r="C888" s="3206"/>
      <c r="D888" s="3104" t="s">
        <v>3507</v>
      </c>
      <c r="E888" s="3104" t="s">
        <v>463</v>
      </c>
      <c r="F888" s="3105">
        <v>52.23</v>
      </c>
      <c r="G888" s="3106" t="s">
        <v>3166</v>
      </c>
    </row>
    <row r="889" spans="1:7" ht="15" thickBot="1">
      <c r="A889" s="3103">
        <v>1556</v>
      </c>
      <c r="B889" s="3205" t="s">
        <v>3164</v>
      </c>
      <c r="C889" s="3206"/>
      <c r="D889" s="3104" t="s">
        <v>3508</v>
      </c>
      <c r="E889" s="3104" t="s">
        <v>463</v>
      </c>
      <c r="F889" s="3105">
        <v>52.23</v>
      </c>
      <c r="G889" s="3106" t="s">
        <v>3166</v>
      </c>
    </row>
    <row r="890" spans="1:7" ht="15" thickBot="1">
      <c r="A890" s="3103">
        <v>1557</v>
      </c>
      <c r="B890" s="3205" t="s">
        <v>3164</v>
      </c>
      <c r="C890" s="3206"/>
      <c r="D890" s="3104" t="s">
        <v>3509</v>
      </c>
      <c r="E890" s="3104" t="s">
        <v>463</v>
      </c>
      <c r="F890" s="3105">
        <v>51.55</v>
      </c>
      <c r="G890" s="3106" t="s">
        <v>3166</v>
      </c>
    </row>
    <row r="891" spans="1:7" ht="15" thickBot="1">
      <c r="A891" s="3103">
        <v>1558</v>
      </c>
      <c r="B891" s="3205" t="s">
        <v>3164</v>
      </c>
      <c r="C891" s="3206"/>
      <c r="D891" s="3104" t="s">
        <v>3510</v>
      </c>
      <c r="E891" s="3104" t="s">
        <v>463</v>
      </c>
      <c r="F891" s="3105">
        <v>52.12</v>
      </c>
      <c r="G891" s="3106" t="s">
        <v>3166</v>
      </c>
    </row>
    <row r="892" spans="1:7" ht="15" thickBot="1">
      <c r="A892" s="3103">
        <v>1559</v>
      </c>
      <c r="B892" s="3205" t="s">
        <v>3164</v>
      </c>
      <c r="C892" s="3206"/>
      <c r="D892" s="3104" t="s">
        <v>3511</v>
      </c>
      <c r="E892" s="3104" t="s">
        <v>463</v>
      </c>
      <c r="F892" s="3105">
        <v>52.23</v>
      </c>
      <c r="G892" s="3106" t="s">
        <v>3166</v>
      </c>
    </row>
    <row r="893" spans="1:7" ht="15" thickBot="1">
      <c r="A893" s="3103">
        <v>1560</v>
      </c>
      <c r="B893" s="3205" t="s">
        <v>3164</v>
      </c>
      <c r="C893" s="3206"/>
      <c r="D893" s="3104" t="s">
        <v>3512</v>
      </c>
      <c r="E893" s="3104" t="s">
        <v>463</v>
      </c>
      <c r="F893" s="3105">
        <v>52.23</v>
      </c>
      <c r="G893" s="3106" t="s">
        <v>3166</v>
      </c>
    </row>
    <row r="894" spans="1:7" ht="15" thickBot="1">
      <c r="A894" s="3103">
        <v>1561</v>
      </c>
      <c r="B894" s="3205" t="s">
        <v>3164</v>
      </c>
      <c r="C894" s="3206"/>
      <c r="D894" s="3104" t="s">
        <v>3513</v>
      </c>
      <c r="E894" s="3104" t="s">
        <v>463</v>
      </c>
      <c r="F894" s="3105">
        <v>51.55</v>
      </c>
      <c r="G894" s="3106" t="s">
        <v>3166</v>
      </c>
    </row>
    <row r="895" spans="1:7" ht="15" thickBot="1">
      <c r="A895" s="3103">
        <v>1562</v>
      </c>
      <c r="B895" s="3205" t="s">
        <v>3164</v>
      </c>
      <c r="C895" s="3206"/>
      <c r="D895" s="3104" t="s">
        <v>3514</v>
      </c>
      <c r="E895" s="3104" t="s">
        <v>463</v>
      </c>
      <c r="F895" s="3105">
        <v>52.12</v>
      </c>
      <c r="G895" s="3106" t="s">
        <v>3166</v>
      </c>
    </row>
    <row r="896" spans="1:7" ht="15" thickBot="1">
      <c r="A896" s="3103">
        <v>1563</v>
      </c>
      <c r="B896" s="3205" t="s">
        <v>3164</v>
      </c>
      <c r="C896" s="3206"/>
      <c r="D896" s="3104" t="s">
        <v>3515</v>
      </c>
      <c r="E896" s="3104" t="s">
        <v>463</v>
      </c>
      <c r="F896" s="3105">
        <v>52.23</v>
      </c>
      <c r="G896" s="3106" t="s">
        <v>3166</v>
      </c>
    </row>
    <row r="897" spans="1:7" ht="15" thickBot="1">
      <c r="A897" s="3103">
        <v>1564</v>
      </c>
      <c r="B897" s="3205" t="s">
        <v>3164</v>
      </c>
      <c r="C897" s="3206"/>
      <c r="D897" s="3104" t="s">
        <v>3516</v>
      </c>
      <c r="E897" s="3104" t="s">
        <v>463</v>
      </c>
      <c r="F897" s="3105">
        <v>52.23</v>
      </c>
      <c r="G897" s="3106" t="s">
        <v>3166</v>
      </c>
    </row>
    <row r="898" spans="1:7" ht="15" thickBot="1">
      <c r="A898" s="3103">
        <v>1565</v>
      </c>
      <c r="B898" s="3205" t="s">
        <v>3164</v>
      </c>
      <c r="C898" s="3206"/>
      <c r="D898" s="3104" t="s">
        <v>3517</v>
      </c>
      <c r="E898" s="3104" t="s">
        <v>463</v>
      </c>
      <c r="F898" s="3105">
        <v>51.55</v>
      </c>
      <c r="G898" s="3106" t="s">
        <v>3166</v>
      </c>
    </row>
    <row r="899" spans="1:7" ht="15" thickBot="1">
      <c r="A899" s="3103">
        <v>1566</v>
      </c>
      <c r="B899" s="3205" t="s">
        <v>3164</v>
      </c>
      <c r="C899" s="3206"/>
      <c r="D899" s="3104" t="s">
        <v>3518</v>
      </c>
      <c r="E899" s="3104" t="s">
        <v>463</v>
      </c>
      <c r="F899" s="3105">
        <v>51.48</v>
      </c>
      <c r="G899" s="3106" t="s">
        <v>3166</v>
      </c>
    </row>
    <row r="900" spans="1:7" ht="15" thickBot="1">
      <c r="A900" s="3103">
        <v>1567</v>
      </c>
      <c r="B900" s="3205" t="s">
        <v>3164</v>
      </c>
      <c r="C900" s="3206"/>
      <c r="D900" s="3104" t="s">
        <v>3519</v>
      </c>
      <c r="E900" s="3104" t="s">
        <v>463</v>
      </c>
      <c r="F900" s="3105">
        <v>52.23</v>
      </c>
      <c r="G900" s="3106" t="s">
        <v>3166</v>
      </c>
    </row>
    <row r="901" spans="1:7" ht="15" thickBot="1">
      <c r="A901" s="3103">
        <v>1568</v>
      </c>
      <c r="B901" s="3205" t="s">
        <v>3164</v>
      </c>
      <c r="C901" s="3206"/>
      <c r="D901" s="3104" t="s">
        <v>3520</v>
      </c>
      <c r="E901" s="3104" t="s">
        <v>463</v>
      </c>
      <c r="F901" s="3105">
        <v>52.23</v>
      </c>
      <c r="G901" s="3106" t="s">
        <v>3166</v>
      </c>
    </row>
    <row r="902" spans="1:7" ht="15" thickBot="1">
      <c r="A902" s="3103">
        <v>1569</v>
      </c>
      <c r="B902" s="3205" t="s">
        <v>3164</v>
      </c>
      <c r="C902" s="3206"/>
      <c r="D902" s="3104" t="s">
        <v>3521</v>
      </c>
      <c r="E902" s="3104" t="s">
        <v>463</v>
      </c>
      <c r="F902" s="3105">
        <v>51.66</v>
      </c>
      <c r="G902" s="3106" t="s">
        <v>3166</v>
      </c>
    </row>
    <row r="903" spans="1:7" ht="15" thickBot="1">
      <c r="A903" s="3103">
        <v>1570</v>
      </c>
      <c r="B903" s="3205" t="s">
        <v>3164</v>
      </c>
      <c r="C903" s="3206"/>
      <c r="D903" s="3104" t="s">
        <v>3522</v>
      </c>
      <c r="E903" s="3104" t="s">
        <v>463</v>
      </c>
      <c r="F903" s="3105">
        <v>51.48</v>
      </c>
      <c r="G903" s="3106" t="s">
        <v>3166</v>
      </c>
    </row>
    <row r="904" spans="1:7" ht="15" thickBot="1">
      <c r="A904" s="3103">
        <v>1571</v>
      </c>
      <c r="B904" s="3205" t="s">
        <v>3164</v>
      </c>
      <c r="C904" s="3206"/>
      <c r="D904" s="3104" t="s">
        <v>3523</v>
      </c>
      <c r="E904" s="3104" t="s">
        <v>463</v>
      </c>
      <c r="F904" s="3105">
        <v>52.12</v>
      </c>
      <c r="G904" s="3106" t="s">
        <v>3166</v>
      </c>
    </row>
    <row r="905" spans="1:7" ht="15" thickBot="1">
      <c r="A905" s="3103">
        <v>1572</v>
      </c>
      <c r="B905" s="3205" t="s">
        <v>3164</v>
      </c>
      <c r="C905" s="3206"/>
      <c r="D905" s="3104" t="s">
        <v>3524</v>
      </c>
      <c r="E905" s="3104" t="s">
        <v>463</v>
      </c>
      <c r="F905" s="3105">
        <v>80.56</v>
      </c>
      <c r="G905" s="3106" t="s">
        <v>3166</v>
      </c>
    </row>
    <row r="906" spans="1:7" ht="15" thickBot="1">
      <c r="A906" s="3103">
        <v>1573</v>
      </c>
      <c r="B906" s="3205" t="s">
        <v>3164</v>
      </c>
      <c r="C906" s="3206"/>
      <c r="D906" s="3104" t="s">
        <v>3525</v>
      </c>
      <c r="E906" s="3104" t="s">
        <v>463</v>
      </c>
      <c r="F906" s="3105">
        <v>51.48</v>
      </c>
      <c r="G906" s="3106" t="s">
        <v>3166</v>
      </c>
    </row>
    <row r="907" spans="1:7" ht="15" thickBot="1">
      <c r="A907" s="3103">
        <v>1574</v>
      </c>
      <c r="B907" s="3205" t="s">
        <v>3164</v>
      </c>
      <c r="C907" s="3206"/>
      <c r="D907" s="3104" t="s">
        <v>3526</v>
      </c>
      <c r="E907" s="3104" t="s">
        <v>463</v>
      </c>
      <c r="F907" s="3105">
        <v>52.23</v>
      </c>
      <c r="G907" s="3106" t="s">
        <v>3166</v>
      </c>
    </row>
    <row r="908" spans="1:7" ht="15" thickBot="1">
      <c r="A908" s="3103">
        <v>1575</v>
      </c>
      <c r="B908" s="3205" t="s">
        <v>3164</v>
      </c>
      <c r="C908" s="3206"/>
      <c r="D908" s="3104" t="s">
        <v>3527</v>
      </c>
      <c r="E908" s="3104" t="s">
        <v>463</v>
      </c>
      <c r="F908" s="3105">
        <v>52.23</v>
      </c>
      <c r="G908" s="3106" t="s">
        <v>3166</v>
      </c>
    </row>
    <row r="909" spans="1:7" ht="15" thickBot="1">
      <c r="A909" s="3103">
        <v>1576</v>
      </c>
      <c r="B909" s="3205" t="s">
        <v>3164</v>
      </c>
      <c r="C909" s="3206"/>
      <c r="D909" s="3104" t="s">
        <v>3528</v>
      </c>
      <c r="E909" s="3104" t="s">
        <v>463</v>
      </c>
      <c r="F909" s="3105">
        <v>51.66</v>
      </c>
      <c r="G909" s="3106" t="s">
        <v>3166</v>
      </c>
    </row>
    <row r="910" spans="1:7" ht="15" thickBot="1">
      <c r="A910" s="3103">
        <v>1577</v>
      </c>
      <c r="B910" s="3205" t="s">
        <v>3164</v>
      </c>
      <c r="C910" s="3206"/>
      <c r="D910" s="3104" t="s">
        <v>3529</v>
      </c>
      <c r="E910" s="3104" t="s">
        <v>463</v>
      </c>
      <c r="F910" s="3105">
        <v>51.48</v>
      </c>
      <c r="G910" s="3106" t="s">
        <v>3166</v>
      </c>
    </row>
    <row r="911" spans="1:7" ht="15" thickBot="1">
      <c r="A911" s="3103">
        <v>1578</v>
      </c>
      <c r="B911" s="3205" t="s">
        <v>3164</v>
      </c>
      <c r="C911" s="3206"/>
      <c r="D911" s="3104" t="s">
        <v>3530</v>
      </c>
      <c r="E911" s="3104" t="s">
        <v>463</v>
      </c>
      <c r="F911" s="3105">
        <v>52.23</v>
      </c>
      <c r="G911" s="3106" t="s">
        <v>3166</v>
      </c>
    </row>
    <row r="912" spans="1:7" ht="15" thickBot="1">
      <c r="A912" s="3103">
        <v>1579</v>
      </c>
      <c r="B912" s="3205" t="s">
        <v>3164</v>
      </c>
      <c r="C912" s="3206"/>
      <c r="D912" s="3104" t="s">
        <v>3531</v>
      </c>
      <c r="E912" s="3104" t="s">
        <v>463</v>
      </c>
      <c r="F912" s="3105">
        <v>52.23</v>
      </c>
      <c r="G912" s="3106" t="s">
        <v>3166</v>
      </c>
    </row>
    <row r="913" spans="1:7" ht="15" thickBot="1">
      <c r="A913" s="3103">
        <v>1580</v>
      </c>
      <c r="B913" s="3205" t="s">
        <v>3164</v>
      </c>
      <c r="C913" s="3206"/>
      <c r="D913" s="3104" t="s">
        <v>3532</v>
      </c>
      <c r="E913" s="3104" t="s">
        <v>463</v>
      </c>
      <c r="F913" s="3105">
        <v>51.66</v>
      </c>
      <c r="G913" s="3106" t="s">
        <v>3166</v>
      </c>
    </row>
    <row r="914" spans="1:7" ht="15" thickBot="1">
      <c r="A914" s="3103">
        <v>1581</v>
      </c>
      <c r="B914" s="3205" t="s">
        <v>3164</v>
      </c>
      <c r="C914" s="3206"/>
      <c r="D914" s="3104" t="s">
        <v>3533</v>
      </c>
      <c r="E914" s="3104" t="s">
        <v>463</v>
      </c>
      <c r="F914" s="3105">
        <v>51.48</v>
      </c>
      <c r="G914" s="3106" t="s">
        <v>3166</v>
      </c>
    </row>
    <row r="915" spans="1:7" ht="15" thickBot="1">
      <c r="A915" s="3103">
        <v>1582</v>
      </c>
      <c r="B915" s="3205" t="s">
        <v>3164</v>
      </c>
      <c r="C915" s="3206"/>
      <c r="D915" s="3104" t="s">
        <v>3534</v>
      </c>
      <c r="E915" s="3104" t="s">
        <v>463</v>
      </c>
      <c r="F915" s="3105">
        <v>52.23</v>
      </c>
      <c r="G915" s="3106" t="s">
        <v>3166</v>
      </c>
    </row>
    <row r="916" spans="1:7" ht="15" thickBot="1">
      <c r="A916" s="3103">
        <v>1583</v>
      </c>
      <c r="B916" s="3205" t="s">
        <v>3164</v>
      </c>
      <c r="C916" s="3206"/>
      <c r="D916" s="3104" t="s">
        <v>3535</v>
      </c>
      <c r="E916" s="3104" t="s">
        <v>463</v>
      </c>
      <c r="F916" s="3105">
        <v>52.23</v>
      </c>
      <c r="G916" s="3106" t="s">
        <v>3166</v>
      </c>
    </row>
    <row r="917" spans="1:7" ht="15" thickBot="1">
      <c r="A917" s="3103">
        <v>1584</v>
      </c>
      <c r="B917" s="3205" t="s">
        <v>3164</v>
      </c>
      <c r="C917" s="3206"/>
      <c r="D917" s="3104" t="s">
        <v>3536</v>
      </c>
      <c r="E917" s="3104" t="s">
        <v>463</v>
      </c>
      <c r="F917" s="3105">
        <v>51.66</v>
      </c>
      <c r="G917" s="3106" t="s">
        <v>3166</v>
      </c>
    </row>
    <row r="918" spans="1:7" ht="15" thickBot="1">
      <c r="A918" s="3103">
        <v>1585</v>
      </c>
      <c r="B918" s="3205" t="s">
        <v>3164</v>
      </c>
      <c r="C918" s="3206"/>
      <c r="D918" s="3104" t="s">
        <v>3537</v>
      </c>
      <c r="E918" s="3104" t="s">
        <v>463</v>
      </c>
      <c r="F918" s="3105">
        <v>51.48</v>
      </c>
      <c r="G918" s="3106" t="s">
        <v>3166</v>
      </c>
    </row>
    <row r="919" spans="1:7" ht="15" thickBot="1">
      <c r="A919" s="3103">
        <v>1586</v>
      </c>
      <c r="B919" s="3205" t="s">
        <v>3164</v>
      </c>
      <c r="C919" s="3206"/>
      <c r="D919" s="3104" t="s">
        <v>3538</v>
      </c>
      <c r="E919" s="3104" t="s">
        <v>463</v>
      </c>
      <c r="F919" s="3105">
        <v>52.23</v>
      </c>
      <c r="G919" s="3106" t="s">
        <v>3166</v>
      </c>
    </row>
    <row r="920" spans="1:7" ht="15" thickBot="1">
      <c r="A920" s="3103">
        <v>1587</v>
      </c>
      <c r="B920" s="3205" t="s">
        <v>3164</v>
      </c>
      <c r="C920" s="3206"/>
      <c r="D920" s="3104" t="s">
        <v>3539</v>
      </c>
      <c r="E920" s="3104" t="s">
        <v>463</v>
      </c>
      <c r="F920" s="3105">
        <v>52.23</v>
      </c>
      <c r="G920" s="3106" t="s">
        <v>3166</v>
      </c>
    </row>
    <row r="921" spans="1:7" ht="15" thickBot="1">
      <c r="A921" s="3103">
        <v>1588</v>
      </c>
      <c r="B921" s="3205" t="s">
        <v>3164</v>
      </c>
      <c r="C921" s="3206"/>
      <c r="D921" s="3104" t="s">
        <v>3540</v>
      </c>
      <c r="E921" s="3104" t="s">
        <v>463</v>
      </c>
      <c r="F921" s="3105">
        <v>51.66</v>
      </c>
      <c r="G921" s="3106" t="s">
        <v>3166</v>
      </c>
    </row>
    <row r="922" spans="1:7" ht="15" thickBot="1">
      <c r="A922" s="3103">
        <v>1589</v>
      </c>
      <c r="B922" s="3205" t="s">
        <v>3164</v>
      </c>
      <c r="C922" s="3206"/>
      <c r="D922" s="3104" t="s">
        <v>3541</v>
      </c>
      <c r="E922" s="3104" t="s">
        <v>463</v>
      </c>
      <c r="F922" s="3105">
        <v>51.48</v>
      </c>
      <c r="G922" s="3106" t="s">
        <v>3166</v>
      </c>
    </row>
    <row r="923" spans="1:7" ht="15" thickBot="1">
      <c r="A923" s="3103">
        <v>1590</v>
      </c>
      <c r="B923" s="3205" t="s">
        <v>3164</v>
      </c>
      <c r="C923" s="3206"/>
      <c r="D923" s="3104" t="s">
        <v>3542</v>
      </c>
      <c r="E923" s="3104" t="s">
        <v>463</v>
      </c>
      <c r="F923" s="3105">
        <v>52.23</v>
      </c>
      <c r="G923" s="3106" t="s">
        <v>3166</v>
      </c>
    </row>
    <row r="924" spans="1:7" ht="15" thickBot="1">
      <c r="A924" s="3103">
        <v>1591</v>
      </c>
      <c r="B924" s="3205" t="s">
        <v>3164</v>
      </c>
      <c r="C924" s="3206"/>
      <c r="D924" s="3104" t="s">
        <v>3543</v>
      </c>
      <c r="E924" s="3104" t="s">
        <v>463</v>
      </c>
      <c r="F924" s="3105">
        <v>52.23</v>
      </c>
      <c r="G924" s="3106" t="s">
        <v>3166</v>
      </c>
    </row>
    <row r="925" spans="1:7" ht="15" thickBot="1">
      <c r="A925" s="3103">
        <v>1592</v>
      </c>
      <c r="B925" s="3205" t="s">
        <v>3164</v>
      </c>
      <c r="C925" s="3206"/>
      <c r="D925" s="3104" t="s">
        <v>3544</v>
      </c>
      <c r="E925" s="3104" t="s">
        <v>463</v>
      </c>
      <c r="F925" s="3105">
        <v>51.66</v>
      </c>
      <c r="G925" s="3106" t="s">
        <v>3166</v>
      </c>
    </row>
    <row r="926" spans="1:7" ht="15" thickBot="1">
      <c r="A926" s="3103">
        <v>1593</v>
      </c>
      <c r="B926" s="3205" t="s">
        <v>3164</v>
      </c>
      <c r="C926" s="3206"/>
      <c r="D926" s="3104" t="s">
        <v>3545</v>
      </c>
      <c r="E926" s="3104" t="s">
        <v>463</v>
      </c>
      <c r="F926" s="3105">
        <v>51.48</v>
      </c>
      <c r="G926" s="3106" t="s">
        <v>3166</v>
      </c>
    </row>
    <row r="927" spans="1:7" ht="15" thickBot="1">
      <c r="A927" s="3103">
        <v>1594</v>
      </c>
      <c r="B927" s="3205" t="s">
        <v>3164</v>
      </c>
      <c r="C927" s="3206"/>
      <c r="D927" s="3104" t="s">
        <v>3546</v>
      </c>
      <c r="E927" s="3104" t="s">
        <v>463</v>
      </c>
      <c r="F927" s="3105">
        <v>52.23</v>
      </c>
      <c r="G927" s="3106" t="s">
        <v>3166</v>
      </c>
    </row>
    <row r="928" spans="1:7" ht="15" thickBot="1">
      <c r="A928" s="3103">
        <v>1595</v>
      </c>
      <c r="B928" s="3205" t="s">
        <v>3164</v>
      </c>
      <c r="C928" s="3206"/>
      <c r="D928" s="3104" t="s">
        <v>3547</v>
      </c>
      <c r="E928" s="3104" t="s">
        <v>463</v>
      </c>
      <c r="F928" s="3105">
        <v>52.23</v>
      </c>
      <c r="G928" s="3106" t="s">
        <v>3166</v>
      </c>
    </row>
    <row r="929" spans="1:7" ht="15" thickBot="1">
      <c r="A929" s="3103">
        <v>1596</v>
      </c>
      <c r="B929" s="3205" t="s">
        <v>3164</v>
      </c>
      <c r="C929" s="3206"/>
      <c r="D929" s="3104" t="s">
        <v>3548</v>
      </c>
      <c r="E929" s="3104" t="s">
        <v>463</v>
      </c>
      <c r="F929" s="3105">
        <v>51.66</v>
      </c>
      <c r="G929" s="3106" t="s">
        <v>3166</v>
      </c>
    </row>
    <row r="930" spans="1:7" ht="15" thickBot="1">
      <c r="A930" s="3103">
        <v>1597</v>
      </c>
      <c r="B930" s="3205" t="s">
        <v>3164</v>
      </c>
      <c r="C930" s="3206"/>
      <c r="D930" s="3104" t="s">
        <v>3549</v>
      </c>
      <c r="E930" s="3104" t="s">
        <v>463</v>
      </c>
      <c r="F930" s="3105">
        <v>51.48</v>
      </c>
      <c r="G930" s="3106" t="s">
        <v>3166</v>
      </c>
    </row>
    <row r="931" spans="1:7" ht="15" thickBot="1">
      <c r="A931" s="3103">
        <v>1598</v>
      </c>
      <c r="B931" s="3205" t="s">
        <v>3164</v>
      </c>
      <c r="C931" s="3206"/>
      <c r="D931" s="3104" t="s">
        <v>3550</v>
      </c>
      <c r="E931" s="3104" t="s">
        <v>463</v>
      </c>
      <c r="F931" s="3105">
        <v>52.23</v>
      </c>
      <c r="G931" s="3106" t="s">
        <v>3166</v>
      </c>
    </row>
    <row r="932" spans="1:7" ht="15" thickBot="1">
      <c r="A932" s="3103">
        <v>1599</v>
      </c>
      <c r="B932" s="3205" t="s">
        <v>3164</v>
      </c>
      <c r="C932" s="3206"/>
      <c r="D932" s="3104" t="s">
        <v>3551</v>
      </c>
      <c r="E932" s="3104" t="s">
        <v>463</v>
      </c>
      <c r="F932" s="3105">
        <v>52.23</v>
      </c>
      <c r="G932" s="3106" t="s">
        <v>3166</v>
      </c>
    </row>
    <row r="933" spans="1:7" ht="15" thickBot="1">
      <c r="A933" s="3103">
        <v>1600</v>
      </c>
      <c r="B933" s="3205" t="s">
        <v>3164</v>
      </c>
      <c r="C933" s="3206"/>
      <c r="D933" s="3104" t="s">
        <v>3552</v>
      </c>
      <c r="E933" s="3104" t="s">
        <v>463</v>
      </c>
      <c r="F933" s="3105">
        <v>51.66</v>
      </c>
      <c r="G933" s="3106" t="s">
        <v>3166</v>
      </c>
    </row>
    <row r="934" spans="1:7" ht="15" thickBot="1">
      <c r="A934" s="3103">
        <v>1601</v>
      </c>
      <c r="B934" s="3205" t="s">
        <v>3164</v>
      </c>
      <c r="C934" s="3206"/>
      <c r="D934" s="3104" t="s">
        <v>3553</v>
      </c>
      <c r="E934" s="3104" t="s">
        <v>463</v>
      </c>
      <c r="F934" s="3105">
        <v>51.48</v>
      </c>
      <c r="G934" s="3106" t="s">
        <v>3166</v>
      </c>
    </row>
    <row r="935" spans="1:7" ht="15" thickBot="1">
      <c r="A935" s="3103">
        <v>1602</v>
      </c>
      <c r="B935" s="3205" t="s">
        <v>3164</v>
      </c>
      <c r="C935" s="3206"/>
      <c r="D935" s="3104" t="s">
        <v>3554</v>
      </c>
      <c r="E935" s="3104" t="s">
        <v>463</v>
      </c>
      <c r="F935" s="3105">
        <v>52.23</v>
      </c>
      <c r="G935" s="3106" t="s">
        <v>3166</v>
      </c>
    </row>
    <row r="936" spans="1:7" ht="15" thickBot="1">
      <c r="A936" s="3103">
        <v>1603</v>
      </c>
      <c r="B936" s="3205" t="s">
        <v>3164</v>
      </c>
      <c r="C936" s="3206"/>
      <c r="D936" s="3104" t="s">
        <v>3555</v>
      </c>
      <c r="E936" s="3104" t="s">
        <v>463</v>
      </c>
      <c r="F936" s="3105">
        <v>52.23</v>
      </c>
      <c r="G936" s="3106" t="s">
        <v>3166</v>
      </c>
    </row>
    <row r="937" spans="1:7" ht="15" thickBot="1">
      <c r="A937" s="3103">
        <v>1604</v>
      </c>
      <c r="B937" s="3205" t="s">
        <v>3164</v>
      </c>
      <c r="C937" s="3206"/>
      <c r="D937" s="3104" t="s">
        <v>3556</v>
      </c>
      <c r="E937" s="3104" t="s">
        <v>463</v>
      </c>
      <c r="F937" s="3105">
        <v>51.66</v>
      </c>
      <c r="G937" s="3106" t="s">
        <v>3166</v>
      </c>
    </row>
    <row r="938" spans="1:7" ht="15" thickBot="1">
      <c r="A938" s="3103">
        <v>1605</v>
      </c>
      <c r="B938" s="3205" t="s">
        <v>3164</v>
      </c>
      <c r="C938" s="3206"/>
      <c r="D938" s="3104" t="s">
        <v>3557</v>
      </c>
      <c r="E938" s="3104" t="s">
        <v>463</v>
      </c>
      <c r="F938" s="3105">
        <v>51.48</v>
      </c>
      <c r="G938" s="3106" t="s">
        <v>3166</v>
      </c>
    </row>
    <row r="939" spans="1:7" ht="15" thickBot="1">
      <c r="A939" s="3103">
        <v>1606</v>
      </c>
      <c r="B939" s="3205" t="s">
        <v>3164</v>
      </c>
      <c r="C939" s="3206"/>
      <c r="D939" s="3104" t="s">
        <v>3558</v>
      </c>
      <c r="E939" s="3104" t="s">
        <v>463</v>
      </c>
      <c r="F939" s="3105">
        <v>52.23</v>
      </c>
      <c r="G939" s="3106" t="s">
        <v>3166</v>
      </c>
    </row>
    <row r="940" spans="1:7" ht="15" thickBot="1">
      <c r="A940" s="3103">
        <v>1607</v>
      </c>
      <c r="B940" s="3205" t="s">
        <v>3164</v>
      </c>
      <c r="C940" s="3206"/>
      <c r="D940" s="3104" t="s">
        <v>3559</v>
      </c>
      <c r="E940" s="3104" t="s">
        <v>463</v>
      </c>
      <c r="F940" s="3105">
        <v>52.23</v>
      </c>
      <c r="G940" s="3106" t="s">
        <v>3166</v>
      </c>
    </row>
    <row r="941" spans="1:7" ht="15" thickBot="1">
      <c r="A941" s="3103">
        <v>1608</v>
      </c>
      <c r="B941" s="3205" t="s">
        <v>3164</v>
      </c>
      <c r="C941" s="3206"/>
      <c r="D941" s="3104" t="s">
        <v>3560</v>
      </c>
      <c r="E941" s="3104" t="s">
        <v>463</v>
      </c>
      <c r="F941" s="3105">
        <v>51.66</v>
      </c>
      <c r="G941" s="3106" t="s">
        <v>3166</v>
      </c>
    </row>
    <row r="942" spans="1:7" ht="15" thickBot="1">
      <c r="A942" s="3103">
        <v>1609</v>
      </c>
      <c r="B942" s="3205" t="s">
        <v>3164</v>
      </c>
      <c r="C942" s="3206"/>
      <c r="D942" s="3104" t="s">
        <v>3561</v>
      </c>
      <c r="E942" s="3104" t="s">
        <v>463</v>
      </c>
      <c r="F942" s="3105">
        <v>51.48</v>
      </c>
      <c r="G942" s="3106" t="s">
        <v>3166</v>
      </c>
    </row>
    <row r="943" spans="1:7" ht="15" thickBot="1">
      <c r="A943" s="3103">
        <v>1610</v>
      </c>
      <c r="B943" s="3205" t="s">
        <v>3164</v>
      </c>
      <c r="C943" s="3206"/>
      <c r="D943" s="3104" t="s">
        <v>3562</v>
      </c>
      <c r="E943" s="3104" t="s">
        <v>463</v>
      </c>
      <c r="F943" s="3105">
        <v>52.23</v>
      </c>
      <c r="G943" s="3106" t="s">
        <v>3166</v>
      </c>
    </row>
    <row r="944" spans="1:7" ht="15" thickBot="1">
      <c r="A944" s="3103">
        <v>1611</v>
      </c>
      <c r="B944" s="3205" t="s">
        <v>3164</v>
      </c>
      <c r="C944" s="3206"/>
      <c r="D944" s="3104" t="s">
        <v>3563</v>
      </c>
      <c r="E944" s="3104" t="s">
        <v>463</v>
      </c>
      <c r="F944" s="3105">
        <v>52.23</v>
      </c>
      <c r="G944" s="3106" t="s">
        <v>3166</v>
      </c>
    </row>
    <row r="945" spans="1:7" ht="15" thickBot="1">
      <c r="A945" s="3103">
        <v>1612</v>
      </c>
      <c r="B945" s="3205" t="s">
        <v>3164</v>
      </c>
      <c r="C945" s="3206"/>
      <c r="D945" s="3104" t="s">
        <v>3564</v>
      </c>
      <c r="E945" s="3104" t="s">
        <v>463</v>
      </c>
      <c r="F945" s="3105">
        <v>51.66</v>
      </c>
      <c r="G945" s="3106" t="s">
        <v>3166</v>
      </c>
    </row>
    <row r="946" spans="1:7" ht="15" thickBot="1">
      <c r="A946" s="3103">
        <v>1613</v>
      </c>
      <c r="B946" s="3205" t="s">
        <v>3164</v>
      </c>
      <c r="C946" s="3206"/>
      <c r="D946" s="3104" t="s">
        <v>3565</v>
      </c>
      <c r="E946" s="3104" t="s">
        <v>463</v>
      </c>
      <c r="F946" s="3105">
        <v>51.48</v>
      </c>
      <c r="G946" s="3106" t="s">
        <v>3166</v>
      </c>
    </row>
    <row r="947" spans="1:7" ht="15" thickBot="1">
      <c r="A947" s="3103">
        <v>1614</v>
      </c>
      <c r="B947" s="3205" t="s">
        <v>3164</v>
      </c>
      <c r="C947" s="3206"/>
      <c r="D947" s="3104" t="s">
        <v>3566</v>
      </c>
      <c r="E947" s="3104" t="s">
        <v>463</v>
      </c>
      <c r="F947" s="3105">
        <v>52.23</v>
      </c>
      <c r="G947" s="3106" t="s">
        <v>3166</v>
      </c>
    </row>
    <row r="948" spans="1:7" ht="15" thickBot="1">
      <c r="A948" s="3103">
        <v>1615</v>
      </c>
      <c r="B948" s="3205" t="s">
        <v>3164</v>
      </c>
      <c r="C948" s="3206"/>
      <c r="D948" s="3104" t="s">
        <v>3567</v>
      </c>
      <c r="E948" s="3104" t="s">
        <v>463</v>
      </c>
      <c r="F948" s="3105">
        <v>52.23</v>
      </c>
      <c r="G948" s="3106" t="s">
        <v>3166</v>
      </c>
    </row>
    <row r="949" spans="1:7" ht="15" thickBot="1">
      <c r="A949" s="3103">
        <v>1616</v>
      </c>
      <c r="B949" s="3205" t="s">
        <v>3164</v>
      </c>
      <c r="C949" s="3206"/>
      <c r="D949" s="3104" t="s">
        <v>3568</v>
      </c>
      <c r="E949" s="3104" t="s">
        <v>463</v>
      </c>
      <c r="F949" s="3105">
        <v>51.66</v>
      </c>
      <c r="G949" s="3106" t="s">
        <v>3166</v>
      </c>
    </row>
    <row r="950" spans="1:7" ht="15" thickBot="1">
      <c r="A950" s="3103">
        <v>1617</v>
      </c>
      <c r="B950" s="3205" t="s">
        <v>3164</v>
      </c>
      <c r="C950" s="3206"/>
      <c r="D950" s="3104" t="s">
        <v>3569</v>
      </c>
      <c r="E950" s="3104" t="s">
        <v>463</v>
      </c>
      <c r="F950" s="3105">
        <v>51.48</v>
      </c>
      <c r="G950" s="3106" t="s">
        <v>3166</v>
      </c>
    </row>
    <row r="951" spans="1:7" ht="15" thickBot="1">
      <c r="A951" s="3103">
        <v>1618</v>
      </c>
      <c r="B951" s="3205" t="s">
        <v>3164</v>
      </c>
      <c r="C951" s="3206"/>
      <c r="D951" s="3104" t="s">
        <v>3570</v>
      </c>
      <c r="E951" s="3104" t="s">
        <v>463</v>
      </c>
      <c r="F951" s="3105">
        <v>52.23</v>
      </c>
      <c r="G951" s="3106" t="s">
        <v>3166</v>
      </c>
    </row>
    <row r="952" spans="1:7" ht="15" thickBot="1">
      <c r="A952" s="3103">
        <v>1619</v>
      </c>
      <c r="B952" s="3205" t="s">
        <v>3164</v>
      </c>
      <c r="C952" s="3206"/>
      <c r="D952" s="3104" t="s">
        <v>3571</v>
      </c>
      <c r="E952" s="3104" t="s">
        <v>463</v>
      </c>
      <c r="F952" s="3105">
        <v>52.23</v>
      </c>
      <c r="G952" s="3106" t="s">
        <v>3166</v>
      </c>
    </row>
    <row r="953" spans="1:7" ht="15" thickBot="1">
      <c r="A953" s="3103">
        <v>1620</v>
      </c>
      <c r="B953" s="3205" t="s">
        <v>3164</v>
      </c>
      <c r="C953" s="3206"/>
      <c r="D953" s="3104" t="s">
        <v>3572</v>
      </c>
      <c r="E953" s="3104" t="s">
        <v>463</v>
      </c>
      <c r="F953" s="3105">
        <v>51.66</v>
      </c>
      <c r="G953" s="3106" t="s">
        <v>3166</v>
      </c>
    </row>
    <row r="954" spans="1:7" ht="15" thickBot="1">
      <c r="A954" s="3103">
        <v>1621</v>
      </c>
      <c r="B954" s="3205" t="s">
        <v>3164</v>
      </c>
      <c r="C954" s="3206"/>
      <c r="D954" s="3104" t="s">
        <v>3573</v>
      </c>
      <c r="E954" s="3104" t="s">
        <v>463</v>
      </c>
      <c r="F954" s="3105">
        <v>51.48</v>
      </c>
      <c r="G954" s="3106" t="s">
        <v>3166</v>
      </c>
    </row>
    <row r="955" spans="1:7" ht="15" thickBot="1">
      <c r="A955" s="3103">
        <v>1622</v>
      </c>
      <c r="B955" s="3205" t="s">
        <v>3164</v>
      </c>
      <c r="C955" s="3206"/>
      <c r="D955" s="3104" t="s">
        <v>3574</v>
      </c>
      <c r="E955" s="3104" t="s">
        <v>463</v>
      </c>
      <c r="F955" s="3105">
        <v>52.23</v>
      </c>
      <c r="G955" s="3106" t="s">
        <v>3166</v>
      </c>
    </row>
    <row r="956" spans="1:7" ht="15" thickBot="1">
      <c r="A956" s="3103">
        <v>1623</v>
      </c>
      <c r="B956" s="3205" t="s">
        <v>3164</v>
      </c>
      <c r="C956" s="3206"/>
      <c r="D956" s="3104" t="s">
        <v>3575</v>
      </c>
      <c r="E956" s="3104" t="s">
        <v>463</v>
      </c>
      <c r="F956" s="3105">
        <v>52.23</v>
      </c>
      <c r="G956" s="3106" t="s">
        <v>3166</v>
      </c>
    </row>
    <row r="957" spans="1:7" ht="15" thickBot="1">
      <c r="A957" s="3103">
        <v>1624</v>
      </c>
      <c r="B957" s="3205" t="s">
        <v>3164</v>
      </c>
      <c r="C957" s="3206"/>
      <c r="D957" s="3104" t="s">
        <v>3576</v>
      </c>
      <c r="E957" s="3104" t="s">
        <v>463</v>
      </c>
      <c r="F957" s="3105">
        <v>51.66</v>
      </c>
      <c r="G957" s="3106" t="s">
        <v>3166</v>
      </c>
    </row>
    <row r="958" spans="1:7" ht="15" thickBot="1">
      <c r="A958" s="3103">
        <v>1625</v>
      </c>
      <c r="B958" s="3205" t="s">
        <v>3164</v>
      </c>
      <c r="C958" s="3206"/>
      <c r="D958" s="3104" t="s">
        <v>3577</v>
      </c>
      <c r="E958" s="3104" t="s">
        <v>463</v>
      </c>
      <c r="F958" s="3105">
        <v>51.59</v>
      </c>
      <c r="G958" s="3106" t="s">
        <v>3166</v>
      </c>
    </row>
    <row r="959" spans="1:7" ht="15" thickBot="1">
      <c r="A959" s="3103">
        <v>1626</v>
      </c>
      <c r="B959" s="3205" t="s">
        <v>3164</v>
      </c>
      <c r="C959" s="3206"/>
      <c r="D959" s="3104" t="s">
        <v>3578</v>
      </c>
      <c r="E959" s="3104" t="s">
        <v>463</v>
      </c>
      <c r="F959" s="3105">
        <v>52.23</v>
      </c>
      <c r="G959" s="3106" t="s">
        <v>3166</v>
      </c>
    </row>
    <row r="960" spans="1:7" ht="15" thickBot="1">
      <c r="A960" s="3103">
        <v>1627</v>
      </c>
      <c r="B960" s="3205" t="s">
        <v>3164</v>
      </c>
      <c r="C960" s="3206"/>
      <c r="D960" s="3104" t="s">
        <v>3579</v>
      </c>
      <c r="E960" s="3104" t="s">
        <v>463</v>
      </c>
      <c r="F960" s="3105">
        <v>52.23</v>
      </c>
      <c r="G960" s="3106" t="s">
        <v>3166</v>
      </c>
    </row>
    <row r="961" spans="1:7" ht="15" thickBot="1">
      <c r="A961" s="3103">
        <v>1628</v>
      </c>
      <c r="B961" s="3205" t="s">
        <v>3164</v>
      </c>
      <c r="C961" s="3206"/>
      <c r="D961" s="3104" t="s">
        <v>3580</v>
      </c>
      <c r="E961" s="3104" t="s">
        <v>463</v>
      </c>
      <c r="F961" s="3105">
        <v>51.55</v>
      </c>
      <c r="G961" s="3106" t="s">
        <v>3166</v>
      </c>
    </row>
    <row r="962" spans="1:7" ht="15" thickBot="1">
      <c r="A962" s="3103">
        <v>1629</v>
      </c>
      <c r="B962" s="3205" t="s">
        <v>3164</v>
      </c>
      <c r="C962" s="3206"/>
      <c r="D962" s="3104" t="s">
        <v>3581</v>
      </c>
      <c r="E962" s="3104" t="s">
        <v>463</v>
      </c>
      <c r="F962" s="3105">
        <v>51.59</v>
      </c>
      <c r="G962" s="3106" t="s">
        <v>3166</v>
      </c>
    </row>
    <row r="963" spans="1:7" ht="15" thickBot="1">
      <c r="A963" s="3103">
        <v>1630</v>
      </c>
      <c r="B963" s="3205" t="s">
        <v>3164</v>
      </c>
      <c r="C963" s="3206"/>
      <c r="D963" s="3104" t="s">
        <v>3582</v>
      </c>
      <c r="E963" s="3104" t="s">
        <v>463</v>
      </c>
      <c r="F963" s="3105">
        <v>52.12</v>
      </c>
      <c r="G963" s="3106" t="s">
        <v>3166</v>
      </c>
    </row>
    <row r="964" spans="1:7" ht="15" thickBot="1">
      <c r="A964" s="3103">
        <v>1631</v>
      </c>
      <c r="B964" s="3205" t="s">
        <v>3164</v>
      </c>
      <c r="C964" s="3206"/>
      <c r="D964" s="3104" t="s">
        <v>3583</v>
      </c>
      <c r="E964" s="3104" t="s">
        <v>463</v>
      </c>
      <c r="F964" s="3105">
        <v>80.45</v>
      </c>
      <c r="G964" s="3106" t="s">
        <v>3166</v>
      </c>
    </row>
    <row r="965" spans="1:7" ht="15" thickBot="1">
      <c r="A965" s="3103">
        <v>1632</v>
      </c>
      <c r="B965" s="3205" t="s">
        <v>3164</v>
      </c>
      <c r="C965" s="3206"/>
      <c r="D965" s="3104" t="s">
        <v>3584</v>
      </c>
      <c r="E965" s="3104" t="s">
        <v>463</v>
      </c>
      <c r="F965" s="3105">
        <v>51.59</v>
      </c>
      <c r="G965" s="3106" t="s">
        <v>3166</v>
      </c>
    </row>
    <row r="966" spans="1:7" ht="15" thickBot="1">
      <c r="A966" s="3103">
        <v>1633</v>
      </c>
      <c r="B966" s="3205" t="s">
        <v>3164</v>
      </c>
      <c r="C966" s="3206"/>
      <c r="D966" s="3104" t="s">
        <v>3585</v>
      </c>
      <c r="E966" s="3104" t="s">
        <v>463</v>
      </c>
      <c r="F966" s="3105">
        <v>52.23</v>
      </c>
      <c r="G966" s="3106" t="s">
        <v>3166</v>
      </c>
    </row>
    <row r="967" spans="1:7" ht="15" thickBot="1">
      <c r="A967" s="3103">
        <v>1634</v>
      </c>
      <c r="B967" s="3205" t="s">
        <v>3164</v>
      </c>
      <c r="C967" s="3206"/>
      <c r="D967" s="3104" t="s">
        <v>3586</v>
      </c>
      <c r="E967" s="3104" t="s">
        <v>463</v>
      </c>
      <c r="F967" s="3105">
        <v>52.23</v>
      </c>
      <c r="G967" s="3106" t="s">
        <v>3166</v>
      </c>
    </row>
    <row r="968" spans="1:7" ht="15" thickBot="1">
      <c r="A968" s="3103">
        <v>1635</v>
      </c>
      <c r="B968" s="3205" t="s">
        <v>3164</v>
      </c>
      <c r="C968" s="3206"/>
      <c r="D968" s="3104" t="s">
        <v>3587</v>
      </c>
      <c r="E968" s="3104" t="s">
        <v>463</v>
      </c>
      <c r="F968" s="3105">
        <v>51.55</v>
      </c>
      <c r="G968" s="3106" t="s">
        <v>3166</v>
      </c>
    </row>
    <row r="969" spans="1:7" ht="15" thickBot="1">
      <c r="A969" s="3103">
        <v>1636</v>
      </c>
      <c r="B969" s="3205" t="s">
        <v>3164</v>
      </c>
      <c r="C969" s="3206"/>
      <c r="D969" s="3104" t="s">
        <v>3588</v>
      </c>
      <c r="E969" s="3104" t="s">
        <v>463</v>
      </c>
      <c r="F969" s="3105">
        <v>51.59</v>
      </c>
      <c r="G969" s="3106" t="s">
        <v>3166</v>
      </c>
    </row>
    <row r="970" spans="1:7" ht="15" thickBot="1">
      <c r="A970" s="3103">
        <v>1637</v>
      </c>
      <c r="B970" s="3205" t="s">
        <v>3164</v>
      </c>
      <c r="C970" s="3206"/>
      <c r="D970" s="3104" t="s">
        <v>3589</v>
      </c>
      <c r="E970" s="3104" t="s">
        <v>463</v>
      </c>
      <c r="F970" s="3105">
        <v>52.23</v>
      </c>
      <c r="G970" s="3106" t="s">
        <v>3166</v>
      </c>
    </row>
    <row r="971" spans="1:7" ht="15" thickBot="1">
      <c r="A971" s="3103">
        <v>1638</v>
      </c>
      <c r="B971" s="3205" t="s">
        <v>3164</v>
      </c>
      <c r="C971" s="3206"/>
      <c r="D971" s="3104" t="s">
        <v>3590</v>
      </c>
      <c r="E971" s="3104" t="s">
        <v>463</v>
      </c>
      <c r="F971" s="3105">
        <v>52.23</v>
      </c>
      <c r="G971" s="3106" t="s">
        <v>3166</v>
      </c>
    </row>
    <row r="972" spans="1:7" ht="15" thickBot="1">
      <c r="A972" s="3103">
        <v>1639</v>
      </c>
      <c r="B972" s="3205" t="s">
        <v>3164</v>
      </c>
      <c r="C972" s="3206"/>
      <c r="D972" s="3104" t="s">
        <v>3591</v>
      </c>
      <c r="E972" s="3104" t="s">
        <v>463</v>
      </c>
      <c r="F972" s="3105">
        <v>51.55</v>
      </c>
      <c r="G972" s="3106" t="s">
        <v>3166</v>
      </c>
    </row>
    <row r="973" spans="1:7" ht="15" thickBot="1">
      <c r="A973" s="3103">
        <v>1640</v>
      </c>
      <c r="B973" s="3205" t="s">
        <v>3164</v>
      </c>
      <c r="C973" s="3206"/>
      <c r="D973" s="3104" t="s">
        <v>3592</v>
      </c>
      <c r="E973" s="3104" t="s">
        <v>463</v>
      </c>
      <c r="F973" s="3105">
        <v>51.59</v>
      </c>
      <c r="G973" s="3106" t="s">
        <v>3166</v>
      </c>
    </row>
    <row r="974" spans="1:7" ht="15" thickBot="1">
      <c r="A974" s="3103">
        <v>1641</v>
      </c>
      <c r="B974" s="3205" t="s">
        <v>3164</v>
      </c>
      <c r="C974" s="3206"/>
      <c r="D974" s="3104" t="s">
        <v>3593</v>
      </c>
      <c r="E974" s="3104" t="s">
        <v>463</v>
      </c>
      <c r="F974" s="3105">
        <v>52.23</v>
      </c>
      <c r="G974" s="3106" t="s">
        <v>3166</v>
      </c>
    </row>
    <row r="975" spans="1:7" ht="15" thickBot="1">
      <c r="A975" s="3103">
        <v>1642</v>
      </c>
      <c r="B975" s="3205" t="s">
        <v>3164</v>
      </c>
      <c r="C975" s="3206"/>
      <c r="D975" s="3104" t="s">
        <v>3594</v>
      </c>
      <c r="E975" s="3104" t="s">
        <v>463</v>
      </c>
      <c r="F975" s="3105">
        <v>52.23</v>
      </c>
      <c r="G975" s="3106" t="s">
        <v>3166</v>
      </c>
    </row>
    <row r="976" spans="1:7" ht="15" thickBot="1">
      <c r="A976" s="3103">
        <v>1643</v>
      </c>
      <c r="B976" s="3205" t="s">
        <v>3164</v>
      </c>
      <c r="C976" s="3206"/>
      <c r="D976" s="3104" t="s">
        <v>3595</v>
      </c>
      <c r="E976" s="3104" t="s">
        <v>463</v>
      </c>
      <c r="F976" s="3105">
        <v>51.55</v>
      </c>
      <c r="G976" s="3106" t="s">
        <v>3166</v>
      </c>
    </row>
    <row r="977" spans="1:7" ht="15" thickBot="1">
      <c r="A977" s="3103">
        <v>1644</v>
      </c>
      <c r="B977" s="3205" t="s">
        <v>3164</v>
      </c>
      <c r="C977" s="3206"/>
      <c r="D977" s="3104" t="s">
        <v>3596</v>
      </c>
      <c r="E977" s="3104" t="s">
        <v>463</v>
      </c>
      <c r="F977" s="3105">
        <v>51.59</v>
      </c>
      <c r="G977" s="3106" t="s">
        <v>3166</v>
      </c>
    </row>
    <row r="978" spans="1:7" ht="15" thickBot="1">
      <c r="A978" s="3103">
        <v>1645</v>
      </c>
      <c r="B978" s="3205" t="s">
        <v>3164</v>
      </c>
      <c r="C978" s="3206"/>
      <c r="D978" s="3104" t="s">
        <v>3597</v>
      </c>
      <c r="E978" s="3104" t="s">
        <v>463</v>
      </c>
      <c r="F978" s="3105">
        <v>52.23</v>
      </c>
      <c r="G978" s="3106" t="s">
        <v>3166</v>
      </c>
    </row>
    <row r="979" spans="1:7" ht="15" thickBot="1">
      <c r="A979" s="3103">
        <v>1646</v>
      </c>
      <c r="B979" s="3205" t="s">
        <v>3164</v>
      </c>
      <c r="C979" s="3206"/>
      <c r="D979" s="3104" t="s">
        <v>3598</v>
      </c>
      <c r="E979" s="3104" t="s">
        <v>463</v>
      </c>
      <c r="F979" s="3105">
        <v>52.23</v>
      </c>
      <c r="G979" s="3106" t="s">
        <v>3166</v>
      </c>
    </row>
    <row r="980" spans="1:7" ht="15" thickBot="1">
      <c r="A980" s="3103">
        <v>1647</v>
      </c>
      <c r="B980" s="3205" t="s">
        <v>3164</v>
      </c>
      <c r="C980" s="3206"/>
      <c r="D980" s="3104" t="s">
        <v>3599</v>
      </c>
      <c r="E980" s="3104" t="s">
        <v>463</v>
      </c>
      <c r="F980" s="3105">
        <v>51.55</v>
      </c>
      <c r="G980" s="3106" t="s">
        <v>3166</v>
      </c>
    </row>
    <row r="981" spans="1:7" ht="15" thickBot="1">
      <c r="A981" s="3103">
        <v>1648</v>
      </c>
      <c r="B981" s="3205" t="s">
        <v>3164</v>
      </c>
      <c r="C981" s="3206"/>
      <c r="D981" s="3104" t="s">
        <v>3600</v>
      </c>
      <c r="E981" s="3104" t="s">
        <v>463</v>
      </c>
      <c r="F981" s="3105">
        <v>51.59</v>
      </c>
      <c r="G981" s="3106" t="s">
        <v>3166</v>
      </c>
    </row>
    <row r="982" spans="1:7" ht="15" thickBot="1">
      <c r="A982" s="3103">
        <v>1649</v>
      </c>
      <c r="B982" s="3205" t="s">
        <v>3164</v>
      </c>
      <c r="C982" s="3206"/>
      <c r="D982" s="3104" t="s">
        <v>3601</v>
      </c>
      <c r="E982" s="3104" t="s">
        <v>463</v>
      </c>
      <c r="F982" s="3105">
        <v>52.23</v>
      </c>
      <c r="G982" s="3106" t="s">
        <v>3166</v>
      </c>
    </row>
    <row r="983" spans="1:7" ht="15" thickBot="1">
      <c r="A983" s="3103">
        <v>1650</v>
      </c>
      <c r="B983" s="3205" t="s">
        <v>3164</v>
      </c>
      <c r="C983" s="3206"/>
      <c r="D983" s="3104" t="s">
        <v>3602</v>
      </c>
      <c r="E983" s="3104" t="s">
        <v>463</v>
      </c>
      <c r="F983" s="3105">
        <v>52.23</v>
      </c>
      <c r="G983" s="3106" t="s">
        <v>3166</v>
      </c>
    </row>
    <row r="984" spans="1:7" ht="15" thickBot="1">
      <c r="A984" s="3103">
        <v>1651</v>
      </c>
      <c r="B984" s="3205" t="s">
        <v>3164</v>
      </c>
      <c r="C984" s="3206"/>
      <c r="D984" s="3104" t="s">
        <v>3603</v>
      </c>
      <c r="E984" s="3104" t="s">
        <v>463</v>
      </c>
      <c r="F984" s="3105">
        <v>51.55</v>
      </c>
      <c r="G984" s="3106" t="s">
        <v>3166</v>
      </c>
    </row>
    <row r="985" spans="1:7" ht="15" thickBot="1">
      <c r="A985" s="3103">
        <v>1652</v>
      </c>
      <c r="B985" s="3205" t="s">
        <v>3164</v>
      </c>
      <c r="C985" s="3206"/>
      <c r="D985" s="3104" t="s">
        <v>3604</v>
      </c>
      <c r="E985" s="3104" t="s">
        <v>463</v>
      </c>
      <c r="F985" s="3105">
        <v>51.59</v>
      </c>
      <c r="G985" s="3106" t="s">
        <v>3166</v>
      </c>
    </row>
    <row r="986" spans="1:7" ht="15" thickBot="1">
      <c r="A986" s="3103">
        <v>1653</v>
      </c>
      <c r="B986" s="3205" t="s">
        <v>3164</v>
      </c>
      <c r="C986" s="3206"/>
      <c r="D986" s="3104" t="s">
        <v>3605</v>
      </c>
      <c r="E986" s="3104" t="s">
        <v>463</v>
      </c>
      <c r="F986" s="3105">
        <v>52.23</v>
      </c>
      <c r="G986" s="3106" t="s">
        <v>3166</v>
      </c>
    </row>
    <row r="987" spans="1:7" ht="15" thickBot="1">
      <c r="A987" s="3103">
        <v>1654</v>
      </c>
      <c r="B987" s="3205" t="s">
        <v>3164</v>
      </c>
      <c r="C987" s="3206"/>
      <c r="D987" s="3104" t="s">
        <v>3606</v>
      </c>
      <c r="E987" s="3104" t="s">
        <v>463</v>
      </c>
      <c r="F987" s="3105">
        <v>52.23</v>
      </c>
      <c r="G987" s="3106" t="s">
        <v>3166</v>
      </c>
    </row>
    <row r="988" spans="1:7" ht="15" thickBot="1">
      <c r="A988" s="3103">
        <v>1655</v>
      </c>
      <c r="B988" s="3205" t="s">
        <v>3164</v>
      </c>
      <c r="C988" s="3206"/>
      <c r="D988" s="3104" t="s">
        <v>3607</v>
      </c>
      <c r="E988" s="3104" t="s">
        <v>463</v>
      </c>
      <c r="F988" s="3105">
        <v>51.55</v>
      </c>
      <c r="G988" s="3106" t="s">
        <v>3166</v>
      </c>
    </row>
    <row r="989" spans="1:7" ht="15" thickBot="1">
      <c r="A989" s="3103">
        <v>1656</v>
      </c>
      <c r="B989" s="3205" t="s">
        <v>3164</v>
      </c>
      <c r="C989" s="3206"/>
      <c r="D989" s="3104" t="s">
        <v>3608</v>
      </c>
      <c r="E989" s="3104" t="s">
        <v>463</v>
      </c>
      <c r="F989" s="3105">
        <v>51.59</v>
      </c>
      <c r="G989" s="3106" t="s">
        <v>3166</v>
      </c>
    </row>
    <row r="990" spans="1:7" ht="15" thickBot="1">
      <c r="A990" s="3103">
        <v>1657</v>
      </c>
      <c r="B990" s="3205" t="s">
        <v>3164</v>
      </c>
      <c r="C990" s="3206"/>
      <c r="D990" s="3104" t="s">
        <v>3609</v>
      </c>
      <c r="E990" s="3104" t="s">
        <v>463</v>
      </c>
      <c r="F990" s="3105">
        <v>52.23</v>
      </c>
      <c r="G990" s="3106" t="s">
        <v>3166</v>
      </c>
    </row>
    <row r="991" spans="1:7" ht="15" thickBot="1">
      <c r="A991" s="3103">
        <v>1658</v>
      </c>
      <c r="B991" s="3205" t="s">
        <v>3164</v>
      </c>
      <c r="C991" s="3206"/>
      <c r="D991" s="3104" t="s">
        <v>3610</v>
      </c>
      <c r="E991" s="3104" t="s">
        <v>463</v>
      </c>
      <c r="F991" s="3105">
        <v>52.23</v>
      </c>
      <c r="G991" s="3106" t="s">
        <v>3166</v>
      </c>
    </row>
    <row r="992" spans="1:7" ht="15" thickBot="1">
      <c r="A992" s="3103">
        <v>1659</v>
      </c>
      <c r="B992" s="3205" t="s">
        <v>3164</v>
      </c>
      <c r="C992" s="3206"/>
      <c r="D992" s="3104" t="s">
        <v>3611</v>
      </c>
      <c r="E992" s="3104" t="s">
        <v>463</v>
      </c>
      <c r="F992" s="3105">
        <v>51.55</v>
      </c>
      <c r="G992" s="3106" t="s">
        <v>3166</v>
      </c>
    </row>
    <row r="993" spans="1:7" ht="15" thickBot="1">
      <c r="A993" s="3103">
        <v>1660</v>
      </c>
      <c r="B993" s="3205" t="s">
        <v>3164</v>
      </c>
      <c r="C993" s="3206"/>
      <c r="D993" s="3104" t="s">
        <v>3612</v>
      </c>
      <c r="E993" s="3104" t="s">
        <v>463</v>
      </c>
      <c r="F993" s="3105">
        <v>51.59</v>
      </c>
      <c r="G993" s="3106" t="s">
        <v>3166</v>
      </c>
    </row>
    <row r="994" spans="1:7" ht="15" thickBot="1">
      <c r="A994" s="3103">
        <v>1661</v>
      </c>
      <c r="B994" s="3205" t="s">
        <v>3164</v>
      </c>
      <c r="C994" s="3206"/>
      <c r="D994" s="3104" t="s">
        <v>3613</v>
      </c>
      <c r="E994" s="3104" t="s">
        <v>463</v>
      </c>
      <c r="F994" s="3105">
        <v>52.23</v>
      </c>
      <c r="G994" s="3106" t="s">
        <v>3166</v>
      </c>
    </row>
    <row r="995" spans="1:7" ht="15" thickBot="1">
      <c r="A995" s="3103">
        <v>1662</v>
      </c>
      <c r="B995" s="3205" t="s">
        <v>3164</v>
      </c>
      <c r="C995" s="3206"/>
      <c r="D995" s="3104" t="s">
        <v>3614</v>
      </c>
      <c r="E995" s="3104" t="s">
        <v>463</v>
      </c>
      <c r="F995" s="3105">
        <v>52.23</v>
      </c>
      <c r="G995" s="3106" t="s">
        <v>3166</v>
      </c>
    </row>
    <row r="996" spans="1:7" ht="15" thickBot="1">
      <c r="A996" s="3103">
        <v>1663</v>
      </c>
      <c r="B996" s="3205" t="s">
        <v>3164</v>
      </c>
      <c r="C996" s="3206"/>
      <c r="D996" s="3104" t="s">
        <v>3615</v>
      </c>
      <c r="E996" s="3104" t="s">
        <v>463</v>
      </c>
      <c r="F996" s="3105">
        <v>51.55</v>
      </c>
      <c r="G996" s="3106" t="s">
        <v>3166</v>
      </c>
    </row>
    <row r="997" spans="1:7" ht="15" thickBot="1">
      <c r="A997" s="3103">
        <v>1664</v>
      </c>
      <c r="B997" s="3205" t="s">
        <v>3164</v>
      </c>
      <c r="C997" s="3206"/>
      <c r="D997" s="3104" t="s">
        <v>3616</v>
      </c>
      <c r="E997" s="3104" t="s">
        <v>463</v>
      </c>
      <c r="F997" s="3105">
        <v>51.59</v>
      </c>
      <c r="G997" s="3106" t="s">
        <v>3166</v>
      </c>
    </row>
    <row r="998" spans="1:7" ht="15" thickBot="1">
      <c r="A998" s="3103">
        <v>1665</v>
      </c>
      <c r="B998" s="3205" t="s">
        <v>3164</v>
      </c>
      <c r="C998" s="3206"/>
      <c r="D998" s="3104" t="s">
        <v>3617</v>
      </c>
      <c r="E998" s="3104" t="s">
        <v>463</v>
      </c>
      <c r="F998" s="3105">
        <v>52.23</v>
      </c>
      <c r="G998" s="3106" t="s">
        <v>3166</v>
      </c>
    </row>
    <row r="999" spans="1:7" ht="15" thickBot="1">
      <c r="A999" s="3103">
        <v>1666</v>
      </c>
      <c r="B999" s="3205" t="s">
        <v>3164</v>
      </c>
      <c r="C999" s="3206"/>
      <c r="D999" s="3104" t="s">
        <v>3618</v>
      </c>
      <c r="E999" s="3104" t="s">
        <v>463</v>
      </c>
      <c r="F999" s="3105">
        <v>52.23</v>
      </c>
      <c r="G999" s="3106" t="s">
        <v>3166</v>
      </c>
    </row>
    <row r="1000" spans="1:7" ht="15" thickBot="1">
      <c r="A1000" s="3103">
        <v>1667</v>
      </c>
      <c r="B1000" s="3205" t="s">
        <v>3164</v>
      </c>
      <c r="C1000" s="3206"/>
      <c r="D1000" s="3104" t="s">
        <v>3619</v>
      </c>
      <c r="E1000" s="3104" t="s">
        <v>463</v>
      </c>
      <c r="F1000" s="3105">
        <v>51.55</v>
      </c>
      <c r="G1000" s="3106" t="s">
        <v>3166</v>
      </c>
    </row>
    <row r="1001" spans="1:7" ht="15" thickBot="1">
      <c r="A1001" s="3103">
        <v>1668</v>
      </c>
      <c r="B1001" s="3205" t="s">
        <v>3164</v>
      </c>
      <c r="C1001" s="3206"/>
      <c r="D1001" s="3104" t="s">
        <v>3620</v>
      </c>
      <c r="E1001" s="3104" t="s">
        <v>463</v>
      </c>
      <c r="F1001" s="3105">
        <v>51.59</v>
      </c>
      <c r="G1001" s="3106" t="s">
        <v>3166</v>
      </c>
    </row>
    <row r="1002" spans="1:7" ht="15" thickBot="1">
      <c r="A1002" s="3103">
        <v>1669</v>
      </c>
      <c r="B1002" s="3205" t="s">
        <v>3164</v>
      </c>
      <c r="C1002" s="3206"/>
      <c r="D1002" s="3104" t="s">
        <v>3621</v>
      </c>
      <c r="E1002" s="3104" t="s">
        <v>463</v>
      </c>
      <c r="F1002" s="3105">
        <v>52.23</v>
      </c>
      <c r="G1002" s="3106" t="s">
        <v>3166</v>
      </c>
    </row>
    <row r="1003" spans="1:7" ht="15" thickBot="1">
      <c r="A1003" s="3103">
        <v>1670</v>
      </c>
      <c r="B1003" s="3205" t="s">
        <v>3164</v>
      </c>
      <c r="C1003" s="3206"/>
      <c r="D1003" s="3104" t="s">
        <v>3622</v>
      </c>
      <c r="E1003" s="3104" t="s">
        <v>463</v>
      </c>
      <c r="F1003" s="3105">
        <v>52.23</v>
      </c>
      <c r="G1003" s="3106" t="s">
        <v>3166</v>
      </c>
    </row>
    <row r="1004" spans="1:7" ht="15" thickBot="1">
      <c r="A1004" s="3103">
        <v>1671</v>
      </c>
      <c r="B1004" s="3205" t="s">
        <v>3164</v>
      </c>
      <c r="C1004" s="3206"/>
      <c r="D1004" s="3104" t="s">
        <v>3623</v>
      </c>
      <c r="E1004" s="3104" t="s">
        <v>463</v>
      </c>
      <c r="F1004" s="3105">
        <v>51.55</v>
      </c>
      <c r="G1004" s="3106" t="s">
        <v>3166</v>
      </c>
    </row>
    <row r="1005" spans="1:7" ht="15" thickBot="1">
      <c r="A1005" s="3103">
        <v>1672</v>
      </c>
      <c r="B1005" s="3205" t="s">
        <v>3164</v>
      </c>
      <c r="C1005" s="3206"/>
      <c r="D1005" s="3104" t="s">
        <v>3624</v>
      </c>
      <c r="E1005" s="3104" t="s">
        <v>463</v>
      </c>
      <c r="F1005" s="3105">
        <v>51.59</v>
      </c>
      <c r="G1005" s="3106" t="s">
        <v>3166</v>
      </c>
    </row>
    <row r="1006" spans="1:7" ht="15" thickBot="1">
      <c r="A1006" s="3103">
        <v>1673</v>
      </c>
      <c r="B1006" s="3205" t="s">
        <v>3164</v>
      </c>
      <c r="C1006" s="3206"/>
      <c r="D1006" s="3104" t="s">
        <v>3625</v>
      </c>
      <c r="E1006" s="3104" t="s">
        <v>463</v>
      </c>
      <c r="F1006" s="3105">
        <v>52.23</v>
      </c>
      <c r="G1006" s="3106" t="s">
        <v>3166</v>
      </c>
    </row>
    <row r="1007" spans="1:7" ht="15" thickBot="1">
      <c r="A1007" s="3103">
        <v>1674</v>
      </c>
      <c r="B1007" s="3205" t="s">
        <v>3164</v>
      </c>
      <c r="C1007" s="3206"/>
      <c r="D1007" s="3104" t="s">
        <v>3626</v>
      </c>
      <c r="E1007" s="3104" t="s">
        <v>463</v>
      </c>
      <c r="F1007" s="3105">
        <v>52.23</v>
      </c>
      <c r="G1007" s="3106" t="s">
        <v>3166</v>
      </c>
    </row>
    <row r="1008" spans="1:7" ht="15" thickBot="1">
      <c r="A1008" s="3103">
        <v>1675</v>
      </c>
      <c r="B1008" s="3205" t="s">
        <v>3164</v>
      </c>
      <c r="C1008" s="3206"/>
      <c r="D1008" s="3104" t="s">
        <v>3627</v>
      </c>
      <c r="E1008" s="3104" t="s">
        <v>463</v>
      </c>
      <c r="F1008" s="3105">
        <v>51.55</v>
      </c>
      <c r="G1008" s="3106" t="s">
        <v>3166</v>
      </c>
    </row>
    <row r="1009" spans="1:7" ht="15" thickBot="1">
      <c r="A1009" s="3103">
        <v>1676</v>
      </c>
      <c r="B1009" s="3205" t="s">
        <v>3164</v>
      </c>
      <c r="C1009" s="3206"/>
      <c r="D1009" s="3104" t="s">
        <v>3628</v>
      </c>
      <c r="E1009" s="3104" t="s">
        <v>463</v>
      </c>
      <c r="F1009" s="3105">
        <v>51.59</v>
      </c>
      <c r="G1009" s="3106" t="s">
        <v>3166</v>
      </c>
    </row>
    <row r="1010" spans="1:7" ht="15" thickBot="1">
      <c r="A1010" s="3103">
        <v>1677</v>
      </c>
      <c r="B1010" s="3205" t="s">
        <v>3164</v>
      </c>
      <c r="C1010" s="3206"/>
      <c r="D1010" s="3104" t="s">
        <v>3629</v>
      </c>
      <c r="E1010" s="3104" t="s">
        <v>463</v>
      </c>
      <c r="F1010" s="3105">
        <v>52.23</v>
      </c>
      <c r="G1010" s="3106" t="s">
        <v>3166</v>
      </c>
    </row>
    <row r="1011" spans="1:7" ht="15" thickBot="1">
      <c r="A1011" s="3103">
        <v>1678</v>
      </c>
      <c r="B1011" s="3205" t="s">
        <v>3164</v>
      </c>
      <c r="C1011" s="3206"/>
      <c r="D1011" s="3104" t="s">
        <v>3630</v>
      </c>
      <c r="E1011" s="3104" t="s">
        <v>463</v>
      </c>
      <c r="F1011" s="3105">
        <v>52.23</v>
      </c>
      <c r="G1011" s="3106" t="s">
        <v>3166</v>
      </c>
    </row>
    <row r="1012" spans="1:7" ht="15" thickBot="1">
      <c r="A1012" s="3103">
        <v>1679</v>
      </c>
      <c r="B1012" s="3205" t="s">
        <v>3164</v>
      </c>
      <c r="C1012" s="3206"/>
      <c r="D1012" s="3104" t="s">
        <v>3631</v>
      </c>
      <c r="E1012" s="3104" t="s">
        <v>463</v>
      </c>
      <c r="F1012" s="3105">
        <v>51.55</v>
      </c>
      <c r="G1012" s="3106" t="s">
        <v>3166</v>
      </c>
    </row>
    <row r="1013" spans="1:7" ht="15" thickBot="1">
      <c r="A1013" s="3103">
        <v>1680</v>
      </c>
      <c r="B1013" s="3205" t="s">
        <v>3164</v>
      </c>
      <c r="C1013" s="3206"/>
      <c r="D1013" s="3104" t="s">
        <v>3632</v>
      </c>
      <c r="E1013" s="3104" t="s">
        <v>463</v>
      </c>
      <c r="F1013" s="3105">
        <v>51.59</v>
      </c>
      <c r="G1013" s="3106" t="s">
        <v>3166</v>
      </c>
    </row>
    <row r="1014" spans="1:7" ht="15" thickBot="1">
      <c r="A1014" s="3103">
        <v>1681</v>
      </c>
      <c r="B1014" s="3205" t="s">
        <v>3164</v>
      </c>
      <c r="C1014" s="3206"/>
      <c r="D1014" s="3104" t="s">
        <v>3633</v>
      </c>
      <c r="E1014" s="3104" t="s">
        <v>463</v>
      </c>
      <c r="F1014" s="3105">
        <v>52.23</v>
      </c>
      <c r="G1014" s="3106" t="s">
        <v>3166</v>
      </c>
    </row>
    <row r="1015" spans="1:7" ht="15" thickBot="1">
      <c r="A1015" s="3103">
        <v>1682</v>
      </c>
      <c r="B1015" s="3205" t="s">
        <v>3164</v>
      </c>
      <c r="C1015" s="3206"/>
      <c r="D1015" s="3104" t="s">
        <v>3634</v>
      </c>
      <c r="E1015" s="3104" t="s">
        <v>463</v>
      </c>
      <c r="F1015" s="3105">
        <v>52.23</v>
      </c>
      <c r="G1015" s="3106" t="s">
        <v>3166</v>
      </c>
    </row>
    <row r="1016" spans="1:7" ht="15" thickBot="1">
      <c r="A1016" s="3103">
        <v>1683</v>
      </c>
      <c r="B1016" s="3205" t="s">
        <v>3164</v>
      </c>
      <c r="C1016" s="3206"/>
      <c r="D1016" s="3104" t="s">
        <v>3635</v>
      </c>
      <c r="E1016" s="3104" t="s">
        <v>463</v>
      </c>
      <c r="F1016" s="3105">
        <v>51.55</v>
      </c>
      <c r="G1016" s="3106" t="s">
        <v>3166</v>
      </c>
    </row>
    <row r="1017" spans="1:7" ht="15" thickBot="1">
      <c r="A1017" s="3103">
        <v>1684</v>
      </c>
      <c r="B1017" s="3205" t="s">
        <v>3164</v>
      </c>
      <c r="C1017" s="3206"/>
      <c r="D1017" s="3104" t="s">
        <v>3636</v>
      </c>
      <c r="E1017" s="3104" t="s">
        <v>463</v>
      </c>
      <c r="F1017" s="3105">
        <v>51.48</v>
      </c>
      <c r="G1017" s="3106" t="s">
        <v>3166</v>
      </c>
    </row>
    <row r="1018" spans="1:7" ht="15" thickBot="1">
      <c r="A1018" s="3103">
        <v>1685</v>
      </c>
      <c r="B1018" s="3205" t="s">
        <v>3164</v>
      </c>
      <c r="C1018" s="3206"/>
      <c r="D1018" s="3104" t="s">
        <v>3637</v>
      </c>
      <c r="E1018" s="3104" t="s">
        <v>463</v>
      </c>
      <c r="F1018" s="3105">
        <v>52.23</v>
      </c>
      <c r="G1018" s="3106" t="s">
        <v>3166</v>
      </c>
    </row>
    <row r="1019" spans="1:7" ht="15" thickBot="1">
      <c r="A1019" s="3103">
        <v>1686</v>
      </c>
      <c r="B1019" s="3205" t="s">
        <v>3164</v>
      </c>
      <c r="C1019" s="3206"/>
      <c r="D1019" s="3104" t="s">
        <v>3638</v>
      </c>
      <c r="E1019" s="3104" t="s">
        <v>463</v>
      </c>
      <c r="F1019" s="3105">
        <v>52.23</v>
      </c>
      <c r="G1019" s="3106" t="s">
        <v>3166</v>
      </c>
    </row>
    <row r="1020" spans="1:7" ht="15" thickBot="1">
      <c r="A1020" s="3103">
        <v>1687</v>
      </c>
      <c r="B1020" s="3205" t="s">
        <v>3164</v>
      </c>
      <c r="C1020" s="3206"/>
      <c r="D1020" s="3104" t="s">
        <v>3639</v>
      </c>
      <c r="E1020" s="3104" t="s">
        <v>463</v>
      </c>
      <c r="F1020" s="3105">
        <v>52.19</v>
      </c>
      <c r="G1020" s="3106" t="s">
        <v>3166</v>
      </c>
    </row>
    <row r="1021" spans="1:7" ht="15" thickBot="1">
      <c r="A1021" s="3103">
        <v>1688</v>
      </c>
      <c r="B1021" s="3205" t="s">
        <v>3164</v>
      </c>
      <c r="C1021" s="3206"/>
      <c r="D1021" s="3104" t="s">
        <v>3640</v>
      </c>
      <c r="E1021" s="3104" t="s">
        <v>463</v>
      </c>
      <c r="F1021" s="3105">
        <v>51.48</v>
      </c>
      <c r="G1021" s="3106" t="s">
        <v>3166</v>
      </c>
    </row>
    <row r="1022" spans="1:7" ht="15" thickBot="1">
      <c r="A1022" s="3103">
        <v>1689</v>
      </c>
      <c r="B1022" s="3205" t="s">
        <v>3164</v>
      </c>
      <c r="C1022" s="3206"/>
      <c r="D1022" s="3104" t="s">
        <v>3641</v>
      </c>
      <c r="E1022" s="3104" t="s">
        <v>463</v>
      </c>
      <c r="F1022" s="3105">
        <v>52.12</v>
      </c>
      <c r="G1022" s="3106" t="s">
        <v>3166</v>
      </c>
    </row>
    <row r="1023" spans="1:7" ht="15" thickBot="1">
      <c r="A1023" s="3103">
        <v>1690</v>
      </c>
      <c r="B1023" s="3205" t="s">
        <v>3164</v>
      </c>
      <c r="C1023" s="3206"/>
      <c r="D1023" s="3104" t="s">
        <v>3642</v>
      </c>
      <c r="E1023" s="3104" t="s">
        <v>463</v>
      </c>
      <c r="F1023" s="3105">
        <v>80.680000000000007</v>
      </c>
      <c r="G1023" s="3106" t="s">
        <v>3166</v>
      </c>
    </row>
    <row r="1024" spans="1:7" ht="15" thickBot="1">
      <c r="A1024" s="3103">
        <v>1691</v>
      </c>
      <c r="B1024" s="3205" t="s">
        <v>3164</v>
      </c>
      <c r="C1024" s="3206"/>
      <c r="D1024" s="3104" t="s">
        <v>3643</v>
      </c>
      <c r="E1024" s="3104" t="s">
        <v>463</v>
      </c>
      <c r="F1024" s="3105">
        <v>51.48</v>
      </c>
      <c r="G1024" s="3106" t="s">
        <v>3166</v>
      </c>
    </row>
    <row r="1025" spans="1:7" ht="15" thickBot="1">
      <c r="A1025" s="3103">
        <v>1692</v>
      </c>
      <c r="B1025" s="3205" t="s">
        <v>3164</v>
      </c>
      <c r="C1025" s="3206"/>
      <c r="D1025" s="3104" t="s">
        <v>3644</v>
      </c>
      <c r="E1025" s="3104" t="s">
        <v>463</v>
      </c>
      <c r="F1025" s="3105">
        <v>52.23</v>
      </c>
      <c r="G1025" s="3106" t="s">
        <v>3166</v>
      </c>
    </row>
    <row r="1026" spans="1:7" ht="15" thickBot="1">
      <c r="A1026" s="3103">
        <v>1693</v>
      </c>
      <c r="B1026" s="3205" t="s">
        <v>3164</v>
      </c>
      <c r="C1026" s="3206"/>
      <c r="D1026" s="3104" t="s">
        <v>3645</v>
      </c>
      <c r="E1026" s="3104" t="s">
        <v>463</v>
      </c>
      <c r="F1026" s="3105">
        <v>52.23</v>
      </c>
      <c r="G1026" s="3106" t="s">
        <v>3166</v>
      </c>
    </row>
    <row r="1027" spans="1:7" ht="15" thickBot="1">
      <c r="A1027" s="3103">
        <v>1694</v>
      </c>
      <c r="B1027" s="3205" t="s">
        <v>3164</v>
      </c>
      <c r="C1027" s="3206"/>
      <c r="D1027" s="3104" t="s">
        <v>3646</v>
      </c>
      <c r="E1027" s="3104" t="s">
        <v>463</v>
      </c>
      <c r="F1027" s="3105">
        <v>52.19</v>
      </c>
      <c r="G1027" s="3106" t="s">
        <v>3166</v>
      </c>
    </row>
    <row r="1028" spans="1:7" ht="15" thickBot="1">
      <c r="A1028" s="3103">
        <v>1695</v>
      </c>
      <c r="B1028" s="3205" t="s">
        <v>3164</v>
      </c>
      <c r="C1028" s="3206"/>
      <c r="D1028" s="3104" t="s">
        <v>3647</v>
      </c>
      <c r="E1028" s="3104" t="s">
        <v>463</v>
      </c>
      <c r="F1028" s="3105">
        <v>51.48</v>
      </c>
      <c r="G1028" s="3106" t="s">
        <v>3166</v>
      </c>
    </row>
    <row r="1029" spans="1:7" ht="15" thickBot="1">
      <c r="A1029" s="3103">
        <v>1696</v>
      </c>
      <c r="B1029" s="3205" t="s">
        <v>3164</v>
      </c>
      <c r="C1029" s="3206"/>
      <c r="D1029" s="3104" t="s">
        <v>3648</v>
      </c>
      <c r="E1029" s="3104" t="s">
        <v>463</v>
      </c>
      <c r="F1029" s="3105">
        <v>52.23</v>
      </c>
      <c r="G1029" s="3106" t="s">
        <v>3166</v>
      </c>
    </row>
    <row r="1030" spans="1:7" ht="15" thickBot="1">
      <c r="A1030" s="3103">
        <v>1697</v>
      </c>
      <c r="B1030" s="3205" t="s">
        <v>3164</v>
      </c>
      <c r="C1030" s="3206"/>
      <c r="D1030" s="3104" t="s">
        <v>3649</v>
      </c>
      <c r="E1030" s="3104" t="s">
        <v>463</v>
      </c>
      <c r="F1030" s="3105">
        <v>52.23</v>
      </c>
      <c r="G1030" s="3106" t="s">
        <v>3166</v>
      </c>
    </row>
    <row r="1031" spans="1:7" ht="15" thickBot="1">
      <c r="A1031" s="3103">
        <v>1698</v>
      </c>
      <c r="B1031" s="3205" t="s">
        <v>3164</v>
      </c>
      <c r="C1031" s="3206"/>
      <c r="D1031" s="3104" t="s">
        <v>3650</v>
      </c>
      <c r="E1031" s="3104" t="s">
        <v>463</v>
      </c>
      <c r="F1031" s="3105">
        <v>52.19</v>
      </c>
      <c r="G1031" s="3106" t="s">
        <v>3166</v>
      </c>
    </row>
    <row r="1032" spans="1:7" ht="15" thickBot="1">
      <c r="A1032" s="3103">
        <v>1699</v>
      </c>
      <c r="B1032" s="3205" t="s">
        <v>3164</v>
      </c>
      <c r="C1032" s="3206"/>
      <c r="D1032" s="3104" t="s">
        <v>3651</v>
      </c>
      <c r="E1032" s="3104" t="s">
        <v>463</v>
      </c>
      <c r="F1032" s="3105">
        <v>51.48</v>
      </c>
      <c r="G1032" s="3106" t="s">
        <v>3166</v>
      </c>
    </row>
    <row r="1033" spans="1:7" ht="15" thickBot="1">
      <c r="A1033" s="3103">
        <v>1700</v>
      </c>
      <c r="B1033" s="3205" t="s">
        <v>3164</v>
      </c>
      <c r="C1033" s="3206"/>
      <c r="D1033" s="3104" t="s">
        <v>3652</v>
      </c>
      <c r="E1033" s="3104" t="s">
        <v>463</v>
      </c>
      <c r="F1033" s="3105">
        <v>52.23</v>
      </c>
      <c r="G1033" s="3106" t="s">
        <v>3166</v>
      </c>
    </row>
    <row r="1034" spans="1:7" ht="15" thickBot="1">
      <c r="A1034" s="3103">
        <v>1701</v>
      </c>
      <c r="B1034" s="3205" t="s">
        <v>3164</v>
      </c>
      <c r="C1034" s="3206"/>
      <c r="D1034" s="3104" t="s">
        <v>3653</v>
      </c>
      <c r="E1034" s="3104" t="s">
        <v>463</v>
      </c>
      <c r="F1034" s="3105">
        <v>52.23</v>
      </c>
      <c r="G1034" s="3106" t="s">
        <v>3166</v>
      </c>
    </row>
    <row r="1035" spans="1:7" ht="15" thickBot="1">
      <c r="A1035" s="3103">
        <v>1702</v>
      </c>
      <c r="B1035" s="3205" t="s">
        <v>3164</v>
      </c>
      <c r="C1035" s="3206"/>
      <c r="D1035" s="3104" t="s">
        <v>3654</v>
      </c>
      <c r="E1035" s="3104" t="s">
        <v>463</v>
      </c>
      <c r="F1035" s="3105">
        <v>52.19</v>
      </c>
      <c r="G1035" s="3106" t="s">
        <v>3166</v>
      </c>
    </row>
    <row r="1036" spans="1:7" ht="15" thickBot="1">
      <c r="A1036" s="3103">
        <v>1703</v>
      </c>
      <c r="B1036" s="3205" t="s">
        <v>3164</v>
      </c>
      <c r="C1036" s="3206"/>
      <c r="D1036" s="3104" t="s">
        <v>3655</v>
      </c>
      <c r="E1036" s="3104" t="s">
        <v>463</v>
      </c>
      <c r="F1036" s="3105">
        <v>51.48</v>
      </c>
      <c r="G1036" s="3106" t="s">
        <v>3166</v>
      </c>
    </row>
    <row r="1037" spans="1:7" ht="15" thickBot="1">
      <c r="A1037" s="3103">
        <v>1704</v>
      </c>
      <c r="B1037" s="3205" t="s">
        <v>3164</v>
      </c>
      <c r="C1037" s="3206"/>
      <c r="D1037" s="3104" t="s">
        <v>3656</v>
      </c>
      <c r="E1037" s="3104" t="s">
        <v>463</v>
      </c>
      <c r="F1037" s="3105">
        <v>52.23</v>
      </c>
      <c r="G1037" s="3106" t="s">
        <v>3166</v>
      </c>
    </row>
    <row r="1038" spans="1:7" ht="15" thickBot="1">
      <c r="A1038" s="3103">
        <v>1705</v>
      </c>
      <c r="B1038" s="3205" t="s">
        <v>3164</v>
      </c>
      <c r="C1038" s="3206"/>
      <c r="D1038" s="3104" t="s">
        <v>3657</v>
      </c>
      <c r="E1038" s="3104" t="s">
        <v>463</v>
      </c>
      <c r="F1038" s="3105">
        <v>52.23</v>
      </c>
      <c r="G1038" s="3106" t="s">
        <v>3166</v>
      </c>
    </row>
    <row r="1039" spans="1:7" ht="15" thickBot="1">
      <c r="A1039" s="3103">
        <v>1706</v>
      </c>
      <c r="B1039" s="3205" t="s">
        <v>3164</v>
      </c>
      <c r="C1039" s="3206"/>
      <c r="D1039" s="3104" t="s">
        <v>3658</v>
      </c>
      <c r="E1039" s="3104" t="s">
        <v>463</v>
      </c>
      <c r="F1039" s="3105">
        <v>52.19</v>
      </c>
      <c r="G1039" s="3106" t="s">
        <v>3166</v>
      </c>
    </row>
    <row r="1040" spans="1:7" ht="15" thickBot="1">
      <c r="A1040" s="3103">
        <v>1707</v>
      </c>
      <c r="B1040" s="3205" t="s">
        <v>3164</v>
      </c>
      <c r="C1040" s="3206"/>
      <c r="D1040" s="3104" t="s">
        <v>3659</v>
      </c>
      <c r="E1040" s="3104" t="s">
        <v>463</v>
      </c>
      <c r="F1040" s="3105">
        <v>51.48</v>
      </c>
      <c r="G1040" s="3106" t="s">
        <v>3166</v>
      </c>
    </row>
    <row r="1041" spans="1:7" ht="15" thickBot="1">
      <c r="A1041" s="3103">
        <v>1708</v>
      </c>
      <c r="B1041" s="3205" t="s">
        <v>3164</v>
      </c>
      <c r="C1041" s="3206"/>
      <c r="D1041" s="3104" t="s">
        <v>3660</v>
      </c>
      <c r="E1041" s="3104" t="s">
        <v>463</v>
      </c>
      <c r="F1041" s="3105">
        <v>52.23</v>
      </c>
      <c r="G1041" s="3106" t="s">
        <v>3166</v>
      </c>
    </row>
    <row r="1042" spans="1:7" ht="15" thickBot="1">
      <c r="A1042" s="3103">
        <v>1709</v>
      </c>
      <c r="B1042" s="3205" t="s">
        <v>3164</v>
      </c>
      <c r="C1042" s="3206"/>
      <c r="D1042" s="3104" t="s">
        <v>3661</v>
      </c>
      <c r="E1042" s="3104" t="s">
        <v>463</v>
      </c>
      <c r="F1042" s="3105">
        <v>52.23</v>
      </c>
      <c r="G1042" s="3106" t="s">
        <v>3166</v>
      </c>
    </row>
    <row r="1043" spans="1:7" ht="15" thickBot="1">
      <c r="A1043" s="3103">
        <v>1710</v>
      </c>
      <c r="B1043" s="3205" t="s">
        <v>3164</v>
      </c>
      <c r="C1043" s="3206"/>
      <c r="D1043" s="3104" t="s">
        <v>3662</v>
      </c>
      <c r="E1043" s="3104" t="s">
        <v>463</v>
      </c>
      <c r="F1043" s="3105">
        <v>52.19</v>
      </c>
      <c r="G1043" s="3106" t="s">
        <v>3166</v>
      </c>
    </row>
    <row r="1044" spans="1:7" ht="15" thickBot="1">
      <c r="A1044" s="3103">
        <v>1711</v>
      </c>
      <c r="B1044" s="3205" t="s">
        <v>3164</v>
      </c>
      <c r="C1044" s="3206"/>
      <c r="D1044" s="3104" t="s">
        <v>3663</v>
      </c>
      <c r="E1044" s="3104" t="s">
        <v>463</v>
      </c>
      <c r="F1044" s="3105">
        <v>51.48</v>
      </c>
      <c r="G1044" s="3106" t="s">
        <v>3166</v>
      </c>
    </row>
    <row r="1045" spans="1:7" ht="15" thickBot="1">
      <c r="A1045" s="3103">
        <v>1712</v>
      </c>
      <c r="B1045" s="3205" t="s">
        <v>3164</v>
      </c>
      <c r="C1045" s="3206"/>
      <c r="D1045" s="3104" t="s">
        <v>3664</v>
      </c>
      <c r="E1045" s="3104" t="s">
        <v>463</v>
      </c>
      <c r="F1045" s="3105">
        <v>52.23</v>
      </c>
      <c r="G1045" s="3106" t="s">
        <v>3166</v>
      </c>
    </row>
    <row r="1046" spans="1:7" ht="15" thickBot="1">
      <c r="A1046" s="3103">
        <v>1713</v>
      </c>
      <c r="B1046" s="3205" t="s">
        <v>3164</v>
      </c>
      <c r="C1046" s="3206"/>
      <c r="D1046" s="3104" t="s">
        <v>3665</v>
      </c>
      <c r="E1046" s="3104" t="s">
        <v>463</v>
      </c>
      <c r="F1046" s="3105">
        <v>52.23</v>
      </c>
      <c r="G1046" s="3106" t="s">
        <v>3166</v>
      </c>
    </row>
    <row r="1047" spans="1:7" ht="15" thickBot="1">
      <c r="A1047" s="3103">
        <v>1714</v>
      </c>
      <c r="B1047" s="3205" t="s">
        <v>3164</v>
      </c>
      <c r="C1047" s="3206"/>
      <c r="D1047" s="3104" t="s">
        <v>3666</v>
      </c>
      <c r="E1047" s="3104" t="s">
        <v>463</v>
      </c>
      <c r="F1047" s="3105">
        <v>52.19</v>
      </c>
      <c r="G1047" s="3106" t="s">
        <v>3166</v>
      </c>
    </row>
    <row r="1048" spans="1:7" ht="15" thickBot="1">
      <c r="A1048" s="3103">
        <v>1715</v>
      </c>
      <c r="B1048" s="3205" t="s">
        <v>3164</v>
      </c>
      <c r="C1048" s="3206"/>
      <c r="D1048" s="3104" t="s">
        <v>3667</v>
      </c>
      <c r="E1048" s="3104" t="s">
        <v>463</v>
      </c>
      <c r="F1048" s="3105">
        <v>51.48</v>
      </c>
      <c r="G1048" s="3106" t="s">
        <v>3166</v>
      </c>
    </row>
    <row r="1049" spans="1:7" ht="15" thickBot="1">
      <c r="A1049" s="3103">
        <v>1716</v>
      </c>
      <c r="B1049" s="3205" t="s">
        <v>3164</v>
      </c>
      <c r="C1049" s="3206"/>
      <c r="D1049" s="3104" t="s">
        <v>3668</v>
      </c>
      <c r="E1049" s="3104" t="s">
        <v>463</v>
      </c>
      <c r="F1049" s="3105">
        <v>52.23</v>
      </c>
      <c r="G1049" s="3106" t="s">
        <v>3166</v>
      </c>
    </row>
    <row r="1050" spans="1:7" ht="15" thickBot="1">
      <c r="A1050" s="3103">
        <v>1717</v>
      </c>
      <c r="B1050" s="3205" t="s">
        <v>3164</v>
      </c>
      <c r="C1050" s="3206"/>
      <c r="D1050" s="3104" t="s">
        <v>3669</v>
      </c>
      <c r="E1050" s="3104" t="s">
        <v>463</v>
      </c>
      <c r="F1050" s="3105">
        <v>52.23</v>
      </c>
      <c r="G1050" s="3106" t="s">
        <v>3166</v>
      </c>
    </row>
    <row r="1051" spans="1:7" ht="15" thickBot="1">
      <c r="A1051" s="3103">
        <v>1718</v>
      </c>
      <c r="B1051" s="3205" t="s">
        <v>3164</v>
      </c>
      <c r="C1051" s="3206"/>
      <c r="D1051" s="3104" t="s">
        <v>3670</v>
      </c>
      <c r="E1051" s="3104" t="s">
        <v>463</v>
      </c>
      <c r="F1051" s="3105">
        <v>52.19</v>
      </c>
      <c r="G1051" s="3106" t="s">
        <v>3166</v>
      </c>
    </row>
    <row r="1052" spans="1:7" ht="15" thickBot="1">
      <c r="A1052" s="3103">
        <v>1719</v>
      </c>
      <c r="B1052" s="3205" t="s">
        <v>3164</v>
      </c>
      <c r="C1052" s="3206"/>
      <c r="D1052" s="3104" t="s">
        <v>3671</v>
      </c>
      <c r="E1052" s="3104" t="s">
        <v>463</v>
      </c>
      <c r="F1052" s="3105">
        <v>51.48</v>
      </c>
      <c r="G1052" s="3106" t="s">
        <v>3166</v>
      </c>
    </row>
    <row r="1053" spans="1:7" ht="15" thickBot="1">
      <c r="A1053" s="3103">
        <v>1720</v>
      </c>
      <c r="B1053" s="3205" t="s">
        <v>3164</v>
      </c>
      <c r="C1053" s="3206"/>
      <c r="D1053" s="3104" t="s">
        <v>3672</v>
      </c>
      <c r="E1053" s="3104" t="s">
        <v>463</v>
      </c>
      <c r="F1053" s="3105">
        <v>52.23</v>
      </c>
      <c r="G1053" s="3106" t="s">
        <v>3166</v>
      </c>
    </row>
    <row r="1054" spans="1:7" ht="15" thickBot="1">
      <c r="A1054" s="3103">
        <v>1721</v>
      </c>
      <c r="B1054" s="3205" t="s">
        <v>3164</v>
      </c>
      <c r="C1054" s="3206"/>
      <c r="D1054" s="3104" t="s">
        <v>3673</v>
      </c>
      <c r="E1054" s="3104" t="s">
        <v>463</v>
      </c>
      <c r="F1054" s="3105">
        <v>52.23</v>
      </c>
      <c r="G1054" s="3106" t="s">
        <v>3166</v>
      </c>
    </row>
    <row r="1055" spans="1:7" ht="15" thickBot="1">
      <c r="A1055" s="3103">
        <v>1722</v>
      </c>
      <c r="B1055" s="3205" t="s">
        <v>3164</v>
      </c>
      <c r="C1055" s="3206"/>
      <c r="D1055" s="3104" t="s">
        <v>3674</v>
      </c>
      <c r="E1055" s="3104" t="s">
        <v>463</v>
      </c>
      <c r="F1055" s="3105">
        <v>52.19</v>
      </c>
      <c r="G1055" s="3106" t="s">
        <v>3166</v>
      </c>
    </row>
    <row r="1056" spans="1:7" ht="15" thickBot="1">
      <c r="A1056" s="3103">
        <v>1723</v>
      </c>
      <c r="B1056" s="3205" t="s">
        <v>3164</v>
      </c>
      <c r="C1056" s="3206"/>
      <c r="D1056" s="3104" t="s">
        <v>3675</v>
      </c>
      <c r="E1056" s="3104" t="s">
        <v>463</v>
      </c>
      <c r="F1056" s="3105">
        <v>51.48</v>
      </c>
      <c r="G1056" s="3106" t="s">
        <v>3166</v>
      </c>
    </row>
    <row r="1057" spans="1:7" ht="15" thickBot="1">
      <c r="A1057" s="3103">
        <v>1724</v>
      </c>
      <c r="B1057" s="3205" t="s">
        <v>3164</v>
      </c>
      <c r="C1057" s="3206"/>
      <c r="D1057" s="3104" t="s">
        <v>3676</v>
      </c>
      <c r="E1057" s="3104" t="s">
        <v>463</v>
      </c>
      <c r="F1057" s="3105">
        <v>52.23</v>
      </c>
      <c r="G1057" s="3106" t="s">
        <v>3166</v>
      </c>
    </row>
    <row r="1058" spans="1:7" ht="15" thickBot="1">
      <c r="A1058" s="3103">
        <v>1725</v>
      </c>
      <c r="B1058" s="3205" t="s">
        <v>3164</v>
      </c>
      <c r="C1058" s="3206"/>
      <c r="D1058" s="3104" t="s">
        <v>3677</v>
      </c>
      <c r="E1058" s="3104" t="s">
        <v>463</v>
      </c>
      <c r="F1058" s="3105">
        <v>52.23</v>
      </c>
      <c r="G1058" s="3106" t="s">
        <v>3166</v>
      </c>
    </row>
    <row r="1059" spans="1:7" ht="15" thickBot="1">
      <c r="A1059" s="3103">
        <v>1726</v>
      </c>
      <c r="B1059" s="3205" t="s">
        <v>3164</v>
      </c>
      <c r="C1059" s="3206"/>
      <c r="D1059" s="3104" t="s">
        <v>3678</v>
      </c>
      <c r="E1059" s="3104" t="s">
        <v>463</v>
      </c>
      <c r="F1059" s="3105">
        <v>52.19</v>
      </c>
      <c r="G1059" s="3106" t="s">
        <v>3166</v>
      </c>
    </row>
    <row r="1060" spans="1:7" ht="15" thickBot="1">
      <c r="A1060" s="3103">
        <v>1727</v>
      </c>
      <c r="B1060" s="3205" t="s">
        <v>3164</v>
      </c>
      <c r="C1060" s="3206"/>
      <c r="D1060" s="3104" t="s">
        <v>3679</v>
      </c>
      <c r="E1060" s="3104" t="s">
        <v>463</v>
      </c>
      <c r="F1060" s="3105">
        <v>51.48</v>
      </c>
      <c r="G1060" s="3106" t="s">
        <v>3166</v>
      </c>
    </row>
    <row r="1061" spans="1:7" ht="15" thickBot="1">
      <c r="A1061" s="3103">
        <v>1728</v>
      </c>
      <c r="B1061" s="3205" t="s">
        <v>3164</v>
      </c>
      <c r="C1061" s="3206"/>
      <c r="D1061" s="3104" t="s">
        <v>3680</v>
      </c>
      <c r="E1061" s="3104" t="s">
        <v>463</v>
      </c>
      <c r="F1061" s="3105">
        <v>52.23</v>
      </c>
      <c r="G1061" s="3106" t="s">
        <v>3166</v>
      </c>
    </row>
    <row r="1062" spans="1:7" ht="15" thickBot="1">
      <c r="A1062" s="3103">
        <v>1729</v>
      </c>
      <c r="B1062" s="3205" t="s">
        <v>3164</v>
      </c>
      <c r="C1062" s="3206"/>
      <c r="D1062" s="3104" t="s">
        <v>3681</v>
      </c>
      <c r="E1062" s="3104" t="s">
        <v>463</v>
      </c>
      <c r="F1062" s="3105">
        <v>52.23</v>
      </c>
      <c r="G1062" s="3106" t="s">
        <v>3166</v>
      </c>
    </row>
    <row r="1063" spans="1:7" ht="15" thickBot="1">
      <c r="A1063" s="3103">
        <v>1730</v>
      </c>
      <c r="B1063" s="3205" t="s">
        <v>3164</v>
      </c>
      <c r="C1063" s="3206"/>
      <c r="D1063" s="3104" t="s">
        <v>3682</v>
      </c>
      <c r="E1063" s="3104" t="s">
        <v>463</v>
      </c>
      <c r="F1063" s="3105">
        <v>52.19</v>
      </c>
      <c r="G1063" s="3106" t="s">
        <v>3166</v>
      </c>
    </row>
    <row r="1064" spans="1:7" ht="15" thickBot="1">
      <c r="A1064" s="3103">
        <v>1731</v>
      </c>
      <c r="B1064" s="3205" t="s">
        <v>3164</v>
      </c>
      <c r="C1064" s="3206"/>
      <c r="D1064" s="3104" t="s">
        <v>3683</v>
      </c>
      <c r="E1064" s="3104" t="s">
        <v>463</v>
      </c>
      <c r="F1064" s="3105">
        <v>51.48</v>
      </c>
      <c r="G1064" s="3106" t="s">
        <v>3166</v>
      </c>
    </row>
    <row r="1065" spans="1:7" ht="15" thickBot="1">
      <c r="A1065" s="3103">
        <v>1732</v>
      </c>
      <c r="B1065" s="3205" t="s">
        <v>3164</v>
      </c>
      <c r="C1065" s="3206"/>
      <c r="D1065" s="3104" t="s">
        <v>3684</v>
      </c>
      <c r="E1065" s="3104" t="s">
        <v>463</v>
      </c>
      <c r="F1065" s="3105">
        <v>52.23</v>
      </c>
      <c r="G1065" s="3106" t="s">
        <v>3166</v>
      </c>
    </row>
    <row r="1066" spans="1:7" ht="15" thickBot="1">
      <c r="A1066" s="3103">
        <v>1733</v>
      </c>
      <c r="B1066" s="3205" t="s">
        <v>3164</v>
      </c>
      <c r="C1066" s="3206"/>
      <c r="D1066" s="3104" t="s">
        <v>3685</v>
      </c>
      <c r="E1066" s="3104" t="s">
        <v>463</v>
      </c>
      <c r="F1066" s="3105">
        <v>52.23</v>
      </c>
      <c r="G1066" s="3106" t="s">
        <v>3166</v>
      </c>
    </row>
    <row r="1067" spans="1:7" ht="15" thickBot="1">
      <c r="A1067" s="3103">
        <v>1734</v>
      </c>
      <c r="B1067" s="3205" t="s">
        <v>3164</v>
      </c>
      <c r="C1067" s="3206"/>
      <c r="D1067" s="3104" t="s">
        <v>3686</v>
      </c>
      <c r="E1067" s="3104" t="s">
        <v>463</v>
      </c>
      <c r="F1067" s="3105">
        <v>52.19</v>
      </c>
      <c r="G1067" s="3106" t="s">
        <v>3166</v>
      </c>
    </row>
    <row r="1068" spans="1:7" ht="15" thickBot="1">
      <c r="A1068" s="3103">
        <v>1735</v>
      </c>
      <c r="B1068" s="3205" t="s">
        <v>3164</v>
      </c>
      <c r="C1068" s="3206"/>
      <c r="D1068" s="3104" t="s">
        <v>3687</v>
      </c>
      <c r="E1068" s="3104" t="s">
        <v>463</v>
      </c>
      <c r="F1068" s="3105">
        <v>51.48</v>
      </c>
      <c r="G1068" s="3106" t="s">
        <v>3166</v>
      </c>
    </row>
    <row r="1069" spans="1:7" ht="15" thickBot="1">
      <c r="A1069" s="3103">
        <v>1736</v>
      </c>
      <c r="B1069" s="3205" t="s">
        <v>3164</v>
      </c>
      <c r="C1069" s="3206"/>
      <c r="D1069" s="3104" t="s">
        <v>3688</v>
      </c>
      <c r="E1069" s="3104" t="s">
        <v>463</v>
      </c>
      <c r="F1069" s="3105">
        <v>52.23</v>
      </c>
      <c r="G1069" s="3106" t="s">
        <v>3166</v>
      </c>
    </row>
    <row r="1070" spans="1:7" ht="15" thickBot="1">
      <c r="A1070" s="3103">
        <v>1737</v>
      </c>
      <c r="B1070" s="3205" t="s">
        <v>3164</v>
      </c>
      <c r="C1070" s="3206"/>
      <c r="D1070" s="3104" t="s">
        <v>3689</v>
      </c>
      <c r="E1070" s="3104" t="s">
        <v>463</v>
      </c>
      <c r="F1070" s="3105">
        <v>52.23</v>
      </c>
      <c r="G1070" s="3106" t="s">
        <v>3166</v>
      </c>
    </row>
    <row r="1071" spans="1:7" ht="15" thickBot="1">
      <c r="A1071" s="3103">
        <v>1738</v>
      </c>
      <c r="B1071" s="3205" t="s">
        <v>3164</v>
      </c>
      <c r="C1071" s="3206"/>
      <c r="D1071" s="3104" t="s">
        <v>3690</v>
      </c>
      <c r="E1071" s="3104" t="s">
        <v>463</v>
      </c>
      <c r="F1071" s="3105">
        <v>52.19</v>
      </c>
      <c r="G1071" s="3106" t="s">
        <v>3166</v>
      </c>
    </row>
    <row r="1072" spans="1:7" ht="15" thickBot="1">
      <c r="A1072" s="3103">
        <v>1739</v>
      </c>
      <c r="B1072" s="3205" t="s">
        <v>3164</v>
      </c>
      <c r="C1072" s="3206"/>
      <c r="D1072" s="3104" t="s">
        <v>3691</v>
      </c>
      <c r="E1072" s="3104" t="s">
        <v>463</v>
      </c>
      <c r="F1072" s="3105">
        <v>51.48</v>
      </c>
      <c r="G1072" s="3106" t="s">
        <v>3166</v>
      </c>
    </row>
    <row r="1073" spans="1:7" ht="15" thickBot="1">
      <c r="A1073" s="3103">
        <v>1740</v>
      </c>
      <c r="B1073" s="3205" t="s">
        <v>3164</v>
      </c>
      <c r="C1073" s="3206"/>
      <c r="D1073" s="3104" t="s">
        <v>3692</v>
      </c>
      <c r="E1073" s="3104" t="s">
        <v>463</v>
      </c>
      <c r="F1073" s="3105">
        <v>52.23</v>
      </c>
      <c r="G1073" s="3106" t="s">
        <v>3166</v>
      </c>
    </row>
    <row r="1074" spans="1:7" ht="15" thickBot="1">
      <c r="A1074" s="3103">
        <v>1741</v>
      </c>
      <c r="B1074" s="3205" t="s">
        <v>3164</v>
      </c>
      <c r="C1074" s="3206"/>
      <c r="D1074" s="3104" t="s">
        <v>3693</v>
      </c>
      <c r="E1074" s="3104" t="s">
        <v>463</v>
      </c>
      <c r="F1074" s="3105">
        <v>52.23</v>
      </c>
      <c r="G1074" s="3106" t="s">
        <v>3166</v>
      </c>
    </row>
    <row r="1075" spans="1:7" ht="15" thickBot="1">
      <c r="A1075" s="3103">
        <v>1742</v>
      </c>
      <c r="B1075" s="3205" t="s">
        <v>3164</v>
      </c>
      <c r="C1075" s="3206"/>
      <c r="D1075" s="3104" t="s">
        <v>3694</v>
      </c>
      <c r="E1075" s="3104" t="s">
        <v>463</v>
      </c>
      <c r="F1075" s="3105">
        <v>52.19</v>
      </c>
      <c r="G1075" s="3106" t="s">
        <v>3166</v>
      </c>
    </row>
  </sheetData>
  <autoFilter ref="A1:G1075">
    <filterColumn colId="1" showButton="0">
      <filters>
        <filter val="C地块"/>
      </filters>
    </filterColumn>
  </autoFilter>
  <mergeCells count="1075">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s>
  <phoneticPr fontId="21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3:P28"/>
  <sheetViews>
    <sheetView workbookViewId="0">
      <selection activeCell="K20" sqref="K20"/>
    </sheetView>
  </sheetViews>
  <sheetFormatPr defaultColWidth="9" defaultRowHeight="13.5"/>
  <cols>
    <col min="3" max="3" width="11.375" customWidth="1"/>
    <col min="11" max="11" width="10" bestFit="1" customWidth="1"/>
    <col min="12" max="12" width="12.375" bestFit="1" customWidth="1"/>
    <col min="13" max="13" width="11.375" bestFit="1" customWidth="1"/>
    <col min="14" max="15" width="10" bestFit="1" customWidth="1"/>
    <col min="20" max="20" width="9.5" bestFit="1" customWidth="1"/>
  </cols>
  <sheetData>
    <row r="3" spans="4:16" ht="14.25" thickBot="1">
      <c r="J3" s="3047"/>
    </row>
    <row r="4" spans="4:16" ht="14.25" thickBot="1">
      <c r="E4" s="3048"/>
      <c r="F4" s="3048" t="s">
        <v>4242</v>
      </c>
      <c r="G4" s="3048" t="s">
        <v>4243</v>
      </c>
      <c r="H4" s="3048" t="s">
        <v>4244</v>
      </c>
      <c r="I4" s="3048" t="s">
        <v>4245</v>
      </c>
      <c r="J4" s="3048" t="s">
        <v>4246</v>
      </c>
      <c r="K4" s="3048" t="s">
        <v>4247</v>
      </c>
      <c r="L4" s="3048" t="s">
        <v>4248</v>
      </c>
      <c r="M4" s="3048" t="s">
        <v>4249</v>
      </c>
      <c r="N4" s="3048" t="s">
        <v>4250</v>
      </c>
      <c r="O4" s="3048" t="s">
        <v>4251</v>
      </c>
      <c r="P4" s="3048" t="s">
        <v>4252</v>
      </c>
    </row>
    <row r="5" spans="4:16" ht="14.25" thickBot="1">
      <c r="D5" t="s">
        <v>4253</v>
      </c>
      <c r="E5" s="3048" t="s">
        <v>4254</v>
      </c>
      <c r="F5" s="3112">
        <f>G18</f>
        <v>0</v>
      </c>
      <c r="G5" s="3112">
        <f t="shared" ref="G5:I5" si="0">H18</f>
        <v>2183.39</v>
      </c>
      <c r="H5" s="3112">
        <f t="shared" si="0"/>
        <v>0</v>
      </c>
      <c r="I5" s="3112">
        <f t="shared" si="0"/>
        <v>1203.22</v>
      </c>
      <c r="J5" s="3112">
        <f>SUM(F5:I5)</f>
        <v>3386.6099999999997</v>
      </c>
      <c r="K5" s="3048">
        <f>SUM([4]典型户型修正!S24:S32)</f>
        <v>2328</v>
      </c>
      <c r="L5" s="3048"/>
      <c r="M5" s="3085">
        <f>[4]结果表仓!H118</f>
        <v>210</v>
      </c>
      <c r="N5" s="3085"/>
      <c r="O5" s="3113">
        <f>SUM(K5:N5)</f>
        <v>2538</v>
      </c>
      <c r="P5" s="3085"/>
    </row>
    <row r="6" spans="4:16" ht="14.25" thickBot="1">
      <c r="D6" t="s">
        <v>3004</v>
      </c>
      <c r="E6" s="3048" t="s">
        <v>3005</v>
      </c>
      <c r="F6" s="3112">
        <f t="shared" ref="F6:I7" si="1">G19</f>
        <v>13554.37</v>
      </c>
      <c r="G6" s="3112">
        <f t="shared" si="1"/>
        <v>521.5</v>
      </c>
      <c r="H6" s="3112">
        <f t="shared" si="1"/>
        <v>369.19</v>
      </c>
      <c r="I6" s="3112">
        <f t="shared" si="1"/>
        <v>31571.54</v>
      </c>
      <c r="J6" s="3112">
        <f>SUM(F6:I6)</f>
        <v>46016.600000000006</v>
      </c>
      <c r="K6" s="3048">
        <f>SUM([4]典型户型修正!S33:S150)</f>
        <v>30748</v>
      </c>
      <c r="L6" s="3048"/>
      <c r="M6" s="3085"/>
      <c r="N6" s="3085">
        <f>[4]结果表车!G19</f>
        <v>8602</v>
      </c>
      <c r="O6" s="3113">
        <f>SUM(K6:N6)</f>
        <v>39350</v>
      </c>
      <c r="P6" s="3085"/>
    </row>
    <row r="7" spans="4:16" ht="14.25" thickBot="1">
      <c r="D7" t="s">
        <v>3006</v>
      </c>
      <c r="E7" s="3048" t="s">
        <v>4255</v>
      </c>
      <c r="F7" s="3112">
        <f t="shared" si="1"/>
        <v>56359.41</v>
      </c>
      <c r="G7" s="3112">
        <f t="shared" si="1"/>
        <v>2338.25</v>
      </c>
      <c r="H7" s="3112">
        <f t="shared" si="1"/>
        <v>0</v>
      </c>
      <c r="I7" s="3112">
        <f t="shared" si="1"/>
        <v>13611.27</v>
      </c>
      <c r="J7" s="3112">
        <f>SUM(F7:I7)</f>
        <v>72308.930000000008</v>
      </c>
      <c r="K7" s="3048"/>
      <c r="L7" s="3048"/>
      <c r="M7" s="3085"/>
      <c r="N7" s="3085"/>
      <c r="O7" s="3085"/>
      <c r="P7" s="3085"/>
    </row>
    <row r="8" spans="4:16" ht="14.25" thickBot="1">
      <c r="E8" s="3048"/>
      <c r="F8" s="3112">
        <f>SUM(F5:F7)</f>
        <v>69913.78</v>
      </c>
      <c r="G8" s="3112">
        <f t="shared" ref="G8:I8" si="2">SUM(G5:G7)</f>
        <v>5043.1399999999994</v>
      </c>
      <c r="H8" s="3112">
        <f t="shared" si="2"/>
        <v>369.19</v>
      </c>
      <c r="I8" s="3112">
        <f t="shared" si="2"/>
        <v>46386.03</v>
      </c>
      <c r="J8" s="3112">
        <f>SUM(J5:J7)</f>
        <v>121712.14000000001</v>
      </c>
      <c r="K8" s="3048"/>
      <c r="L8" s="3048"/>
      <c r="M8" s="3085"/>
      <c r="N8" s="3085"/>
      <c r="O8" s="3085"/>
      <c r="P8" s="3085"/>
    </row>
    <row r="9" spans="4:16" ht="14.25" thickBot="1">
      <c r="E9" s="3048"/>
      <c r="F9" s="3048"/>
      <c r="G9" s="3048"/>
      <c r="H9" s="3048"/>
      <c r="I9" s="3048"/>
      <c r="J9" s="3048"/>
    </row>
    <row r="10" spans="4:16" ht="14.25" thickBot="1">
      <c r="E10" s="3048"/>
      <c r="F10" s="3048"/>
      <c r="G10" s="3048"/>
      <c r="H10" s="3048"/>
      <c r="I10" s="3048"/>
      <c r="J10" s="3048"/>
    </row>
    <row r="11" spans="4:16">
      <c r="J11" s="3047"/>
    </row>
    <row r="15" spans="4:16">
      <c r="F15" s="3047"/>
    </row>
    <row r="16" spans="4:16" ht="14.25" thickBot="1"/>
    <row r="17" spans="5:15" ht="14.25" thickBot="1">
      <c r="F17" s="3048"/>
      <c r="G17" s="3048" t="s">
        <v>4256</v>
      </c>
      <c r="H17" s="3048" t="s">
        <v>4257</v>
      </c>
      <c r="I17" s="3048" t="s">
        <v>4258</v>
      </c>
      <c r="J17" s="3048" t="s">
        <v>4259</v>
      </c>
      <c r="K17" s="3048" t="s">
        <v>4260</v>
      </c>
      <c r="L17" s="3048" t="s">
        <v>4261</v>
      </c>
      <c r="M17" s="3048" t="s">
        <v>4262</v>
      </c>
      <c r="N17" s="3048" t="s">
        <v>4263</v>
      </c>
      <c r="O17" s="3048" t="s">
        <v>4264</v>
      </c>
    </row>
    <row r="18" spans="5:15" ht="14.25" thickBot="1">
      <c r="E18" t="s">
        <v>4265</v>
      </c>
      <c r="F18" s="3048" t="s">
        <v>4266</v>
      </c>
      <c r="G18" s="3112">
        <f>H31</f>
        <v>0</v>
      </c>
      <c r="H18" s="3112">
        <v>2183.39</v>
      </c>
      <c r="I18" s="3112">
        <f>J31</f>
        <v>0</v>
      </c>
      <c r="J18" s="3112">
        <v>1203.22</v>
      </c>
      <c r="K18" s="3112">
        <f>SUM(G18:J18)</f>
        <v>3386.6099999999997</v>
      </c>
      <c r="L18" s="3114"/>
      <c r="M18" s="3114">
        <v>2</v>
      </c>
      <c r="N18" s="3114"/>
      <c r="O18" s="3114">
        <v>45</v>
      </c>
    </row>
    <row r="19" spans="5:15" ht="14.25" thickBot="1">
      <c r="E19" t="s">
        <v>4253</v>
      </c>
      <c r="F19" s="3048" t="s">
        <v>4267</v>
      </c>
      <c r="G19" s="3112">
        <v>13554.37</v>
      </c>
      <c r="H19" s="3112">
        <v>521.5</v>
      </c>
      <c r="I19" s="3112">
        <v>369.19</v>
      </c>
      <c r="J19" s="3112">
        <v>31571.54</v>
      </c>
      <c r="K19" s="3112">
        <f t="shared" ref="K19:K20" si="3">SUM(G19:J19)</f>
        <v>46016.600000000006</v>
      </c>
      <c r="L19" s="3114">
        <v>146</v>
      </c>
      <c r="M19" s="3114">
        <v>1</v>
      </c>
      <c r="N19" s="3114">
        <v>5</v>
      </c>
      <c r="O19" s="3114">
        <v>1136</v>
      </c>
    </row>
    <row r="20" spans="5:15" ht="14.25" thickBot="1">
      <c r="E20" t="s">
        <v>4268</v>
      </c>
      <c r="F20" s="3048" t="s">
        <v>4269</v>
      </c>
      <c r="G20" s="3112">
        <v>56359.41</v>
      </c>
      <c r="H20" s="3112">
        <v>2338.25</v>
      </c>
      <c r="I20" s="3112"/>
      <c r="J20" s="3112">
        <v>13611.27</v>
      </c>
      <c r="K20" s="3112">
        <f t="shared" si="3"/>
        <v>72308.930000000008</v>
      </c>
      <c r="L20" s="3114">
        <v>928</v>
      </c>
      <c r="M20" s="3114">
        <v>2</v>
      </c>
      <c r="N20" s="3114"/>
      <c r="O20" s="3114">
        <v>462</v>
      </c>
    </row>
    <row r="21" spans="5:15" ht="14.25" thickBot="1">
      <c r="F21" s="3048"/>
      <c r="G21" s="3112">
        <f>SUM(G18:G20)</f>
        <v>69913.78</v>
      </c>
      <c r="H21" s="3112">
        <f t="shared" ref="H21:O21" si="4">SUM(H18:H20)</f>
        <v>5043.1399999999994</v>
      </c>
      <c r="I21" s="3112">
        <f t="shared" si="4"/>
        <v>369.19</v>
      </c>
      <c r="J21" s="3112">
        <f t="shared" si="4"/>
        <v>46386.03</v>
      </c>
      <c r="K21" s="3112">
        <f t="shared" si="4"/>
        <v>121712.14000000001</v>
      </c>
      <c r="L21" s="3114">
        <f t="shared" si="4"/>
        <v>1074</v>
      </c>
      <c r="M21" s="3114">
        <f t="shared" si="4"/>
        <v>5</v>
      </c>
      <c r="N21" s="3114">
        <f t="shared" si="4"/>
        <v>5</v>
      </c>
      <c r="O21" s="3114">
        <f t="shared" si="4"/>
        <v>1643</v>
      </c>
    </row>
    <row r="23" spans="5:15">
      <c r="L23" s="3092"/>
    </row>
    <row r="26" spans="5:15">
      <c r="F26" s="3047"/>
    </row>
    <row r="27" spans="5:15">
      <c r="F27" s="3047"/>
    </row>
    <row r="28" spans="5:15">
      <c r="F28" s="3047"/>
    </row>
  </sheetData>
  <phoneticPr fontId="21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7" customWidth="1"/>
    <col min="2" max="3" width="24.5" style="1370" customWidth="1"/>
    <col min="4" max="4" width="2.625" style="1370" customWidth="1"/>
    <col min="5" max="5" width="5.875" style="1370" customWidth="1"/>
    <col min="6" max="7" width="27" style="1370" customWidth="1"/>
    <col min="8" max="8" width="11.875" style="2418" customWidth="1"/>
    <col min="9" max="9" width="16.75" style="2418" customWidth="1"/>
    <col min="10" max="10" width="2.625" style="2418" customWidth="1"/>
    <col min="11" max="11" width="11.875" style="2418" customWidth="1"/>
    <col min="12" max="12" width="16.75" style="2418" customWidth="1"/>
    <col min="13" max="13" width="2.625" style="2418" customWidth="1"/>
    <col min="14" max="14" width="11.875" style="2418" customWidth="1"/>
    <col min="15" max="15" width="16.75" style="2418" customWidth="1"/>
    <col min="16" max="16" width="2.625" style="2418" customWidth="1"/>
    <col min="17" max="17" width="11.875" style="2418" customWidth="1"/>
    <col min="18" max="18" width="16.75" style="1999" customWidth="1"/>
    <col min="19" max="29" width="9" style="1999"/>
    <col min="30" max="16384" width="9" style="2417"/>
  </cols>
  <sheetData>
    <row r="1" spans="1:29" s="2416" customFormat="1" ht="18">
      <c r="A1" s="3213" t="s">
        <v>662</v>
      </c>
      <c r="B1" s="3214"/>
      <c r="C1" s="3214"/>
      <c r="D1" s="3214"/>
      <c r="E1" s="3214"/>
      <c r="F1" s="3214"/>
      <c r="G1" s="3214"/>
      <c r="H1" s="2419"/>
      <c r="I1" s="2419"/>
      <c r="J1" s="2419"/>
      <c r="K1" s="2419"/>
      <c r="L1" s="2419"/>
      <c r="M1" s="2419"/>
      <c r="N1" s="2419"/>
      <c r="O1" s="2419"/>
      <c r="P1" s="2419"/>
      <c r="Q1" s="2472"/>
      <c r="R1" s="2473"/>
      <c r="S1" s="2473"/>
      <c r="T1" s="2473"/>
      <c r="U1" s="2473"/>
      <c r="V1" s="2473"/>
      <c r="W1" s="2473"/>
      <c r="X1" s="2473"/>
      <c r="Y1" s="2473"/>
      <c r="Z1" s="2473"/>
      <c r="AA1" s="2473"/>
      <c r="AB1" s="2473"/>
      <c r="AC1" s="2473"/>
    </row>
    <row r="2" spans="1:29">
      <c r="A2" s="2420"/>
      <c r="B2" s="2421"/>
      <c r="C2" s="2422" t="s">
        <v>663</v>
      </c>
      <c r="D2" s="2423"/>
      <c r="E2" s="2420"/>
      <c r="F2" s="2424"/>
      <c r="G2" s="2422" t="s">
        <v>664</v>
      </c>
      <c r="H2" s="1999"/>
      <c r="I2" s="1999"/>
      <c r="J2" s="1999"/>
      <c r="K2" s="1999"/>
      <c r="L2" s="1999"/>
      <c r="M2" s="1999"/>
      <c r="N2" s="1999"/>
      <c r="O2" s="1999"/>
      <c r="P2" s="1999"/>
      <c r="Q2" s="1999"/>
    </row>
    <row r="3" spans="1:29" ht="25.5">
      <c r="A3" s="2425" t="s">
        <v>665</v>
      </c>
      <c r="B3" s="2426" t="s">
        <v>666</v>
      </c>
      <c r="C3" s="2427" t="s">
        <v>667</v>
      </c>
      <c r="D3" s="2428"/>
      <c r="E3" s="2429" t="s">
        <v>665</v>
      </c>
      <c r="F3" s="2430" t="s">
        <v>668</v>
      </c>
      <c r="G3" s="2431" t="s">
        <v>669</v>
      </c>
      <c r="H3" s="1999"/>
      <c r="I3" s="1999"/>
      <c r="J3" s="1999"/>
      <c r="K3" s="1999"/>
      <c r="L3" s="1999"/>
      <c r="M3" s="1999"/>
      <c r="N3" s="1999"/>
      <c r="O3" s="1999"/>
      <c r="P3" s="1999"/>
      <c r="Q3" s="1999"/>
    </row>
    <row r="4" spans="1:29" ht="36">
      <c r="A4" s="2429"/>
      <c r="B4" s="1677" t="s">
        <v>670</v>
      </c>
      <c r="C4" s="2432" t="s">
        <v>671</v>
      </c>
      <c r="D4" s="2428"/>
      <c r="E4" s="2433"/>
      <c r="F4" s="1878" t="s">
        <v>672</v>
      </c>
      <c r="G4" s="2434" t="s">
        <v>673</v>
      </c>
      <c r="H4" s="1999"/>
      <c r="I4" s="1999"/>
      <c r="J4" s="1999"/>
      <c r="K4" s="1999"/>
      <c r="L4" s="1999"/>
      <c r="M4" s="1999"/>
      <c r="N4" s="1999"/>
      <c r="O4" s="1999"/>
      <c r="P4" s="1999"/>
      <c r="Q4" s="1999"/>
    </row>
    <row r="5" spans="1:29" ht="24">
      <c r="A5" s="2429"/>
      <c r="B5" s="1677" t="s">
        <v>674</v>
      </c>
      <c r="C5" s="2435"/>
      <c r="D5" s="2428"/>
      <c r="E5" s="2433"/>
      <c r="F5" s="1677" t="s">
        <v>467</v>
      </c>
      <c r="G5" s="2434" t="s">
        <v>675</v>
      </c>
      <c r="H5" s="1999"/>
      <c r="I5" s="1999"/>
      <c r="J5" s="1999"/>
      <c r="K5" s="1999"/>
      <c r="L5" s="1999"/>
      <c r="M5" s="1999"/>
      <c r="N5" s="1999"/>
      <c r="O5" s="1999"/>
      <c r="P5" s="1999"/>
      <c r="Q5" s="1999"/>
    </row>
    <row r="6" spans="1:29">
      <c r="A6" s="2429"/>
      <c r="B6" s="1677" t="s">
        <v>672</v>
      </c>
      <c r="C6" s="2436" t="s">
        <v>667</v>
      </c>
      <c r="D6" s="2428"/>
      <c r="E6" s="2433"/>
      <c r="F6" s="1677" t="s">
        <v>676</v>
      </c>
      <c r="G6" s="2434" t="s">
        <v>677</v>
      </c>
      <c r="H6" s="1999"/>
      <c r="I6" s="1999"/>
      <c r="J6" s="1999"/>
      <c r="K6" s="1999"/>
      <c r="L6" s="1999"/>
      <c r="M6" s="1999"/>
      <c r="N6" s="1999"/>
      <c r="O6" s="1999"/>
      <c r="P6" s="1999"/>
      <c r="Q6" s="1999"/>
    </row>
    <row r="7" spans="1:29" ht="24">
      <c r="A7" s="2429"/>
      <c r="B7" s="1677" t="s">
        <v>467</v>
      </c>
      <c r="C7" s="2436" t="s">
        <v>667</v>
      </c>
      <c r="D7" s="2437"/>
      <c r="E7" s="2438"/>
      <c r="F7" s="2439" t="s">
        <v>678</v>
      </c>
      <c r="G7" s="2440" t="s">
        <v>679</v>
      </c>
      <c r="H7" s="1999"/>
      <c r="I7" s="1999"/>
      <c r="J7" s="1999"/>
      <c r="K7" s="1999"/>
      <c r="L7" s="1999"/>
      <c r="M7" s="1999"/>
      <c r="N7" s="1999"/>
      <c r="O7" s="1999"/>
      <c r="P7" s="1999"/>
      <c r="Q7" s="1999"/>
    </row>
    <row r="8" spans="1:29">
      <c r="A8" s="2429"/>
      <c r="B8" s="1677" t="s">
        <v>676</v>
      </c>
      <c r="C8" s="2436" t="s">
        <v>236</v>
      </c>
      <c r="D8" s="2437"/>
      <c r="E8" s="2437"/>
      <c r="F8" s="274"/>
      <c r="G8" s="274"/>
      <c r="H8" s="1999"/>
      <c r="I8" s="1999"/>
      <c r="J8" s="1999"/>
      <c r="K8" s="1999"/>
      <c r="L8" s="1999"/>
      <c r="M8" s="1999"/>
      <c r="N8" s="1999"/>
      <c r="O8" s="1999"/>
      <c r="P8" s="1999"/>
      <c r="Q8" s="1999"/>
    </row>
    <row r="9" spans="1:29">
      <c r="A9" s="2429"/>
      <c r="B9" s="1677" t="s">
        <v>680</v>
      </c>
      <c r="C9" s="2432" t="s">
        <v>667</v>
      </c>
      <c r="D9" s="2428"/>
      <c r="E9" s="2437"/>
      <c r="F9" s="274"/>
      <c r="G9" s="274"/>
      <c r="H9" s="1999"/>
      <c r="I9" s="1999"/>
      <c r="J9" s="1999"/>
      <c r="K9" s="1999"/>
      <c r="L9" s="1999"/>
      <c r="M9" s="1999"/>
      <c r="N9" s="1999"/>
      <c r="O9" s="1999"/>
      <c r="P9" s="1999"/>
      <c r="Q9" s="1999"/>
    </row>
    <row r="10" spans="1:29">
      <c r="A10" s="2441"/>
      <c r="B10" s="2442" t="s">
        <v>681</v>
      </c>
      <c r="C10" s="2443" t="s">
        <v>682</v>
      </c>
      <c r="D10" s="2428"/>
      <c r="E10" s="2428"/>
      <c r="F10" s="274"/>
      <c r="G10" s="274"/>
      <c r="J10" s="2469"/>
      <c r="M10" s="2469"/>
      <c r="P10" s="2469"/>
      <c r="R10" s="2418"/>
    </row>
    <row r="11" spans="1:29">
      <c r="A11" s="2444"/>
      <c r="B11" s="2437"/>
      <c r="C11" s="2428"/>
      <c r="D11" s="2428"/>
      <c r="E11" s="2428"/>
      <c r="F11" s="2437"/>
      <c r="G11" s="2437"/>
      <c r="J11" s="2469"/>
      <c r="M11" s="2469"/>
      <c r="P11" s="2469"/>
      <c r="R11" s="2418"/>
    </row>
    <row r="12" spans="1:29" s="2416" customFormat="1" ht="18">
      <c r="A12" s="2444"/>
      <c r="B12" s="2437"/>
      <c r="C12" s="2428"/>
      <c r="D12" s="2445"/>
      <c r="E12" s="2428"/>
      <c r="F12" s="2437"/>
      <c r="G12" s="2437"/>
      <c r="H12" s="2446"/>
      <c r="I12" s="2446"/>
      <c r="J12" s="2446"/>
      <c r="K12" s="2446"/>
      <c r="L12" s="2470"/>
      <c r="M12" s="2446"/>
      <c r="N12" s="2471"/>
      <c r="O12" s="2471"/>
      <c r="P12" s="2471"/>
      <c r="Q12" s="2471"/>
      <c r="R12" s="2473"/>
      <c r="S12" s="2473"/>
      <c r="T12" s="2473"/>
      <c r="U12" s="2473"/>
      <c r="V12" s="2473"/>
      <c r="W12" s="2473"/>
      <c r="X12" s="2473"/>
      <c r="Y12" s="2473"/>
      <c r="Z12" s="2473"/>
      <c r="AA12" s="2473"/>
      <c r="AB12" s="2473"/>
      <c r="AC12" s="2473"/>
    </row>
    <row r="13" spans="1:29" ht="15">
      <c r="A13" s="2447" t="s">
        <v>683</v>
      </c>
      <c r="B13" s="2445"/>
      <c r="C13" s="2445"/>
      <c r="D13" s="2444"/>
      <c r="E13" s="2445"/>
      <c r="F13" s="2445"/>
      <c r="G13" s="2445"/>
    </row>
    <row r="14" spans="1:29">
      <c r="A14" s="2448"/>
      <c r="B14" s="2448"/>
      <c r="C14" s="2449" t="s">
        <v>663</v>
      </c>
      <c r="D14" s="2428"/>
      <c r="E14" s="2450"/>
      <c r="F14" s="2450"/>
      <c r="G14" s="2422" t="s">
        <v>664</v>
      </c>
    </row>
    <row r="15" spans="1:29" ht="25.5">
      <c r="A15" s="2451" t="s">
        <v>665</v>
      </c>
      <c r="B15" s="2452" t="s">
        <v>666</v>
      </c>
      <c r="C15" s="2453" t="str">
        <f>C3</f>
        <v>一般</v>
      </c>
      <c r="D15" s="2428"/>
      <c r="E15" s="2454" t="s">
        <v>665</v>
      </c>
      <c r="F15" s="2452" t="s">
        <v>668</v>
      </c>
      <c r="G15" s="2455" t="str">
        <f>G3</f>
        <v>估价对象位于XX开发区，园区建设成熟度XX，产业集聚程度XX</v>
      </c>
    </row>
    <row r="16" spans="1:29" ht="38.25">
      <c r="A16" s="2456"/>
      <c r="B16" s="2457" t="s">
        <v>670</v>
      </c>
      <c r="C16" s="2458" t="str">
        <f>C4</f>
        <v>较差</v>
      </c>
      <c r="D16" s="2428"/>
      <c r="E16" s="2459"/>
      <c r="F16" s="2460" t="s">
        <v>672</v>
      </c>
      <c r="G16" s="2461" t="str">
        <f>G4</f>
        <v>估价对象周边道路状况、公共交通通达情况、停车便捷程度，综合评价交通便捷度较好</v>
      </c>
    </row>
    <row r="17" spans="1:17">
      <c r="A17" s="2456"/>
      <c r="B17" s="2457" t="s">
        <v>674</v>
      </c>
      <c r="C17" s="2458">
        <f>C5</f>
        <v>0</v>
      </c>
      <c r="D17" s="2437"/>
      <c r="E17" s="2459"/>
      <c r="F17" s="2460" t="s">
        <v>684</v>
      </c>
      <c r="G17" s="2462"/>
    </row>
    <row r="18" spans="1:17" ht="25.5">
      <c r="A18" s="2456"/>
      <c r="B18" s="2460" t="s">
        <v>672</v>
      </c>
      <c r="C18" s="2461" t="str">
        <f>C6</f>
        <v>一般</v>
      </c>
      <c r="D18" s="2437"/>
      <c r="E18" s="2459"/>
      <c r="F18" s="2460" t="s">
        <v>678</v>
      </c>
      <c r="G18" s="2461" t="str">
        <f>G7</f>
        <v>该园区内是否有污染型企业，绿化情况，卫生条件，整体环境状况判断</v>
      </c>
    </row>
    <row r="19" spans="1:17" ht="25.5">
      <c r="A19" s="2456"/>
      <c r="B19" s="2460" t="s">
        <v>684</v>
      </c>
      <c r="C19" s="2462"/>
      <c r="D19" s="2428"/>
      <c r="E19" s="2459"/>
      <c r="F19" s="1677" t="s">
        <v>467</v>
      </c>
      <c r="G19" s="2461" t="str">
        <f>G5</f>
        <v>估价对象所在区域公共配套设施齐备情况</v>
      </c>
    </row>
    <row r="20" spans="1:17">
      <c r="A20" s="2456"/>
      <c r="B20" s="2460" t="s">
        <v>685</v>
      </c>
      <c r="C20" s="2458" t="str">
        <f>C9</f>
        <v>一般</v>
      </c>
      <c r="D20" s="2437"/>
      <c r="E20" s="2459"/>
      <c r="F20" s="1677" t="s">
        <v>676</v>
      </c>
      <c r="G20" s="2461" t="str">
        <f>G6</f>
        <v>估价对象所在区域基础设施水平</v>
      </c>
    </row>
    <row r="21" spans="1:17">
      <c r="A21" s="2456"/>
      <c r="B21" s="1677" t="s">
        <v>467</v>
      </c>
      <c r="C21" s="2461" t="str">
        <f>C7</f>
        <v>一般</v>
      </c>
      <c r="D21" s="2428"/>
      <c r="E21" s="2459"/>
      <c r="F21" s="2460" t="s">
        <v>686</v>
      </c>
      <c r="G21" s="2463"/>
    </row>
    <row r="22" spans="1:17" ht="13.5" customHeight="1">
      <c r="A22" s="2456"/>
      <c r="B22" s="1677" t="s">
        <v>676</v>
      </c>
      <c r="C22" s="2461" t="str">
        <f>C8</f>
        <v>七通</v>
      </c>
      <c r="D22" s="2428"/>
      <c r="E22" s="2459"/>
      <c r="F22" s="2460" t="s">
        <v>681</v>
      </c>
      <c r="G22" s="2462"/>
    </row>
    <row r="23" spans="1:17" s="1999" customFormat="1">
      <c r="A23" s="2456"/>
      <c r="B23" s="2460" t="s">
        <v>686</v>
      </c>
      <c r="C23" s="2463"/>
      <c r="D23" s="2400"/>
      <c r="E23" s="2464"/>
      <c r="F23" s="2465" t="s">
        <v>411</v>
      </c>
      <c r="G23" s="2466"/>
      <c r="H23" s="2418"/>
      <c r="I23" s="2418"/>
      <c r="J23" s="2418"/>
      <c r="K23" s="2418"/>
      <c r="L23" s="2418"/>
      <c r="M23" s="2418"/>
      <c r="N23" s="2418"/>
      <c r="O23" s="2418"/>
      <c r="P23" s="2418"/>
      <c r="Q23" s="2418"/>
    </row>
    <row r="24" spans="1:17" s="1999" customFormat="1">
      <c r="A24" s="2467"/>
      <c r="B24" s="2465" t="s">
        <v>681</v>
      </c>
      <c r="C24" s="2468" t="str">
        <f>C10</f>
        <v>次干道</v>
      </c>
      <c r="D24" s="2400"/>
      <c r="E24" s="2437"/>
      <c r="F24" s="2437"/>
      <c r="G24" s="2437"/>
      <c r="H24" s="2418"/>
      <c r="I24" s="2418"/>
      <c r="J24" s="2418"/>
      <c r="K24" s="2418"/>
      <c r="L24" s="2418"/>
      <c r="M24" s="2418"/>
      <c r="N24" s="2418"/>
      <c r="O24" s="2418"/>
      <c r="P24" s="2418"/>
      <c r="Q24" s="2418"/>
    </row>
    <row r="25" spans="1:17" s="1999" customFormat="1">
      <c r="B25" s="2418"/>
      <c r="C25" s="2418"/>
      <c r="D25" s="2418"/>
      <c r="H25" s="2418"/>
      <c r="I25" s="2418"/>
      <c r="J25" s="2418"/>
      <c r="K25" s="2418"/>
      <c r="L25" s="2418"/>
      <c r="M25" s="2418"/>
      <c r="N25" s="2418"/>
      <c r="O25" s="2418"/>
      <c r="P25" s="2418"/>
      <c r="Q25" s="2418"/>
    </row>
    <row r="26" spans="1:17" s="1999" customFormat="1">
      <c r="B26" s="2418"/>
      <c r="C26" s="2418"/>
      <c r="D26" s="2418"/>
      <c r="H26" s="2418"/>
      <c r="I26" s="2418"/>
      <c r="J26" s="2418"/>
      <c r="K26" s="2418"/>
      <c r="L26" s="2418"/>
      <c r="M26" s="2418"/>
      <c r="N26" s="2418"/>
      <c r="O26" s="2418"/>
      <c r="P26" s="2418"/>
      <c r="Q26" s="2418"/>
    </row>
    <row r="27" spans="1:17" s="1999" customFormat="1">
      <c r="B27" s="2418"/>
      <c r="C27" s="2418"/>
      <c r="D27" s="2418"/>
      <c r="H27" s="2418"/>
      <c r="I27" s="2418"/>
      <c r="J27" s="2418"/>
      <c r="K27" s="2418"/>
      <c r="L27" s="2418"/>
      <c r="M27" s="2418"/>
      <c r="N27" s="2418"/>
      <c r="O27" s="2418"/>
      <c r="P27" s="2418"/>
      <c r="Q27" s="2418"/>
    </row>
    <row r="28" spans="1:17" s="1999" customFormat="1">
      <c r="B28" s="2418"/>
      <c r="C28" s="2418"/>
      <c r="D28" s="2418"/>
      <c r="H28" s="2418"/>
      <c r="I28" s="2418"/>
      <c r="J28" s="2418"/>
      <c r="K28" s="2418"/>
      <c r="L28" s="2418"/>
      <c r="M28" s="2418"/>
      <c r="N28" s="2418"/>
      <c r="O28" s="2418"/>
      <c r="P28" s="2418"/>
      <c r="Q28" s="2418"/>
    </row>
    <row r="29" spans="1:17" s="1999" customFormat="1">
      <c r="B29" s="2418"/>
      <c r="C29" s="2418"/>
      <c r="D29" s="2418"/>
      <c r="H29" s="2418"/>
      <c r="I29" s="2418"/>
      <c r="J29" s="2418"/>
      <c r="K29" s="2418"/>
      <c r="L29" s="2418"/>
      <c r="M29" s="2418"/>
      <c r="N29" s="2418"/>
      <c r="O29" s="2418"/>
      <c r="P29" s="2418"/>
      <c r="Q29" s="2418"/>
    </row>
    <row r="30" spans="1:17" s="1999" customFormat="1">
      <c r="B30" s="2418"/>
      <c r="C30" s="2418"/>
      <c r="D30" s="2418"/>
      <c r="H30" s="2418"/>
      <c r="I30" s="2418"/>
      <c r="J30" s="2418"/>
      <c r="K30" s="2418"/>
      <c r="L30" s="2418"/>
      <c r="M30" s="2418"/>
      <c r="N30" s="2418"/>
      <c r="O30" s="2418"/>
      <c r="P30" s="2418"/>
      <c r="Q30" s="2418"/>
    </row>
    <row r="31" spans="1:17" s="1999" customFormat="1">
      <c r="B31" s="2418"/>
      <c r="C31" s="2418"/>
      <c r="D31" s="2418"/>
      <c r="H31" s="2418"/>
      <c r="I31" s="2418"/>
      <c r="J31" s="2418"/>
      <c r="K31" s="2418"/>
      <c r="L31" s="2418"/>
      <c r="M31" s="2418"/>
      <c r="N31" s="2418"/>
      <c r="O31" s="2418"/>
      <c r="P31" s="2418"/>
      <c r="Q31" s="2418"/>
    </row>
    <row r="32" spans="1:17" s="1999" customFormat="1">
      <c r="B32" s="2418"/>
      <c r="C32" s="2418"/>
      <c r="D32" s="2418"/>
      <c r="H32" s="2418"/>
      <c r="I32" s="2418"/>
      <c r="J32" s="2418"/>
      <c r="K32" s="2418"/>
      <c r="L32" s="2418"/>
      <c r="M32" s="2418"/>
      <c r="N32" s="2418"/>
      <c r="O32" s="2418"/>
      <c r="P32" s="2418"/>
      <c r="Q32" s="2418"/>
    </row>
    <row r="33" spans="2:17" s="1999" customFormat="1">
      <c r="B33" s="2418"/>
      <c r="C33" s="2418"/>
      <c r="D33" s="2418"/>
      <c r="H33" s="2418"/>
      <c r="I33" s="2418"/>
      <c r="J33" s="2418"/>
      <c r="K33" s="2418"/>
      <c r="L33" s="2418"/>
      <c r="M33" s="2418"/>
      <c r="N33" s="2418"/>
      <c r="O33" s="2418"/>
      <c r="P33" s="2418"/>
      <c r="Q33" s="2418"/>
    </row>
    <row r="34" spans="2:17" s="1999" customFormat="1">
      <c r="B34" s="2418"/>
      <c r="C34" s="2418"/>
      <c r="D34" s="2418"/>
      <c r="H34" s="2418"/>
      <c r="I34" s="2418"/>
      <c r="J34" s="2418"/>
      <c r="K34" s="2418"/>
      <c r="L34" s="2418"/>
      <c r="M34" s="2418"/>
      <c r="N34" s="2418"/>
      <c r="O34" s="2418"/>
      <c r="P34" s="2418"/>
      <c r="Q34" s="2418"/>
    </row>
    <row r="35" spans="2:17" s="1999" customFormat="1">
      <c r="B35" s="2418"/>
      <c r="C35" s="2418"/>
      <c r="D35" s="2418"/>
      <c r="H35" s="2418"/>
      <c r="I35" s="2418"/>
      <c r="J35" s="2418"/>
      <c r="K35" s="2418"/>
      <c r="L35" s="2418"/>
      <c r="M35" s="2418"/>
      <c r="N35" s="2418"/>
      <c r="O35" s="2418"/>
      <c r="P35" s="2418"/>
      <c r="Q35" s="2418"/>
    </row>
    <row r="36" spans="2:17" s="1999" customFormat="1">
      <c r="B36" s="2418"/>
      <c r="C36" s="2418"/>
      <c r="D36" s="2418"/>
      <c r="H36" s="2418"/>
      <c r="I36" s="2418"/>
      <c r="J36" s="2418"/>
      <c r="K36" s="2418"/>
      <c r="L36" s="2418"/>
      <c r="M36" s="2418"/>
      <c r="N36" s="2418"/>
      <c r="O36" s="2418"/>
      <c r="P36" s="2418"/>
      <c r="Q36" s="2418"/>
    </row>
    <row r="37" spans="2:17" s="1999" customFormat="1">
      <c r="B37" s="2418"/>
      <c r="C37" s="2418"/>
      <c r="D37" s="2418"/>
      <c r="H37" s="2418"/>
      <c r="I37" s="2418"/>
      <c r="J37" s="2418"/>
      <c r="K37" s="2418"/>
      <c r="L37" s="2418"/>
      <c r="M37" s="2418"/>
      <c r="N37" s="2418"/>
      <c r="O37" s="2418"/>
      <c r="P37" s="2418"/>
      <c r="Q37" s="2418"/>
    </row>
    <row r="38" spans="2:17" s="1999" customFormat="1">
      <c r="B38" s="2418"/>
      <c r="C38" s="2418"/>
      <c r="D38" s="2418"/>
      <c r="E38" s="2418"/>
      <c r="F38" s="2418"/>
      <c r="G38" s="2418"/>
      <c r="H38" s="2418"/>
      <c r="I38" s="2418"/>
      <c r="J38" s="2418"/>
      <c r="K38" s="2418"/>
      <c r="L38" s="2418"/>
      <c r="M38" s="2418"/>
      <c r="N38" s="2418"/>
      <c r="O38" s="2418"/>
      <c r="P38" s="2418"/>
      <c r="Q38" s="2418"/>
    </row>
    <row r="39" spans="2:17" s="1999" customFormat="1">
      <c r="B39" s="2418"/>
      <c r="C39" s="2418"/>
      <c r="D39" s="2418"/>
      <c r="E39" s="2418"/>
      <c r="F39" s="2418"/>
      <c r="G39" s="2418"/>
      <c r="H39" s="2418"/>
      <c r="I39" s="2418"/>
      <c r="J39" s="2418"/>
      <c r="K39" s="2418"/>
      <c r="L39" s="2418"/>
      <c r="M39" s="2418"/>
      <c r="N39" s="2418"/>
      <c r="O39" s="2418"/>
      <c r="P39" s="2418"/>
      <c r="Q39" s="2418"/>
    </row>
    <row r="40" spans="2:17" s="1999" customFormat="1">
      <c r="B40" s="2418"/>
      <c r="C40" s="2418"/>
      <c r="D40" s="2418"/>
      <c r="E40" s="2418"/>
      <c r="F40" s="2418"/>
      <c r="G40" s="2418"/>
      <c r="H40" s="2418"/>
      <c r="I40" s="2418"/>
      <c r="J40" s="2418"/>
      <c r="K40" s="2418"/>
      <c r="L40" s="2418"/>
      <c r="M40" s="2418"/>
      <c r="N40" s="2418"/>
      <c r="O40" s="2418"/>
      <c r="P40" s="2418"/>
      <c r="Q40" s="2418"/>
    </row>
    <row r="41" spans="2:17" s="1999" customFormat="1">
      <c r="B41" s="2418"/>
      <c r="C41" s="2418"/>
      <c r="D41" s="2418"/>
      <c r="E41" s="2418"/>
      <c r="F41" s="2418"/>
      <c r="G41" s="2418"/>
      <c r="H41" s="2418"/>
      <c r="I41" s="2418"/>
      <c r="J41" s="2418"/>
      <c r="K41" s="2418"/>
      <c r="L41" s="2418"/>
      <c r="M41" s="2418"/>
      <c r="N41" s="2418"/>
      <c r="O41" s="2418"/>
      <c r="P41" s="2418"/>
      <c r="Q41" s="2418"/>
    </row>
    <row r="42" spans="2:17" s="1999" customFormat="1">
      <c r="B42" s="2418"/>
      <c r="C42" s="2418"/>
      <c r="D42" s="2418"/>
      <c r="E42" s="2418"/>
      <c r="F42" s="2418"/>
      <c r="G42" s="2418"/>
      <c r="H42" s="2418"/>
      <c r="I42" s="2418"/>
      <c r="J42" s="2418"/>
      <c r="K42" s="2418"/>
      <c r="L42" s="2418"/>
      <c r="M42" s="2418"/>
      <c r="N42" s="2418"/>
      <c r="O42" s="2418"/>
      <c r="P42" s="2418"/>
      <c r="Q42" s="2418"/>
    </row>
    <row r="43" spans="2:17" s="1999" customFormat="1">
      <c r="B43" s="2418"/>
      <c r="C43" s="2418"/>
      <c r="D43" s="2418"/>
      <c r="E43" s="2418"/>
      <c r="F43" s="2418"/>
      <c r="G43" s="2418"/>
      <c r="H43" s="2418"/>
      <c r="I43" s="2418"/>
      <c r="J43" s="2418"/>
      <c r="K43" s="2418"/>
      <c r="L43" s="2418"/>
      <c r="M43" s="2418"/>
      <c r="N43" s="2418"/>
      <c r="O43" s="2418"/>
      <c r="P43" s="2418"/>
      <c r="Q43" s="2418"/>
    </row>
    <row r="44" spans="2:17" s="1999" customFormat="1">
      <c r="B44" s="2418"/>
      <c r="C44" s="2418"/>
      <c r="D44" s="2418"/>
      <c r="E44" s="2418"/>
      <c r="F44" s="2418"/>
      <c r="G44" s="2418"/>
      <c r="H44" s="2418"/>
      <c r="I44" s="2418"/>
      <c r="J44" s="2418"/>
      <c r="K44" s="2418"/>
      <c r="L44" s="2418"/>
      <c r="M44" s="2418"/>
      <c r="N44" s="2418"/>
      <c r="O44" s="2418"/>
      <c r="P44" s="2418"/>
      <c r="Q44" s="2418"/>
    </row>
    <row r="45" spans="2:17" s="1999" customFormat="1">
      <c r="B45" s="2418"/>
      <c r="C45" s="2418"/>
      <c r="D45" s="2418"/>
      <c r="E45" s="2418"/>
      <c r="F45" s="2418"/>
      <c r="G45" s="2418"/>
      <c r="H45" s="2418"/>
      <c r="I45" s="2418"/>
      <c r="J45" s="2418"/>
      <c r="K45" s="2418"/>
      <c r="L45" s="2418"/>
      <c r="M45" s="2418"/>
      <c r="N45" s="2418"/>
      <c r="O45" s="2418"/>
      <c r="P45" s="2418"/>
      <c r="Q45" s="2418"/>
    </row>
    <row r="46" spans="2:17" s="1999" customFormat="1">
      <c r="B46" s="2418"/>
      <c r="C46" s="2418"/>
      <c r="D46" s="2418"/>
      <c r="E46" s="2418"/>
      <c r="F46" s="2418"/>
      <c r="G46" s="2418"/>
      <c r="H46" s="2418"/>
      <c r="I46" s="2418"/>
      <c r="J46" s="2418"/>
      <c r="K46" s="2418"/>
      <c r="L46" s="2418"/>
      <c r="M46" s="2418"/>
      <c r="N46" s="2418"/>
      <c r="O46" s="2418"/>
      <c r="P46" s="2418"/>
      <c r="Q46" s="2418"/>
    </row>
    <row r="47" spans="2:17" s="1999" customFormat="1">
      <c r="B47" s="2418"/>
      <c r="C47" s="2418"/>
      <c r="D47" s="2418"/>
      <c r="E47" s="2418"/>
      <c r="F47" s="2418"/>
      <c r="G47" s="2418"/>
      <c r="H47" s="2418"/>
      <c r="I47" s="2418"/>
      <c r="J47" s="2418"/>
      <c r="K47" s="2418"/>
      <c r="L47" s="2418"/>
      <c r="M47" s="2418"/>
      <c r="N47" s="2418"/>
      <c r="O47" s="2418"/>
      <c r="P47" s="2418"/>
      <c r="Q47" s="2418"/>
    </row>
    <row r="48" spans="2:17" s="1999" customFormat="1">
      <c r="B48" s="2418"/>
      <c r="C48" s="2418"/>
      <c r="D48" s="2418"/>
      <c r="E48" s="2418"/>
      <c r="F48" s="2418"/>
      <c r="G48" s="2418"/>
      <c r="H48" s="2418"/>
      <c r="I48" s="2418"/>
      <c r="J48" s="2418"/>
      <c r="K48" s="2418"/>
      <c r="L48" s="2418"/>
      <c r="M48" s="2418"/>
      <c r="N48" s="2418"/>
      <c r="O48" s="2418"/>
      <c r="P48" s="2418"/>
      <c r="Q48" s="2418"/>
    </row>
    <row r="49" spans="2:17" s="1999" customFormat="1">
      <c r="B49" s="2418"/>
      <c r="C49" s="2418"/>
      <c r="D49" s="2418"/>
      <c r="E49" s="2418"/>
      <c r="F49" s="2418"/>
      <c r="G49" s="2418"/>
      <c r="H49" s="2418"/>
      <c r="I49" s="2418"/>
      <c r="J49" s="2418"/>
      <c r="K49" s="2418"/>
      <c r="L49" s="2418"/>
      <c r="M49" s="2418"/>
      <c r="N49" s="2418"/>
      <c r="O49" s="2418"/>
      <c r="P49" s="2418"/>
      <c r="Q49" s="2418"/>
    </row>
    <row r="50" spans="2:17" s="1999" customFormat="1">
      <c r="B50" s="2418"/>
      <c r="C50" s="2418"/>
      <c r="D50" s="2418"/>
      <c r="E50" s="2418"/>
      <c r="F50" s="2418"/>
      <c r="G50" s="2418"/>
      <c r="H50" s="2418"/>
      <c r="I50" s="2418"/>
      <c r="J50" s="2418"/>
      <c r="K50" s="2418"/>
      <c r="L50" s="2418"/>
      <c r="M50" s="2418"/>
      <c r="N50" s="2418"/>
      <c r="O50" s="2418"/>
      <c r="P50" s="2418"/>
      <c r="Q50" s="2418"/>
    </row>
    <row r="51" spans="2:17" s="1999" customFormat="1">
      <c r="B51" s="2418"/>
      <c r="C51" s="2418"/>
      <c r="D51" s="2418"/>
      <c r="E51" s="2418"/>
      <c r="F51" s="2418"/>
      <c r="G51" s="2418"/>
      <c r="H51" s="2418"/>
      <c r="I51" s="2418"/>
      <c r="J51" s="2418"/>
      <c r="K51" s="2418"/>
      <c r="L51" s="2418"/>
      <c r="M51" s="2418"/>
      <c r="N51" s="2418"/>
      <c r="O51" s="2418"/>
      <c r="P51" s="2418"/>
      <c r="Q51" s="2418"/>
    </row>
    <row r="52" spans="2:17" s="1999" customFormat="1">
      <c r="B52" s="2418"/>
      <c r="C52" s="2418"/>
      <c r="D52" s="2418"/>
      <c r="E52" s="2418"/>
      <c r="F52" s="2418"/>
      <c r="G52" s="2418"/>
      <c r="H52" s="2418"/>
      <c r="I52" s="2418"/>
      <c r="J52" s="2418"/>
      <c r="K52" s="2418"/>
      <c r="L52" s="2418"/>
      <c r="M52" s="2418"/>
      <c r="N52" s="2418"/>
      <c r="O52" s="2418"/>
      <c r="P52" s="2418"/>
      <c r="Q52" s="2418"/>
    </row>
    <row r="53" spans="2:17" s="1999" customFormat="1">
      <c r="B53" s="2418"/>
      <c r="C53" s="2418"/>
      <c r="D53" s="2418"/>
      <c r="E53" s="2418"/>
      <c r="F53" s="2418"/>
      <c r="G53" s="2418"/>
      <c r="H53" s="2418"/>
      <c r="I53" s="2418"/>
      <c r="J53" s="2418"/>
      <c r="K53" s="2418"/>
      <c r="L53" s="2418"/>
      <c r="M53" s="2418"/>
      <c r="N53" s="2418"/>
      <c r="O53" s="2418"/>
      <c r="P53" s="2418"/>
      <c r="Q53" s="2418"/>
    </row>
    <row r="54" spans="2:17" s="1999" customFormat="1">
      <c r="B54" s="2418"/>
      <c r="C54" s="2418"/>
      <c r="D54" s="2418"/>
      <c r="E54" s="2418"/>
      <c r="F54" s="2418"/>
      <c r="G54" s="2418"/>
      <c r="H54" s="2418"/>
      <c r="I54" s="2418"/>
      <c r="J54" s="2418"/>
      <c r="K54" s="2418"/>
      <c r="L54" s="2418"/>
      <c r="M54" s="2418"/>
      <c r="N54" s="2418"/>
      <c r="O54" s="2418"/>
      <c r="P54" s="2418"/>
      <c r="Q54" s="2418"/>
    </row>
    <row r="55" spans="2:17" s="1999" customFormat="1">
      <c r="B55" s="2418"/>
      <c r="C55" s="2418"/>
      <c r="D55" s="2418"/>
      <c r="E55" s="2418"/>
      <c r="F55" s="2418"/>
      <c r="G55" s="2418"/>
      <c r="H55" s="2418"/>
      <c r="I55" s="2418"/>
      <c r="J55" s="2418"/>
      <c r="K55" s="2418"/>
      <c r="L55" s="2418"/>
      <c r="M55" s="2418"/>
      <c r="N55" s="2418"/>
      <c r="O55" s="2418"/>
      <c r="P55" s="2418"/>
      <c r="Q55" s="2418"/>
    </row>
    <row r="56" spans="2:17" s="1999" customFormat="1">
      <c r="B56" s="2418"/>
      <c r="C56" s="2418"/>
      <c r="D56" s="2418"/>
      <c r="E56" s="2418"/>
      <c r="F56" s="2418"/>
      <c r="G56" s="2418"/>
      <c r="H56" s="2418"/>
      <c r="I56" s="2418"/>
      <c r="J56" s="2418"/>
      <c r="K56" s="2418"/>
      <c r="L56" s="2418"/>
      <c r="M56" s="2418"/>
      <c r="N56" s="2418"/>
      <c r="O56" s="2418"/>
      <c r="P56" s="2418"/>
      <c r="Q56" s="2418"/>
    </row>
    <row r="57" spans="2:17" s="1999" customFormat="1">
      <c r="B57" s="2418"/>
      <c r="C57" s="2418"/>
      <c r="D57" s="2418"/>
      <c r="E57" s="2418"/>
      <c r="F57" s="2418"/>
      <c r="G57" s="2418"/>
      <c r="H57" s="2418"/>
      <c r="I57" s="2418"/>
      <c r="J57" s="2418"/>
      <c r="K57" s="2418"/>
      <c r="L57" s="2418"/>
      <c r="M57" s="2418"/>
      <c r="N57" s="2418"/>
      <c r="O57" s="2418"/>
      <c r="P57" s="2418"/>
      <c r="Q57" s="2418"/>
    </row>
    <row r="58" spans="2:17" s="1999" customFormat="1">
      <c r="B58" s="2418"/>
      <c r="C58" s="2418"/>
      <c r="D58" s="2418"/>
      <c r="E58" s="2418"/>
      <c r="F58" s="2418"/>
      <c r="G58" s="2418"/>
      <c r="H58" s="2418"/>
      <c r="I58" s="2418"/>
      <c r="J58" s="2418"/>
      <c r="K58" s="2418"/>
      <c r="L58" s="2418"/>
      <c r="M58" s="2418"/>
      <c r="N58" s="2418"/>
      <c r="O58" s="2418"/>
      <c r="P58" s="2418"/>
      <c r="Q58" s="2418"/>
    </row>
    <row r="59" spans="2:17" s="1999" customFormat="1">
      <c r="B59" s="2418"/>
      <c r="C59" s="2418"/>
      <c r="D59" s="2418"/>
      <c r="E59" s="2418"/>
      <c r="F59" s="2418"/>
      <c r="G59" s="2418"/>
      <c r="H59" s="2418"/>
      <c r="I59" s="2418"/>
      <c r="J59" s="2418"/>
      <c r="K59" s="2418"/>
      <c r="L59" s="2418"/>
      <c r="M59" s="2418"/>
      <c r="N59" s="2418"/>
      <c r="O59" s="2418"/>
      <c r="P59" s="2418"/>
      <c r="Q59" s="2418"/>
    </row>
    <row r="60" spans="2:17" s="1999" customFormat="1">
      <c r="B60" s="2418"/>
      <c r="C60" s="2418"/>
      <c r="D60" s="2418"/>
      <c r="E60" s="2418"/>
      <c r="F60" s="2418"/>
      <c r="G60" s="2418"/>
      <c r="H60" s="2418"/>
      <c r="I60" s="2418"/>
      <c r="J60" s="2418"/>
      <c r="K60" s="2418"/>
      <c r="L60" s="2418"/>
      <c r="M60" s="2418"/>
      <c r="N60" s="2418"/>
      <c r="O60" s="2418"/>
      <c r="P60" s="2418"/>
      <c r="Q60" s="2418"/>
    </row>
    <row r="61" spans="2:17" s="1999" customFormat="1">
      <c r="B61" s="2418"/>
      <c r="C61" s="2418"/>
      <c r="D61" s="2418"/>
      <c r="E61" s="2418"/>
      <c r="F61" s="2418"/>
      <c r="G61" s="2418"/>
      <c r="H61" s="2418"/>
      <c r="I61" s="2418"/>
      <c r="J61" s="2418"/>
      <c r="K61" s="2418"/>
      <c r="L61" s="2418"/>
      <c r="M61" s="2418"/>
      <c r="N61" s="2418"/>
      <c r="O61" s="2418"/>
      <c r="P61" s="2418"/>
      <c r="Q61" s="2418"/>
    </row>
    <row r="62" spans="2:17" s="1999" customFormat="1">
      <c r="B62" s="2418"/>
      <c r="C62" s="2418"/>
      <c r="D62" s="2418"/>
      <c r="E62" s="2418"/>
      <c r="F62" s="2418"/>
      <c r="G62" s="2418"/>
      <c r="H62" s="2418"/>
      <c r="I62" s="2418"/>
      <c r="J62" s="2418"/>
      <c r="K62" s="2418"/>
      <c r="L62" s="2418"/>
      <c r="M62" s="2418"/>
      <c r="N62" s="2418"/>
      <c r="O62" s="2418"/>
      <c r="P62" s="2418"/>
      <c r="Q62" s="2418"/>
    </row>
    <row r="63" spans="2:17" s="1999" customFormat="1">
      <c r="B63" s="2418"/>
      <c r="C63" s="2418"/>
      <c r="D63" s="2418"/>
      <c r="E63" s="2418"/>
      <c r="F63" s="2418"/>
      <c r="G63" s="2418"/>
      <c r="H63" s="2418"/>
      <c r="I63" s="2418"/>
      <c r="J63" s="2418"/>
      <c r="K63" s="2418"/>
      <c r="L63" s="2418"/>
      <c r="M63" s="2418"/>
      <c r="N63" s="2418"/>
      <c r="O63" s="2418"/>
      <c r="P63" s="2418"/>
      <c r="Q63" s="2418"/>
    </row>
    <row r="64" spans="2:17" s="1999" customFormat="1">
      <c r="B64" s="2418"/>
      <c r="C64" s="2418"/>
      <c r="D64" s="2418"/>
      <c r="E64" s="2418"/>
      <c r="F64" s="2418"/>
      <c r="G64" s="2418"/>
      <c r="H64" s="2418"/>
      <c r="I64" s="2418"/>
      <c r="J64" s="2418"/>
      <c r="K64" s="2418"/>
      <c r="L64" s="2418"/>
      <c r="M64" s="2418"/>
      <c r="N64" s="2418"/>
      <c r="O64" s="2418"/>
      <c r="P64" s="2418"/>
      <c r="Q64" s="2418"/>
    </row>
    <row r="65" spans="2:17" s="1999" customFormat="1">
      <c r="B65" s="2418"/>
      <c r="C65" s="2418"/>
      <c r="D65" s="2418"/>
      <c r="E65" s="2418"/>
      <c r="F65" s="2418"/>
      <c r="G65" s="2418"/>
      <c r="H65" s="2418"/>
      <c r="I65" s="2418"/>
      <c r="J65" s="2418"/>
      <c r="K65" s="2418"/>
      <c r="L65" s="2418"/>
      <c r="M65" s="2418"/>
      <c r="N65" s="2418"/>
      <c r="O65" s="2418"/>
      <c r="P65" s="2418"/>
      <c r="Q65" s="2418"/>
    </row>
    <row r="66" spans="2:17" s="1999" customFormat="1">
      <c r="B66" s="2418"/>
      <c r="C66" s="2418"/>
      <c r="D66" s="2418"/>
      <c r="E66" s="2418"/>
      <c r="F66" s="2418"/>
      <c r="G66" s="2418"/>
      <c r="H66" s="2418"/>
      <c r="I66" s="2418"/>
      <c r="J66" s="2418"/>
      <c r="K66" s="2418"/>
      <c r="L66" s="2418"/>
      <c r="M66" s="2418"/>
      <c r="N66" s="2418"/>
      <c r="O66" s="2418"/>
      <c r="P66" s="2418"/>
      <c r="Q66" s="2418"/>
    </row>
    <row r="67" spans="2:17" s="1999" customFormat="1">
      <c r="B67" s="2418"/>
      <c r="C67" s="2418"/>
      <c r="D67" s="2418"/>
      <c r="E67" s="2418"/>
      <c r="F67" s="2418"/>
      <c r="G67" s="2418"/>
      <c r="H67" s="2418"/>
      <c r="I67" s="2418"/>
      <c r="J67" s="2418"/>
      <c r="K67" s="2418"/>
      <c r="L67" s="2418"/>
      <c r="M67" s="2418"/>
      <c r="N67" s="2418"/>
      <c r="O67" s="2418"/>
      <c r="P67" s="2418"/>
      <c r="Q67" s="2418"/>
    </row>
    <row r="68" spans="2:17" s="1999" customFormat="1">
      <c r="B68" s="2418"/>
      <c r="C68" s="2418"/>
      <c r="D68" s="2418"/>
      <c r="E68" s="2418"/>
      <c r="F68" s="2418"/>
      <c r="G68" s="2418"/>
      <c r="H68" s="2418"/>
      <c r="I68" s="2418"/>
      <c r="J68" s="2418"/>
      <c r="K68" s="2418"/>
      <c r="L68" s="2418"/>
      <c r="M68" s="2418"/>
      <c r="N68" s="2418"/>
      <c r="O68" s="2418"/>
      <c r="P68" s="2418"/>
      <c r="Q68" s="2418"/>
    </row>
    <row r="69" spans="2:17" s="1999" customFormat="1">
      <c r="B69" s="2418"/>
      <c r="C69" s="2418"/>
      <c r="D69" s="2418"/>
      <c r="E69" s="2418"/>
      <c r="F69" s="2418"/>
      <c r="G69" s="2418"/>
      <c r="H69" s="2418"/>
      <c r="I69" s="2418"/>
      <c r="J69" s="2418"/>
      <c r="K69" s="2418"/>
      <c r="L69" s="2418"/>
      <c r="M69" s="2418"/>
      <c r="N69" s="2418"/>
      <c r="O69" s="2418"/>
      <c r="P69" s="2418"/>
      <c r="Q69" s="2418"/>
    </row>
    <row r="70" spans="2:17" s="1999" customFormat="1">
      <c r="B70" s="2418"/>
      <c r="C70" s="2418"/>
      <c r="D70" s="2418"/>
      <c r="E70" s="2418"/>
      <c r="F70" s="2418"/>
      <c r="G70" s="2418"/>
      <c r="H70" s="2418"/>
      <c r="I70" s="2418"/>
      <c r="J70" s="2418"/>
      <c r="K70" s="2418"/>
      <c r="L70" s="2418"/>
      <c r="M70" s="2418"/>
      <c r="N70" s="2418"/>
      <c r="O70" s="2418"/>
      <c r="P70" s="2418"/>
      <c r="Q70" s="2418"/>
    </row>
    <row r="71" spans="2:17" s="1999" customFormat="1">
      <c r="B71" s="2418"/>
      <c r="C71" s="2418"/>
      <c r="D71" s="2418"/>
      <c r="E71" s="2418"/>
      <c r="F71" s="2418"/>
      <c r="G71" s="2418"/>
      <c r="H71" s="2418"/>
      <c r="I71" s="2418"/>
      <c r="J71" s="2418"/>
      <c r="K71" s="2418"/>
      <c r="L71" s="2418"/>
      <c r="M71" s="2418"/>
      <c r="N71" s="2418"/>
      <c r="O71" s="2418"/>
      <c r="P71" s="2418"/>
      <c r="Q71" s="2418"/>
    </row>
    <row r="72" spans="2:17" s="1999" customFormat="1">
      <c r="B72" s="2418"/>
      <c r="C72" s="2418"/>
      <c r="D72" s="2418"/>
      <c r="E72" s="2418"/>
      <c r="F72" s="2418"/>
      <c r="G72" s="2418"/>
      <c r="H72" s="2418"/>
      <c r="I72" s="2418"/>
      <c r="J72" s="2418"/>
      <c r="K72" s="2418"/>
      <c r="L72" s="2418"/>
      <c r="M72" s="2418"/>
      <c r="N72" s="2418"/>
      <c r="O72" s="2418"/>
      <c r="P72" s="2418"/>
      <c r="Q72" s="2418"/>
    </row>
    <row r="73" spans="2:17" s="1999" customFormat="1">
      <c r="B73" s="2418"/>
      <c r="C73" s="2418"/>
      <c r="D73" s="2418"/>
      <c r="E73" s="2418"/>
      <c r="F73" s="2418"/>
      <c r="G73" s="2418"/>
      <c r="H73" s="2418"/>
      <c r="I73" s="2418"/>
      <c r="J73" s="2418"/>
      <c r="K73" s="2418"/>
      <c r="L73" s="2418"/>
      <c r="M73" s="2418"/>
      <c r="N73" s="2418"/>
      <c r="O73" s="2418"/>
      <c r="P73" s="2418"/>
      <c r="Q73" s="2418"/>
    </row>
    <row r="74" spans="2:17" s="1999" customFormat="1">
      <c r="B74" s="2418"/>
      <c r="C74" s="2418"/>
      <c r="D74" s="2418"/>
      <c r="E74" s="2418"/>
      <c r="F74" s="2418"/>
      <c r="G74" s="2418"/>
      <c r="H74" s="2418"/>
      <c r="I74" s="2418"/>
      <c r="J74" s="2418"/>
      <c r="K74" s="2418"/>
      <c r="L74" s="2418"/>
      <c r="M74" s="2418"/>
      <c r="N74" s="2418"/>
      <c r="O74" s="2418"/>
      <c r="P74" s="2418"/>
      <c r="Q74" s="2418"/>
    </row>
    <row r="75" spans="2:17" s="1999" customFormat="1">
      <c r="B75" s="2418"/>
      <c r="C75" s="2418"/>
      <c r="D75" s="2418"/>
      <c r="E75" s="2418"/>
      <c r="F75" s="2418"/>
      <c r="G75" s="2418"/>
      <c r="H75" s="2418"/>
      <c r="I75" s="2418"/>
      <c r="J75" s="2418"/>
      <c r="K75" s="2418"/>
      <c r="L75" s="2418"/>
      <c r="M75" s="2418"/>
      <c r="N75" s="2418"/>
      <c r="O75" s="2418"/>
      <c r="P75" s="2418"/>
      <c r="Q75" s="2418"/>
    </row>
    <row r="76" spans="2:17" s="1999" customFormat="1">
      <c r="B76" s="2418"/>
      <c r="C76" s="2418"/>
      <c r="D76" s="2418"/>
      <c r="E76" s="2418"/>
      <c r="F76" s="2418"/>
      <c r="G76" s="2418"/>
      <c r="H76" s="2418"/>
      <c r="I76" s="2418"/>
      <c r="J76" s="2418"/>
      <c r="K76" s="2418"/>
      <c r="L76" s="2418"/>
      <c r="M76" s="2418"/>
      <c r="N76" s="2418"/>
      <c r="O76" s="2418"/>
      <c r="P76" s="2418"/>
      <c r="Q76" s="2418"/>
    </row>
    <row r="77" spans="2:17" s="1999" customFormat="1">
      <c r="B77" s="2418"/>
      <c r="C77" s="2418"/>
      <c r="D77" s="2418"/>
      <c r="E77" s="2418"/>
      <c r="F77" s="2418"/>
      <c r="G77" s="2418"/>
      <c r="H77" s="2418"/>
      <c r="I77" s="2418"/>
      <c r="J77" s="2418"/>
      <c r="K77" s="2418"/>
      <c r="L77" s="2418"/>
      <c r="M77" s="2418"/>
      <c r="N77" s="2418"/>
      <c r="O77" s="2418"/>
      <c r="P77" s="2418"/>
      <c r="Q77" s="2418"/>
    </row>
    <row r="78" spans="2:17" s="1999" customFormat="1">
      <c r="B78" s="2418"/>
      <c r="C78" s="2418"/>
      <c r="D78" s="2418"/>
      <c r="E78" s="2418"/>
      <c r="F78" s="2418"/>
      <c r="G78" s="2418"/>
      <c r="H78" s="2418"/>
      <c r="I78" s="2418"/>
      <c r="J78" s="2418"/>
      <c r="K78" s="2418"/>
      <c r="L78" s="2418"/>
      <c r="M78" s="2418"/>
      <c r="N78" s="2418"/>
      <c r="O78" s="2418"/>
      <c r="P78" s="2418"/>
      <c r="Q78" s="2418"/>
    </row>
    <row r="79" spans="2:17" s="1999" customFormat="1">
      <c r="B79" s="2418"/>
      <c r="C79" s="2418"/>
      <c r="D79" s="2418"/>
      <c r="E79" s="2418"/>
      <c r="F79" s="2418"/>
      <c r="G79" s="2418"/>
      <c r="H79" s="2418"/>
      <c r="I79" s="2418"/>
      <c r="J79" s="2418"/>
      <c r="K79" s="2418"/>
      <c r="L79" s="2418"/>
      <c r="M79" s="2418"/>
      <c r="N79" s="2418"/>
      <c r="O79" s="2418"/>
      <c r="P79" s="2418"/>
      <c r="Q79" s="2418"/>
    </row>
    <row r="80" spans="2:17" s="1999" customFormat="1">
      <c r="B80" s="2418"/>
      <c r="C80" s="2418"/>
      <c r="D80" s="2418"/>
      <c r="E80" s="2418"/>
      <c r="F80" s="2418"/>
      <c r="G80" s="2418"/>
      <c r="H80" s="2418"/>
      <c r="I80" s="2418"/>
      <c r="J80" s="2418"/>
      <c r="K80" s="2418"/>
      <c r="L80" s="2418"/>
      <c r="M80" s="2418"/>
      <c r="N80" s="2418"/>
      <c r="O80" s="2418"/>
      <c r="P80" s="2418"/>
      <c r="Q80" s="2418"/>
    </row>
    <row r="81" spans="2:17" s="1999" customFormat="1">
      <c r="B81" s="2418"/>
      <c r="C81" s="2418"/>
      <c r="D81" s="2418"/>
      <c r="E81" s="2418"/>
      <c r="F81" s="2418"/>
      <c r="G81" s="2418"/>
      <c r="H81" s="2418"/>
      <c r="I81" s="2418"/>
      <c r="J81" s="2418"/>
      <c r="K81" s="2418"/>
      <c r="L81" s="2418"/>
      <c r="M81" s="2418"/>
      <c r="N81" s="2418"/>
      <c r="O81" s="2418"/>
      <c r="P81" s="2418"/>
      <c r="Q81" s="2418"/>
    </row>
    <row r="82" spans="2:17" s="1999" customFormat="1">
      <c r="B82" s="2418"/>
      <c r="C82" s="2418"/>
      <c r="D82" s="2418"/>
      <c r="E82" s="2418"/>
      <c r="F82" s="2418"/>
      <c r="G82" s="2418"/>
      <c r="H82" s="2418"/>
      <c r="I82" s="2418"/>
      <c r="J82" s="2418"/>
      <c r="K82" s="2418"/>
      <c r="L82" s="2418"/>
      <c r="M82" s="2418"/>
      <c r="N82" s="2418"/>
      <c r="O82" s="2418"/>
      <c r="P82" s="2418"/>
      <c r="Q82" s="2418"/>
    </row>
    <row r="83" spans="2:17" s="1999" customFormat="1">
      <c r="B83" s="2418"/>
      <c r="C83" s="2418"/>
      <c r="D83" s="2418"/>
      <c r="E83" s="2418"/>
      <c r="F83" s="2418"/>
      <c r="G83" s="2418"/>
      <c r="H83" s="2418"/>
      <c r="I83" s="2418"/>
      <c r="J83" s="2418"/>
      <c r="K83" s="2418"/>
      <c r="L83" s="2418"/>
      <c r="M83" s="2418"/>
      <c r="N83" s="2418"/>
      <c r="O83" s="2418"/>
      <c r="P83" s="2418"/>
      <c r="Q83" s="2418"/>
    </row>
    <row r="84" spans="2:17" s="1999" customFormat="1">
      <c r="B84" s="2418"/>
      <c r="C84" s="2418"/>
      <c r="D84" s="2418"/>
      <c r="E84" s="2418"/>
      <c r="F84" s="2418"/>
      <c r="G84" s="2418"/>
      <c r="H84" s="2418"/>
      <c r="I84" s="2418"/>
      <c r="J84" s="2418"/>
      <c r="K84" s="2418"/>
      <c r="L84" s="2418"/>
      <c r="M84" s="2418"/>
      <c r="N84" s="2418"/>
      <c r="O84" s="2418"/>
      <c r="P84" s="2418"/>
      <c r="Q84" s="2418"/>
    </row>
    <row r="85" spans="2:17" s="1999" customFormat="1">
      <c r="B85" s="2418"/>
      <c r="C85" s="2418"/>
      <c r="D85" s="2418"/>
      <c r="E85" s="2418"/>
      <c r="F85" s="2418"/>
      <c r="G85" s="2418"/>
      <c r="H85" s="2418"/>
      <c r="I85" s="2418"/>
      <c r="J85" s="2418"/>
      <c r="K85" s="2418"/>
      <c r="L85" s="2418"/>
      <c r="M85" s="2418"/>
      <c r="N85" s="2418"/>
      <c r="O85" s="2418"/>
      <c r="P85" s="2418"/>
      <c r="Q85" s="2418"/>
    </row>
    <row r="86" spans="2:17" s="1999" customFormat="1">
      <c r="B86" s="2418"/>
      <c r="C86" s="2418"/>
      <c r="D86" s="2418"/>
      <c r="E86" s="2418"/>
      <c r="F86" s="2418"/>
      <c r="G86" s="2418"/>
      <c r="H86" s="2418"/>
      <c r="I86" s="2418"/>
      <c r="J86" s="2418"/>
      <c r="K86" s="2418"/>
      <c r="L86" s="2418"/>
      <c r="M86" s="2418"/>
      <c r="N86" s="2418"/>
      <c r="O86" s="2418"/>
      <c r="P86" s="2418"/>
      <c r="Q86" s="2418"/>
    </row>
    <row r="87" spans="2:17" s="1999" customFormat="1">
      <c r="B87" s="2418"/>
      <c r="C87" s="2418"/>
      <c r="D87" s="2418"/>
      <c r="E87" s="2418"/>
      <c r="F87" s="2418"/>
      <c r="G87" s="2418"/>
      <c r="H87" s="2418"/>
      <c r="I87" s="2418"/>
      <c r="J87" s="2418"/>
      <c r="K87" s="2418"/>
      <c r="L87" s="2418"/>
      <c r="M87" s="2418"/>
      <c r="N87" s="2418"/>
      <c r="O87" s="2418"/>
      <c r="P87" s="2418"/>
      <c r="Q87" s="2418"/>
    </row>
    <row r="88" spans="2:17" s="1999" customFormat="1">
      <c r="B88" s="2418"/>
      <c r="C88" s="2418"/>
      <c r="D88" s="2418"/>
      <c r="E88" s="2418"/>
      <c r="F88" s="2418"/>
      <c r="G88" s="2418"/>
      <c r="H88" s="2418"/>
      <c r="I88" s="2418"/>
      <c r="J88" s="2418"/>
      <c r="K88" s="2418"/>
      <c r="L88" s="2418"/>
      <c r="M88" s="2418"/>
      <c r="N88" s="2418"/>
      <c r="O88" s="2418"/>
      <c r="P88" s="2418"/>
      <c r="Q88" s="2418"/>
    </row>
    <row r="89" spans="2:17" s="1999" customFormat="1">
      <c r="B89" s="2418"/>
      <c r="C89" s="2418"/>
      <c r="D89" s="2418"/>
      <c r="E89" s="2418"/>
      <c r="F89" s="2418"/>
      <c r="G89" s="2418"/>
      <c r="H89" s="2418"/>
      <c r="I89" s="2418"/>
      <c r="J89" s="2418"/>
      <c r="K89" s="2418"/>
      <c r="L89" s="2418"/>
      <c r="M89" s="2418"/>
      <c r="N89" s="2418"/>
      <c r="O89" s="2418"/>
      <c r="P89" s="2418"/>
      <c r="Q89" s="2418"/>
    </row>
    <row r="90" spans="2:17" s="1999" customFormat="1">
      <c r="B90" s="2418"/>
      <c r="C90" s="2418"/>
      <c r="D90" s="2418"/>
      <c r="E90" s="2418"/>
      <c r="F90" s="2418"/>
      <c r="G90" s="2418"/>
      <c r="H90" s="2418"/>
      <c r="I90" s="2418"/>
      <c r="J90" s="2418"/>
      <c r="K90" s="2418"/>
      <c r="L90" s="2418"/>
      <c r="M90" s="2418"/>
      <c r="N90" s="2418"/>
      <c r="O90" s="2418"/>
      <c r="P90" s="2418"/>
      <c r="Q90" s="2418"/>
    </row>
    <row r="91" spans="2:17" s="1999" customFormat="1">
      <c r="B91" s="2418"/>
      <c r="C91" s="2418"/>
      <c r="D91" s="2418"/>
      <c r="E91" s="2418"/>
      <c r="F91" s="2418"/>
      <c r="G91" s="2418"/>
      <c r="H91" s="2418"/>
      <c r="I91" s="2418"/>
      <c r="J91" s="2418"/>
      <c r="K91" s="2418"/>
      <c r="L91" s="2418"/>
      <c r="M91" s="2418"/>
      <c r="N91" s="2418"/>
      <c r="O91" s="2418"/>
      <c r="P91" s="2418"/>
      <c r="Q91" s="2418"/>
    </row>
    <row r="92" spans="2:17" s="1999" customFormat="1">
      <c r="B92" s="2418"/>
      <c r="C92" s="2418"/>
      <c r="D92" s="2418"/>
      <c r="E92" s="2418"/>
      <c r="F92" s="2418"/>
      <c r="G92" s="2418"/>
      <c r="H92" s="2418"/>
      <c r="I92" s="2418"/>
      <c r="J92" s="2418"/>
      <c r="K92" s="2418"/>
      <c r="L92" s="2418"/>
      <c r="M92" s="2418"/>
      <c r="N92" s="2418"/>
      <c r="O92" s="2418"/>
      <c r="P92" s="2418"/>
      <c r="Q92" s="2418"/>
    </row>
    <row r="93" spans="2:17" s="1999" customFormat="1">
      <c r="B93" s="2418"/>
      <c r="C93" s="2418"/>
      <c r="D93" s="2418"/>
      <c r="E93" s="2418"/>
      <c r="F93" s="2418"/>
      <c r="G93" s="2418"/>
      <c r="H93" s="2418"/>
      <c r="I93" s="2418"/>
      <c r="J93" s="2418"/>
      <c r="K93" s="2418"/>
      <c r="L93" s="2418"/>
      <c r="M93" s="2418"/>
      <c r="N93" s="2418"/>
      <c r="O93" s="2418"/>
      <c r="P93" s="2418"/>
      <c r="Q93" s="2418"/>
    </row>
    <row r="94" spans="2:17" s="1999" customFormat="1">
      <c r="B94" s="2418"/>
      <c r="C94" s="2418"/>
      <c r="D94" s="2418"/>
      <c r="E94" s="2418"/>
      <c r="F94" s="2418"/>
      <c r="G94" s="2418"/>
      <c r="H94" s="2418"/>
      <c r="I94" s="2418"/>
      <c r="J94" s="2418"/>
      <c r="K94" s="2418"/>
      <c r="L94" s="2418"/>
      <c r="M94" s="2418"/>
      <c r="N94" s="2418"/>
      <c r="O94" s="2418"/>
      <c r="P94" s="2418"/>
      <c r="Q94" s="2418"/>
    </row>
    <row r="95" spans="2:17" s="1999" customFormat="1">
      <c r="B95" s="2418"/>
      <c r="C95" s="2418"/>
      <c r="D95" s="2418"/>
      <c r="E95" s="2418"/>
      <c r="F95" s="2418"/>
      <c r="G95" s="2418"/>
      <c r="H95" s="2418"/>
      <c r="I95" s="2418"/>
      <c r="J95" s="2418"/>
      <c r="K95" s="2418"/>
      <c r="L95" s="2418"/>
      <c r="M95" s="2418"/>
      <c r="N95" s="2418"/>
      <c r="O95" s="2418"/>
      <c r="P95" s="2418"/>
      <c r="Q95" s="2418"/>
    </row>
    <row r="96" spans="2:17" s="1999" customFormat="1">
      <c r="B96" s="2418"/>
      <c r="C96" s="2418"/>
      <c r="D96" s="2418"/>
      <c r="E96" s="2418"/>
      <c r="F96" s="2418"/>
      <c r="G96" s="2418"/>
      <c r="H96" s="2418"/>
      <c r="I96" s="2418"/>
      <c r="J96" s="2418"/>
      <c r="K96" s="2418"/>
      <c r="L96" s="2418"/>
      <c r="M96" s="2418"/>
      <c r="N96" s="2418"/>
      <c r="O96" s="2418"/>
      <c r="P96" s="2418"/>
      <c r="Q96" s="2418"/>
    </row>
    <row r="97" spans="2:17" s="1999" customFormat="1">
      <c r="B97" s="2418"/>
      <c r="C97" s="2418"/>
      <c r="D97" s="2418"/>
      <c r="E97" s="2418"/>
      <c r="F97" s="2418"/>
      <c r="G97" s="2418"/>
      <c r="H97" s="2418"/>
      <c r="I97" s="2418"/>
      <c r="J97" s="2418"/>
      <c r="K97" s="2418"/>
      <c r="L97" s="2418"/>
      <c r="M97" s="2418"/>
      <c r="N97" s="2418"/>
      <c r="O97" s="2418"/>
      <c r="P97" s="2418"/>
      <c r="Q97" s="2418"/>
    </row>
    <row r="98" spans="2:17" s="1999" customFormat="1">
      <c r="B98" s="2418"/>
      <c r="C98" s="2418"/>
      <c r="D98" s="2418"/>
      <c r="E98" s="2418"/>
      <c r="F98" s="2418"/>
      <c r="G98" s="2418"/>
      <c r="H98" s="2418"/>
      <c r="I98" s="2418"/>
      <c r="J98" s="2418"/>
      <c r="K98" s="2418"/>
      <c r="L98" s="2418"/>
      <c r="M98" s="2418"/>
      <c r="N98" s="2418"/>
      <c r="O98" s="2418"/>
      <c r="P98" s="2418"/>
      <c r="Q98" s="2418"/>
    </row>
    <row r="99" spans="2:17" s="1999" customFormat="1">
      <c r="B99" s="2418"/>
      <c r="C99" s="2418"/>
      <c r="D99" s="2418"/>
      <c r="E99" s="2418"/>
      <c r="F99" s="2418"/>
      <c r="G99" s="2418"/>
      <c r="H99" s="2418"/>
      <c r="I99" s="2418"/>
      <c r="J99" s="2418"/>
      <c r="K99" s="2418"/>
      <c r="L99" s="2418"/>
      <c r="M99" s="2418"/>
      <c r="N99" s="2418"/>
      <c r="O99" s="2418"/>
      <c r="P99" s="2418"/>
      <c r="Q99" s="2418"/>
    </row>
    <row r="100" spans="2:17" s="1999" customFormat="1">
      <c r="B100" s="2418"/>
      <c r="C100" s="2418"/>
      <c r="D100" s="2418"/>
      <c r="E100" s="2418"/>
      <c r="F100" s="2418"/>
      <c r="G100" s="2418"/>
      <c r="H100" s="2418"/>
      <c r="I100" s="2418"/>
      <c r="J100" s="2418"/>
      <c r="K100" s="2418"/>
      <c r="L100" s="2418"/>
      <c r="M100" s="2418"/>
      <c r="N100" s="2418"/>
      <c r="O100" s="2418"/>
      <c r="P100" s="2418"/>
      <c r="Q100" s="2418"/>
    </row>
    <row r="101" spans="2:17" s="1999" customFormat="1">
      <c r="B101" s="2418"/>
      <c r="C101" s="2418"/>
      <c r="D101" s="2418"/>
      <c r="E101" s="2418"/>
      <c r="F101" s="2418"/>
      <c r="G101" s="2418"/>
      <c r="H101" s="2418"/>
      <c r="I101" s="2418"/>
      <c r="J101" s="2418"/>
      <c r="K101" s="2418"/>
      <c r="L101" s="2418"/>
      <c r="M101" s="2418"/>
      <c r="N101" s="2418"/>
      <c r="O101" s="2418"/>
      <c r="P101" s="2418"/>
      <c r="Q101" s="2418"/>
    </row>
    <row r="102" spans="2:17" s="1999" customFormat="1">
      <c r="B102" s="2418"/>
      <c r="C102" s="2418"/>
      <c r="D102" s="2418"/>
      <c r="E102" s="2418"/>
      <c r="F102" s="2418"/>
      <c r="G102" s="2418"/>
      <c r="H102" s="2418"/>
      <c r="I102" s="2418"/>
      <c r="J102" s="2418"/>
      <c r="K102" s="2418"/>
      <c r="L102" s="2418"/>
      <c r="M102" s="2418"/>
      <c r="N102" s="2418"/>
      <c r="O102" s="2418"/>
      <c r="P102" s="2418"/>
      <c r="Q102" s="2418"/>
    </row>
    <row r="103" spans="2:17" s="1999" customFormat="1">
      <c r="B103" s="2418"/>
      <c r="C103" s="2418"/>
      <c r="D103" s="2418"/>
      <c r="E103" s="2418"/>
      <c r="F103" s="2418"/>
      <c r="G103" s="2418"/>
      <c r="H103" s="2418"/>
      <c r="I103" s="2418"/>
      <c r="J103" s="2418"/>
      <c r="K103" s="2418"/>
      <c r="L103" s="2418"/>
      <c r="M103" s="2418"/>
      <c r="N103" s="2418"/>
      <c r="O103" s="2418"/>
      <c r="P103" s="2418"/>
      <c r="Q103" s="2418"/>
    </row>
    <row r="104" spans="2:17" s="1999" customFormat="1">
      <c r="B104" s="2418"/>
      <c r="C104" s="2418"/>
      <c r="D104" s="2418"/>
      <c r="E104" s="2418"/>
      <c r="F104" s="2418"/>
      <c r="G104" s="2418"/>
      <c r="H104" s="2418"/>
      <c r="I104" s="2418"/>
      <c r="J104" s="2418"/>
      <c r="K104" s="2418"/>
      <c r="L104" s="2418"/>
      <c r="M104" s="2418"/>
      <c r="N104" s="2418"/>
      <c r="O104" s="2418"/>
      <c r="P104" s="2418"/>
      <c r="Q104" s="2418"/>
    </row>
    <row r="105" spans="2:17" s="1999" customFormat="1">
      <c r="B105" s="2418"/>
      <c r="C105" s="2418"/>
      <c r="D105" s="2418"/>
      <c r="E105" s="2418"/>
      <c r="F105" s="2418"/>
      <c r="G105" s="2418"/>
      <c r="H105" s="2418"/>
      <c r="I105" s="2418"/>
      <c r="J105" s="2418"/>
      <c r="K105" s="2418"/>
      <c r="L105" s="2418"/>
      <c r="M105" s="2418"/>
      <c r="N105" s="2418"/>
      <c r="O105" s="2418"/>
      <c r="P105" s="2418"/>
      <c r="Q105" s="2418"/>
    </row>
    <row r="106" spans="2:17" s="1999" customFormat="1">
      <c r="B106" s="2418"/>
      <c r="C106" s="2418"/>
      <c r="D106" s="2418"/>
      <c r="E106" s="2418"/>
      <c r="F106" s="2418"/>
      <c r="G106" s="2418"/>
      <c r="H106" s="2418"/>
      <c r="I106" s="2418"/>
      <c r="J106" s="2418"/>
      <c r="K106" s="2418"/>
      <c r="L106" s="2418"/>
      <c r="M106" s="2418"/>
      <c r="N106" s="2418"/>
      <c r="O106" s="2418"/>
      <c r="P106" s="2418"/>
      <c r="Q106" s="2418"/>
    </row>
    <row r="107" spans="2:17" s="1999" customFormat="1">
      <c r="B107" s="2418"/>
      <c r="C107" s="2418"/>
      <c r="D107" s="2418"/>
      <c r="E107" s="2418"/>
      <c r="F107" s="2418"/>
      <c r="G107" s="2418"/>
      <c r="H107" s="2418"/>
      <c r="I107" s="2418"/>
      <c r="J107" s="2418"/>
      <c r="K107" s="2418"/>
      <c r="L107" s="2418"/>
      <c r="M107" s="2418"/>
      <c r="N107" s="2418"/>
      <c r="O107" s="2418"/>
      <c r="P107" s="2418"/>
      <c r="Q107" s="2418"/>
    </row>
    <row r="108" spans="2:17" s="1999" customFormat="1">
      <c r="B108" s="2418"/>
      <c r="C108" s="2418"/>
      <c r="D108" s="2418"/>
      <c r="E108" s="2418"/>
      <c r="F108" s="2418"/>
      <c r="G108" s="2418"/>
      <c r="H108" s="2418"/>
      <c r="I108" s="2418"/>
      <c r="J108" s="2418"/>
      <c r="K108" s="2418"/>
      <c r="L108" s="2418"/>
      <c r="M108" s="2418"/>
      <c r="N108" s="2418"/>
      <c r="O108" s="2418"/>
      <c r="P108" s="2418"/>
      <c r="Q108" s="2418"/>
    </row>
    <row r="109" spans="2:17" s="1999" customFormat="1">
      <c r="B109" s="2418"/>
      <c r="C109" s="2418"/>
      <c r="D109" s="2418"/>
      <c r="E109" s="2418"/>
      <c r="F109" s="2418"/>
      <c r="G109" s="2418"/>
      <c r="H109" s="2418"/>
      <c r="I109" s="2418"/>
      <c r="J109" s="2418"/>
      <c r="K109" s="2418"/>
      <c r="L109" s="2418"/>
      <c r="M109" s="2418"/>
      <c r="N109" s="2418"/>
      <c r="O109" s="2418"/>
      <c r="P109" s="2418"/>
      <c r="Q109" s="2418"/>
    </row>
    <row r="110" spans="2:17" s="1999" customFormat="1">
      <c r="B110" s="2418"/>
      <c r="C110" s="2418"/>
      <c r="D110" s="2418"/>
      <c r="E110" s="2418"/>
      <c r="F110" s="2418"/>
      <c r="G110" s="2418"/>
      <c r="H110" s="2418"/>
      <c r="I110" s="2418"/>
      <c r="J110" s="2418"/>
      <c r="K110" s="2418"/>
      <c r="L110" s="2418"/>
      <c r="M110" s="2418"/>
      <c r="N110" s="2418"/>
      <c r="O110" s="2418"/>
      <c r="P110" s="2418"/>
      <c r="Q110" s="2418"/>
    </row>
    <row r="111" spans="2:17" s="1999" customFormat="1">
      <c r="B111" s="2418"/>
      <c r="C111" s="2418"/>
      <c r="D111" s="2418"/>
      <c r="E111" s="2418"/>
      <c r="F111" s="2418"/>
      <c r="G111" s="2418"/>
      <c r="H111" s="2418"/>
      <c r="I111" s="2418"/>
      <c r="J111" s="2418"/>
      <c r="K111" s="2418"/>
      <c r="L111" s="2418"/>
      <c r="M111" s="2418"/>
      <c r="N111" s="2418"/>
      <c r="O111" s="2418"/>
      <c r="P111" s="2418"/>
      <c r="Q111" s="2418"/>
    </row>
    <row r="112" spans="2:17" s="1999" customFormat="1">
      <c r="B112" s="2418"/>
      <c r="C112" s="2418"/>
      <c r="D112" s="2418"/>
      <c r="E112" s="2418"/>
      <c r="F112" s="2418"/>
      <c r="G112" s="2418"/>
      <c r="H112" s="2418"/>
      <c r="I112" s="2418"/>
      <c r="J112" s="2418"/>
      <c r="K112" s="2418"/>
      <c r="L112" s="2418"/>
      <c r="M112" s="2418"/>
      <c r="N112" s="2418"/>
      <c r="O112" s="2418"/>
      <c r="P112" s="2418"/>
      <c r="Q112" s="2418"/>
    </row>
    <row r="113" spans="2:17" s="1999" customFormat="1">
      <c r="B113" s="2418"/>
      <c r="C113" s="2418"/>
      <c r="D113" s="2418"/>
      <c r="E113" s="2418"/>
      <c r="F113" s="2418"/>
      <c r="G113" s="2418"/>
      <c r="H113" s="2418"/>
      <c r="I113" s="2418"/>
      <c r="J113" s="2418"/>
      <c r="K113" s="2418"/>
      <c r="L113" s="2418"/>
      <c r="M113" s="2418"/>
      <c r="N113" s="2418"/>
      <c r="O113" s="2418"/>
      <c r="P113" s="2418"/>
      <c r="Q113" s="2418"/>
    </row>
    <row r="114" spans="2:17" s="1999" customFormat="1">
      <c r="B114" s="2418"/>
      <c r="C114" s="2418"/>
      <c r="D114" s="2418"/>
      <c r="E114" s="2418"/>
      <c r="F114" s="2418"/>
      <c r="G114" s="2418"/>
      <c r="H114" s="2418"/>
      <c r="I114" s="2418"/>
      <c r="J114" s="2418"/>
      <c r="K114" s="2418"/>
      <c r="L114" s="2418"/>
      <c r="M114" s="2418"/>
      <c r="N114" s="2418"/>
      <c r="O114" s="2418"/>
      <c r="P114" s="2418"/>
      <c r="Q114" s="2418"/>
    </row>
    <row r="115" spans="2:17" s="1999" customFormat="1">
      <c r="B115" s="2418"/>
      <c r="C115" s="2418"/>
      <c r="D115" s="2418"/>
      <c r="E115" s="2418"/>
      <c r="F115" s="2418"/>
      <c r="G115" s="2418"/>
      <c r="H115" s="2418"/>
      <c r="I115" s="2418"/>
      <c r="J115" s="2418"/>
      <c r="K115" s="2418"/>
      <c r="L115" s="2418"/>
      <c r="M115" s="2418"/>
      <c r="N115" s="2418"/>
      <c r="O115" s="2418"/>
      <c r="P115" s="2418"/>
      <c r="Q115" s="2418"/>
    </row>
    <row r="116" spans="2:17" s="1999" customFormat="1">
      <c r="B116" s="2418"/>
      <c r="C116" s="2418"/>
      <c r="D116" s="2418"/>
      <c r="E116" s="2418"/>
      <c r="F116" s="2418"/>
      <c r="G116" s="2418"/>
      <c r="H116" s="2418"/>
      <c r="I116" s="2418"/>
      <c r="J116" s="2418"/>
      <c r="K116" s="2418"/>
      <c r="L116" s="2418"/>
      <c r="M116" s="2418"/>
      <c r="N116" s="2418"/>
      <c r="O116" s="2418"/>
      <c r="P116" s="2418"/>
      <c r="Q116" s="2418"/>
    </row>
    <row r="117" spans="2:17" s="1999" customFormat="1">
      <c r="B117" s="2418"/>
      <c r="C117" s="2418"/>
      <c r="D117" s="2418"/>
      <c r="E117" s="2418"/>
      <c r="F117" s="2418"/>
      <c r="G117" s="2418"/>
      <c r="H117" s="2418"/>
      <c r="I117" s="2418"/>
      <c r="J117" s="2418"/>
      <c r="K117" s="2418"/>
      <c r="L117" s="2418"/>
      <c r="M117" s="2418"/>
      <c r="N117" s="2418"/>
      <c r="O117" s="2418"/>
      <c r="P117" s="2418"/>
      <c r="Q117" s="2418"/>
    </row>
    <row r="118" spans="2:17" s="1999" customFormat="1">
      <c r="B118" s="2418"/>
      <c r="C118" s="2418"/>
      <c r="D118" s="2418"/>
      <c r="E118" s="2418"/>
      <c r="F118" s="2418"/>
      <c r="G118" s="2418"/>
      <c r="H118" s="2418"/>
      <c r="I118" s="2418"/>
      <c r="J118" s="2418"/>
      <c r="K118" s="2418"/>
      <c r="L118" s="2418"/>
      <c r="M118" s="2418"/>
      <c r="N118" s="2418"/>
      <c r="O118" s="2418"/>
      <c r="P118" s="2418"/>
      <c r="Q118" s="2418"/>
    </row>
    <row r="119" spans="2:17" s="1999" customFormat="1">
      <c r="B119" s="2418"/>
      <c r="C119" s="2418"/>
      <c r="D119" s="2418"/>
      <c r="E119" s="2418"/>
      <c r="F119" s="2418"/>
      <c r="G119" s="2418"/>
      <c r="H119" s="2418"/>
      <c r="I119" s="2418"/>
      <c r="J119" s="2418"/>
      <c r="K119" s="2418"/>
      <c r="L119" s="2418"/>
      <c r="M119" s="2418"/>
      <c r="N119" s="2418"/>
      <c r="O119" s="2418"/>
      <c r="P119" s="2418"/>
      <c r="Q119" s="2418"/>
    </row>
    <row r="120" spans="2:17" s="1999" customFormat="1">
      <c r="B120" s="2418"/>
      <c r="C120" s="2418"/>
      <c r="D120" s="2418"/>
      <c r="E120" s="2418"/>
      <c r="F120" s="2418"/>
      <c r="G120" s="2418"/>
      <c r="H120" s="2418"/>
      <c r="I120" s="2418"/>
      <c r="J120" s="2418"/>
      <c r="K120" s="2418"/>
      <c r="L120" s="2418"/>
      <c r="M120" s="2418"/>
      <c r="N120" s="2418"/>
      <c r="O120" s="2418"/>
      <c r="P120" s="2418"/>
      <c r="Q120" s="2418"/>
    </row>
    <row r="121" spans="2:17" s="1999" customFormat="1">
      <c r="B121" s="2418"/>
      <c r="C121" s="2418"/>
      <c r="D121" s="2418"/>
      <c r="E121" s="2418"/>
      <c r="F121" s="2418"/>
      <c r="G121" s="2418"/>
      <c r="H121" s="2418"/>
      <c r="I121" s="2418"/>
      <c r="J121" s="2418"/>
      <c r="K121" s="2418"/>
      <c r="L121" s="2418"/>
      <c r="M121" s="2418"/>
      <c r="N121" s="2418"/>
      <c r="O121" s="2418"/>
      <c r="P121" s="2418"/>
      <c r="Q121" s="2418"/>
    </row>
    <row r="122" spans="2:17" s="1999" customFormat="1">
      <c r="B122" s="2418"/>
      <c r="C122" s="2418"/>
      <c r="D122" s="2418"/>
      <c r="E122" s="2418"/>
      <c r="F122" s="2418"/>
      <c r="G122" s="2418"/>
      <c r="H122" s="2418"/>
      <c r="I122" s="2418"/>
      <c r="J122" s="2418"/>
      <c r="K122" s="2418"/>
      <c r="L122" s="2418"/>
      <c r="M122" s="2418"/>
      <c r="N122" s="2418"/>
      <c r="O122" s="2418"/>
      <c r="P122" s="2418"/>
      <c r="Q122" s="2418"/>
    </row>
    <row r="123" spans="2:17" s="1999" customFormat="1">
      <c r="B123" s="2418"/>
      <c r="C123" s="2418"/>
      <c r="D123" s="2418"/>
      <c r="E123" s="2418"/>
      <c r="F123" s="2418"/>
      <c r="G123" s="2418"/>
      <c r="H123" s="2418"/>
      <c r="I123" s="2418"/>
      <c r="J123" s="2418"/>
      <c r="K123" s="2418"/>
      <c r="L123" s="2418"/>
      <c r="M123" s="2418"/>
      <c r="N123" s="2418"/>
      <c r="O123" s="2418"/>
      <c r="P123" s="2418"/>
      <c r="Q123" s="2418"/>
    </row>
    <row r="124" spans="2:17" s="1999" customFormat="1">
      <c r="B124" s="2418"/>
      <c r="C124" s="2418"/>
      <c r="D124" s="2418"/>
      <c r="E124" s="2418"/>
      <c r="F124" s="2418"/>
      <c r="G124" s="2418"/>
      <c r="H124" s="2418"/>
      <c r="I124" s="2418"/>
      <c r="J124" s="2418"/>
      <c r="K124" s="2418"/>
      <c r="L124" s="2418"/>
      <c r="M124" s="2418"/>
      <c r="N124" s="2418"/>
      <c r="O124" s="2418"/>
      <c r="P124" s="2418"/>
      <c r="Q124" s="2418"/>
    </row>
    <row r="125" spans="2:17" s="1999" customFormat="1">
      <c r="B125" s="2418"/>
      <c r="C125" s="2418"/>
      <c r="D125" s="2418"/>
      <c r="E125" s="2418"/>
      <c r="F125" s="2418"/>
      <c r="G125" s="2418"/>
      <c r="H125" s="2418"/>
      <c r="I125" s="2418"/>
      <c r="J125" s="2418"/>
      <c r="K125" s="2418"/>
      <c r="L125" s="2418"/>
      <c r="M125" s="2418"/>
      <c r="N125" s="2418"/>
      <c r="O125" s="2418"/>
      <c r="P125" s="2418"/>
      <c r="Q125" s="2418"/>
    </row>
    <row r="126" spans="2:17" s="1999" customFormat="1">
      <c r="B126" s="2418"/>
      <c r="C126" s="2418"/>
      <c r="D126" s="2418"/>
      <c r="E126" s="2418"/>
      <c r="F126" s="2418"/>
      <c r="G126" s="2418"/>
      <c r="H126" s="2418"/>
      <c r="I126" s="2418"/>
      <c r="J126" s="2418"/>
      <c r="K126" s="2418"/>
      <c r="L126" s="2418"/>
      <c r="M126" s="2418"/>
      <c r="N126" s="2418"/>
      <c r="O126" s="2418"/>
      <c r="P126" s="2418"/>
      <c r="Q126" s="2418"/>
    </row>
    <row r="127" spans="2:17" s="1999" customFormat="1">
      <c r="B127" s="2418"/>
      <c r="C127" s="2418"/>
      <c r="D127" s="2418"/>
      <c r="E127" s="2418"/>
      <c r="F127" s="2418"/>
      <c r="G127" s="2418"/>
      <c r="H127" s="2418"/>
      <c r="I127" s="2418"/>
      <c r="J127" s="2418"/>
      <c r="K127" s="2418"/>
      <c r="L127" s="2418"/>
      <c r="M127" s="2418"/>
      <c r="N127" s="2418"/>
      <c r="O127" s="2418"/>
      <c r="P127" s="2418"/>
      <c r="Q127" s="2418"/>
    </row>
    <row r="128" spans="2:17" s="1999" customFormat="1">
      <c r="B128" s="2418"/>
      <c r="C128" s="2418"/>
      <c r="D128" s="2418"/>
      <c r="E128" s="2418"/>
      <c r="F128" s="2418"/>
      <c r="G128" s="2418"/>
      <c r="H128" s="2418"/>
      <c r="I128" s="2418"/>
      <c r="J128" s="2418"/>
      <c r="K128" s="2418"/>
      <c r="L128" s="2418"/>
      <c r="M128" s="2418"/>
      <c r="N128" s="2418"/>
      <c r="O128" s="2418"/>
      <c r="P128" s="2418"/>
      <c r="Q128" s="2418"/>
    </row>
    <row r="129" spans="2:17" s="1999" customFormat="1">
      <c r="B129" s="2418"/>
      <c r="C129" s="2418"/>
      <c r="D129" s="2418"/>
      <c r="E129" s="2418"/>
      <c r="F129" s="2418"/>
      <c r="G129" s="2418"/>
      <c r="H129" s="2418"/>
      <c r="I129" s="2418"/>
      <c r="J129" s="2418"/>
      <c r="K129" s="2418"/>
      <c r="L129" s="2418"/>
      <c r="M129" s="2418"/>
      <c r="N129" s="2418"/>
      <c r="O129" s="2418"/>
      <c r="P129" s="2418"/>
      <c r="Q129" s="2418"/>
    </row>
    <row r="130" spans="2:17" s="1999" customFormat="1">
      <c r="B130" s="2418"/>
      <c r="C130" s="2418"/>
      <c r="D130" s="2418"/>
      <c r="E130" s="2418"/>
      <c r="F130" s="2418"/>
      <c r="G130" s="2418"/>
      <c r="H130" s="2418"/>
      <c r="I130" s="2418"/>
      <c r="J130" s="2418"/>
      <c r="K130" s="2418"/>
      <c r="L130" s="2418"/>
      <c r="M130" s="2418"/>
      <c r="N130" s="2418"/>
      <c r="O130" s="2418"/>
      <c r="P130" s="2418"/>
      <c r="Q130" s="2418"/>
    </row>
    <row r="131" spans="2:17" s="1999" customFormat="1">
      <c r="B131" s="2418"/>
      <c r="C131" s="2418"/>
      <c r="D131" s="2418"/>
      <c r="E131" s="2418"/>
      <c r="F131" s="2418"/>
      <c r="G131" s="2418"/>
      <c r="H131" s="2418"/>
      <c r="I131" s="2418"/>
      <c r="J131" s="2418"/>
      <c r="K131" s="2418"/>
      <c r="L131" s="2418"/>
      <c r="M131" s="2418"/>
      <c r="N131" s="2418"/>
      <c r="O131" s="2418"/>
      <c r="P131" s="2418"/>
      <c r="Q131" s="2418"/>
    </row>
    <row r="132" spans="2:17" s="1999" customFormat="1">
      <c r="B132" s="2418"/>
      <c r="C132" s="2418"/>
      <c r="D132" s="2418"/>
      <c r="E132" s="2418"/>
      <c r="F132" s="2418"/>
      <c r="G132" s="2418"/>
      <c r="H132" s="2418"/>
      <c r="I132" s="2418"/>
      <c r="J132" s="2418"/>
      <c r="K132" s="2418"/>
      <c r="L132" s="2418"/>
      <c r="M132" s="2418"/>
      <c r="N132" s="2418"/>
      <c r="O132" s="2418"/>
      <c r="P132" s="2418"/>
      <c r="Q132" s="2418"/>
    </row>
    <row r="133" spans="2:17" s="1999" customFormat="1">
      <c r="B133" s="2418"/>
      <c r="C133" s="2418"/>
      <c r="D133" s="2418"/>
      <c r="E133" s="2418"/>
      <c r="F133" s="2418"/>
      <c r="G133" s="2418"/>
      <c r="H133" s="2418"/>
      <c r="I133" s="2418"/>
      <c r="J133" s="2418"/>
      <c r="K133" s="2418"/>
      <c r="L133" s="2418"/>
      <c r="M133" s="2418"/>
      <c r="N133" s="2418"/>
      <c r="O133" s="2418"/>
      <c r="P133" s="2418"/>
      <c r="Q133" s="2418"/>
    </row>
    <row r="134" spans="2:17" s="1999" customFormat="1">
      <c r="B134" s="2418"/>
      <c r="C134" s="2418"/>
      <c r="D134" s="2418"/>
      <c r="E134" s="2418"/>
      <c r="F134" s="2418"/>
      <c r="G134" s="2418"/>
      <c r="H134" s="2418"/>
      <c r="I134" s="2418"/>
      <c r="J134" s="2418"/>
      <c r="K134" s="2418"/>
      <c r="L134" s="2418"/>
      <c r="M134" s="2418"/>
      <c r="N134" s="2418"/>
      <c r="O134" s="2418"/>
      <c r="P134" s="2418"/>
      <c r="Q134" s="2418"/>
    </row>
    <row r="135" spans="2:17" s="1999" customFormat="1">
      <c r="B135" s="2418"/>
      <c r="C135" s="2418"/>
      <c r="D135" s="2418"/>
      <c r="E135" s="2418"/>
      <c r="F135" s="2418"/>
      <c r="G135" s="2418"/>
      <c r="H135" s="2418"/>
      <c r="I135" s="2418"/>
      <c r="J135" s="2418"/>
      <c r="K135" s="2418"/>
      <c r="L135" s="2418"/>
      <c r="M135" s="2418"/>
      <c r="N135" s="2418"/>
      <c r="O135" s="2418"/>
      <c r="P135" s="2418"/>
      <c r="Q135" s="2418"/>
    </row>
    <row r="136" spans="2:17" s="1999" customFormat="1">
      <c r="B136" s="2418"/>
      <c r="C136" s="2418"/>
      <c r="D136" s="2418"/>
      <c r="E136" s="2418"/>
      <c r="F136" s="2418"/>
      <c r="G136" s="2418"/>
      <c r="H136" s="2418"/>
      <c r="I136" s="2418"/>
      <c r="J136" s="2418"/>
      <c r="K136" s="2418"/>
      <c r="L136" s="2418"/>
      <c r="M136" s="2418"/>
      <c r="N136" s="2418"/>
      <c r="O136" s="2418"/>
      <c r="P136" s="2418"/>
      <c r="Q136" s="2418"/>
    </row>
    <row r="137" spans="2:17" s="1999" customFormat="1">
      <c r="B137" s="2418"/>
      <c r="C137" s="2418"/>
      <c r="D137" s="2418"/>
      <c r="E137" s="2418"/>
      <c r="F137" s="2418"/>
      <c r="G137" s="2418"/>
      <c r="H137" s="2418"/>
      <c r="I137" s="2418"/>
      <c r="J137" s="2418"/>
      <c r="K137" s="2418"/>
      <c r="L137" s="2418"/>
      <c r="M137" s="2418"/>
      <c r="N137" s="2418"/>
      <c r="O137" s="2418"/>
      <c r="P137" s="2418"/>
      <c r="Q137" s="2418"/>
    </row>
    <row r="138" spans="2:17" s="1999" customFormat="1">
      <c r="B138" s="2418"/>
      <c r="C138" s="2418"/>
      <c r="D138" s="2418"/>
      <c r="E138" s="2418"/>
      <c r="F138" s="2418"/>
      <c r="G138" s="2418"/>
      <c r="H138" s="2418"/>
      <c r="I138" s="2418"/>
      <c r="J138" s="2418"/>
      <c r="K138" s="2418"/>
      <c r="L138" s="2418"/>
      <c r="M138" s="2418"/>
      <c r="N138" s="2418"/>
      <c r="O138" s="2418"/>
      <c r="P138" s="2418"/>
      <c r="Q138" s="2418"/>
    </row>
    <row r="139" spans="2:17" s="1999" customFormat="1">
      <c r="B139" s="2418"/>
      <c r="C139" s="2418"/>
      <c r="D139" s="2418"/>
      <c r="E139" s="2418"/>
      <c r="F139" s="2418"/>
      <c r="G139" s="2418"/>
      <c r="H139" s="2418"/>
      <c r="I139" s="2418"/>
      <c r="J139" s="2418"/>
      <c r="K139" s="2418"/>
      <c r="L139" s="2418"/>
      <c r="M139" s="2418"/>
      <c r="N139" s="2418"/>
      <c r="O139" s="2418"/>
      <c r="P139" s="2418"/>
      <c r="Q139" s="2418"/>
    </row>
    <row r="140" spans="2:17" s="1999" customFormat="1">
      <c r="B140" s="2418"/>
      <c r="C140" s="2418"/>
      <c r="D140" s="2418"/>
      <c r="E140" s="2418"/>
      <c r="F140" s="2418"/>
      <c r="G140" s="2418"/>
      <c r="H140" s="2418"/>
      <c r="I140" s="2418"/>
      <c r="J140" s="2418"/>
      <c r="K140" s="2418"/>
      <c r="L140" s="2418"/>
      <c r="M140" s="2418"/>
      <c r="N140" s="2418"/>
      <c r="O140" s="2418"/>
      <c r="P140" s="2418"/>
      <c r="Q140" s="2418"/>
    </row>
    <row r="141" spans="2:17" s="1999" customFormat="1">
      <c r="B141" s="2418"/>
      <c r="C141" s="2418"/>
      <c r="D141" s="2418"/>
      <c r="E141" s="2418"/>
      <c r="F141" s="2418"/>
      <c r="G141" s="2418"/>
      <c r="H141" s="2418"/>
      <c r="I141" s="2418"/>
      <c r="J141" s="2418"/>
      <c r="K141" s="2418"/>
      <c r="L141" s="2418"/>
      <c r="M141" s="2418"/>
      <c r="N141" s="2418"/>
      <c r="O141" s="2418"/>
      <c r="P141" s="2418"/>
      <c r="Q141" s="2418"/>
    </row>
    <row r="142" spans="2:17" s="1999" customFormat="1">
      <c r="B142" s="2418"/>
      <c r="C142" s="2418"/>
      <c r="D142" s="2418"/>
      <c r="E142" s="2418"/>
      <c r="F142" s="2418"/>
      <c r="G142" s="2418"/>
      <c r="H142" s="2418"/>
      <c r="I142" s="2418"/>
      <c r="J142" s="2418"/>
      <c r="K142" s="2418"/>
      <c r="L142" s="2418"/>
      <c r="M142" s="2418"/>
      <c r="N142" s="2418"/>
      <c r="O142" s="2418"/>
      <c r="P142" s="2418"/>
      <c r="Q142" s="2418"/>
    </row>
    <row r="143" spans="2:17" s="1999" customFormat="1">
      <c r="B143" s="2418"/>
      <c r="C143" s="2418"/>
      <c r="D143" s="2418"/>
      <c r="E143" s="2418"/>
      <c r="F143" s="2418"/>
      <c r="G143" s="2418"/>
      <c r="H143" s="2418"/>
      <c r="I143" s="2418"/>
      <c r="J143" s="2418"/>
      <c r="K143" s="2418"/>
      <c r="L143" s="2418"/>
      <c r="M143" s="2418"/>
      <c r="N143" s="2418"/>
      <c r="O143" s="2418"/>
      <c r="P143" s="2418"/>
      <c r="Q143" s="2418"/>
    </row>
    <row r="144" spans="2:17" s="1999" customFormat="1">
      <c r="B144" s="2418"/>
      <c r="C144" s="2418"/>
      <c r="D144" s="2418"/>
      <c r="E144" s="2418"/>
      <c r="F144" s="2418"/>
      <c r="G144" s="2418"/>
      <c r="H144" s="2418"/>
      <c r="I144" s="2418"/>
      <c r="J144" s="2418"/>
      <c r="K144" s="2418"/>
      <c r="L144" s="2418"/>
      <c r="M144" s="2418"/>
      <c r="N144" s="2418"/>
      <c r="O144" s="2418"/>
      <c r="P144" s="2418"/>
      <c r="Q144" s="2418"/>
    </row>
    <row r="145" spans="2:17" s="1999" customFormat="1">
      <c r="B145" s="2418"/>
      <c r="C145" s="2418"/>
      <c r="D145" s="2418"/>
      <c r="E145" s="2418"/>
      <c r="F145" s="2418"/>
      <c r="G145" s="2418"/>
      <c r="H145" s="2418"/>
      <c r="I145" s="2418"/>
      <c r="J145" s="2418"/>
      <c r="K145" s="2418"/>
      <c r="L145" s="2418"/>
      <c r="M145" s="2418"/>
      <c r="N145" s="2418"/>
      <c r="O145" s="2418"/>
      <c r="P145" s="2418"/>
      <c r="Q145" s="2418"/>
    </row>
    <row r="146" spans="2:17" s="1999" customFormat="1">
      <c r="B146" s="2418"/>
      <c r="C146" s="2418"/>
      <c r="D146" s="2418"/>
      <c r="E146" s="2418"/>
      <c r="F146" s="2418"/>
      <c r="G146" s="2418"/>
      <c r="H146" s="2418"/>
      <c r="I146" s="2418"/>
      <c r="J146" s="2418"/>
      <c r="K146" s="2418"/>
      <c r="L146" s="2418"/>
      <c r="M146" s="2418"/>
      <c r="N146" s="2418"/>
      <c r="O146" s="2418"/>
      <c r="P146" s="2418"/>
      <c r="Q146" s="2418"/>
    </row>
    <row r="147" spans="2:17" s="1999" customFormat="1">
      <c r="B147" s="2418"/>
      <c r="C147" s="2418"/>
      <c r="D147" s="2418"/>
      <c r="E147" s="2418"/>
      <c r="F147" s="2418"/>
      <c r="G147" s="2418"/>
      <c r="H147" s="2418"/>
      <c r="I147" s="2418"/>
      <c r="J147" s="2418"/>
      <c r="K147" s="2418"/>
      <c r="L147" s="2418"/>
      <c r="M147" s="2418"/>
      <c r="N147" s="2418"/>
      <c r="O147" s="2418"/>
      <c r="P147" s="2418"/>
      <c r="Q147" s="2418"/>
    </row>
    <row r="148" spans="2:17" s="1999" customFormat="1">
      <c r="B148" s="2418"/>
      <c r="C148" s="2418"/>
      <c r="D148" s="2418"/>
      <c r="E148" s="2418"/>
      <c r="F148" s="2418"/>
      <c r="G148" s="2418"/>
      <c r="H148" s="2418"/>
      <c r="I148" s="2418"/>
      <c r="J148" s="2418"/>
      <c r="K148" s="2418"/>
      <c r="L148" s="2418"/>
      <c r="M148" s="2418"/>
      <c r="N148" s="2418"/>
      <c r="O148" s="2418"/>
      <c r="P148" s="2418"/>
      <c r="Q148" s="2418"/>
    </row>
    <row r="149" spans="2:17" s="1999" customFormat="1">
      <c r="B149" s="2418"/>
      <c r="C149" s="2418"/>
      <c r="D149" s="2418"/>
      <c r="E149" s="2418"/>
      <c r="F149" s="2418"/>
      <c r="G149" s="2418"/>
      <c r="H149" s="2418"/>
      <c r="I149" s="2418"/>
      <c r="J149" s="2418"/>
      <c r="K149" s="2418"/>
      <c r="L149" s="2418"/>
      <c r="M149" s="2418"/>
      <c r="N149" s="2418"/>
      <c r="O149" s="2418"/>
      <c r="P149" s="2418"/>
      <c r="Q149" s="2418"/>
    </row>
    <row r="150" spans="2:17" s="1999" customFormat="1">
      <c r="B150" s="2418"/>
      <c r="C150" s="2418"/>
      <c r="D150" s="2418"/>
      <c r="E150" s="2418"/>
      <c r="F150" s="2418"/>
      <c r="G150" s="2418"/>
      <c r="H150" s="2418"/>
      <c r="I150" s="2418"/>
      <c r="J150" s="2418"/>
      <c r="K150" s="2418"/>
      <c r="L150" s="2418"/>
      <c r="M150" s="2418"/>
      <c r="N150" s="2418"/>
      <c r="O150" s="2418"/>
      <c r="P150" s="2418"/>
      <c r="Q150" s="2418"/>
    </row>
    <row r="151" spans="2:17" s="1999" customFormat="1">
      <c r="B151" s="2418"/>
      <c r="C151" s="2418"/>
      <c r="D151" s="2418"/>
      <c r="E151" s="2418"/>
      <c r="F151" s="2418"/>
      <c r="G151" s="2418"/>
      <c r="H151" s="2418"/>
      <c r="I151" s="2418"/>
      <c r="J151" s="2418"/>
      <c r="K151" s="2418"/>
      <c r="L151" s="2418"/>
      <c r="M151" s="2418"/>
      <c r="N151" s="2418"/>
      <c r="O151" s="2418"/>
      <c r="P151" s="2418"/>
      <c r="Q151" s="2418"/>
    </row>
    <row r="152" spans="2:17" s="1999" customFormat="1">
      <c r="B152" s="2418"/>
      <c r="C152" s="2418"/>
      <c r="D152" s="2418"/>
      <c r="E152" s="2418"/>
      <c r="F152" s="2418"/>
      <c r="G152" s="2418"/>
      <c r="H152" s="2418"/>
      <c r="I152" s="2418"/>
      <c r="J152" s="2418"/>
      <c r="K152" s="2418"/>
      <c r="L152" s="2418"/>
      <c r="M152" s="2418"/>
      <c r="N152" s="2418"/>
      <c r="O152" s="2418"/>
      <c r="P152" s="2418"/>
      <c r="Q152" s="2418"/>
    </row>
    <row r="153" spans="2:17" s="1999" customFormat="1">
      <c r="B153" s="2418"/>
      <c r="C153" s="2418"/>
      <c r="D153" s="2418"/>
      <c r="E153" s="2418"/>
      <c r="F153" s="2418"/>
      <c r="G153" s="2418"/>
      <c r="H153" s="2418"/>
      <c r="I153" s="2418"/>
      <c r="J153" s="2418"/>
      <c r="K153" s="2418"/>
      <c r="L153" s="2418"/>
      <c r="M153" s="2418"/>
      <c r="N153" s="2418"/>
      <c r="O153" s="2418"/>
      <c r="P153" s="2418"/>
      <c r="Q153" s="2418"/>
    </row>
    <row r="154" spans="2:17" s="1999" customFormat="1">
      <c r="B154" s="2418"/>
      <c r="C154" s="2418"/>
      <c r="D154" s="2418"/>
      <c r="E154" s="2418"/>
      <c r="F154" s="2418"/>
      <c r="G154" s="2418"/>
      <c r="H154" s="2418"/>
      <c r="I154" s="2418"/>
      <c r="J154" s="2418"/>
      <c r="K154" s="2418"/>
      <c r="L154" s="2418"/>
      <c r="M154" s="2418"/>
      <c r="N154" s="2418"/>
      <c r="O154" s="2418"/>
      <c r="P154" s="2418"/>
      <c r="Q154" s="2418"/>
    </row>
    <row r="155" spans="2:17" s="1999" customFormat="1">
      <c r="B155" s="2418"/>
      <c r="C155" s="2418"/>
      <c r="D155" s="2418"/>
      <c r="E155" s="2418"/>
      <c r="F155" s="2418"/>
      <c r="G155" s="2418"/>
      <c r="H155" s="2418"/>
      <c r="I155" s="2418"/>
      <c r="J155" s="2418"/>
      <c r="K155" s="2418"/>
      <c r="L155" s="2418"/>
      <c r="M155" s="2418"/>
      <c r="N155" s="2418"/>
      <c r="O155" s="2418"/>
      <c r="P155" s="2418"/>
      <c r="Q155" s="2418"/>
    </row>
    <row r="156" spans="2:17" s="1999" customFormat="1">
      <c r="B156" s="2418"/>
      <c r="C156" s="2418"/>
      <c r="D156" s="2418"/>
      <c r="E156" s="2418"/>
      <c r="F156" s="2418"/>
      <c r="G156" s="2418"/>
      <c r="H156" s="2418"/>
      <c r="I156" s="2418"/>
      <c r="J156" s="2418"/>
      <c r="K156" s="2418"/>
      <c r="L156" s="2418"/>
      <c r="M156" s="2418"/>
      <c r="N156" s="2418"/>
      <c r="O156" s="2418"/>
      <c r="P156" s="2418"/>
      <c r="Q156" s="2418"/>
    </row>
    <row r="157" spans="2:17" s="1999" customFormat="1">
      <c r="B157" s="2418"/>
      <c r="C157" s="2418"/>
      <c r="D157" s="2418"/>
      <c r="E157" s="2418"/>
      <c r="F157" s="2418"/>
      <c r="G157" s="2418"/>
      <c r="H157" s="2418"/>
      <c r="I157" s="2418"/>
      <c r="J157" s="2418"/>
      <c r="K157" s="2418"/>
      <c r="L157" s="2418"/>
      <c r="M157" s="2418"/>
      <c r="N157" s="2418"/>
      <c r="O157" s="2418"/>
      <c r="P157" s="2418"/>
      <c r="Q157" s="2418"/>
    </row>
    <row r="158" spans="2:17" s="1999" customFormat="1">
      <c r="B158" s="2418"/>
      <c r="C158" s="2418"/>
      <c r="D158" s="2418"/>
      <c r="E158" s="2418"/>
      <c r="F158" s="2418"/>
      <c r="G158" s="2418"/>
      <c r="H158" s="2418"/>
      <c r="I158" s="2418"/>
      <c r="J158" s="2418"/>
      <c r="K158" s="2418"/>
      <c r="L158" s="2418"/>
      <c r="M158" s="2418"/>
      <c r="N158" s="2418"/>
      <c r="O158" s="2418"/>
      <c r="P158" s="2418"/>
      <c r="Q158" s="2418"/>
    </row>
    <row r="159" spans="2:17" s="1999" customFormat="1">
      <c r="B159" s="2418"/>
      <c r="C159" s="2418"/>
      <c r="D159" s="2418"/>
      <c r="E159" s="2418"/>
      <c r="F159" s="2418"/>
      <c r="G159" s="2418"/>
      <c r="H159" s="2418"/>
      <c r="I159" s="2418"/>
      <c r="J159" s="2418"/>
      <c r="K159" s="2418"/>
      <c r="L159" s="2418"/>
      <c r="M159" s="2418"/>
      <c r="N159" s="2418"/>
      <c r="O159" s="2418"/>
      <c r="P159" s="2418"/>
      <c r="Q159" s="2418"/>
    </row>
    <row r="160" spans="2:17" s="1999" customFormat="1">
      <c r="B160" s="2418"/>
      <c r="C160" s="2418"/>
      <c r="D160" s="2418"/>
      <c r="E160" s="2418"/>
      <c r="F160" s="2418"/>
      <c r="G160" s="2418"/>
      <c r="H160" s="2418"/>
      <c r="I160" s="2418"/>
      <c r="J160" s="2418"/>
      <c r="K160" s="2418"/>
      <c r="L160" s="2418"/>
      <c r="M160" s="2418"/>
      <c r="N160" s="2418"/>
      <c r="O160" s="2418"/>
      <c r="P160" s="2418"/>
      <c r="Q160" s="2418"/>
    </row>
    <row r="161" spans="2:17" s="1999" customFormat="1">
      <c r="B161" s="2418"/>
      <c r="C161" s="2418"/>
      <c r="D161" s="2418"/>
      <c r="E161" s="2418"/>
      <c r="F161" s="2418"/>
      <c r="G161" s="2418"/>
      <c r="H161" s="2418"/>
      <c r="I161" s="2418"/>
      <c r="J161" s="2418"/>
      <c r="K161" s="2418"/>
      <c r="L161" s="2418"/>
      <c r="M161" s="2418"/>
      <c r="N161" s="2418"/>
      <c r="O161" s="2418"/>
      <c r="P161" s="2418"/>
      <c r="Q161" s="2418"/>
    </row>
    <row r="162" spans="2:17" s="1999" customFormat="1">
      <c r="B162" s="2418"/>
      <c r="C162" s="2418"/>
      <c r="D162" s="2418"/>
      <c r="E162" s="2418"/>
      <c r="F162" s="2418"/>
      <c r="G162" s="2418"/>
      <c r="H162" s="2418"/>
      <c r="I162" s="2418"/>
      <c r="J162" s="2418"/>
      <c r="K162" s="2418"/>
      <c r="L162" s="2418"/>
      <c r="M162" s="2418"/>
      <c r="N162" s="2418"/>
      <c r="O162" s="2418"/>
      <c r="P162" s="2418"/>
      <c r="Q162" s="2418"/>
    </row>
    <row r="163" spans="2:17" s="1999" customFormat="1">
      <c r="B163" s="2418"/>
      <c r="C163" s="2418"/>
      <c r="D163" s="2418"/>
      <c r="E163" s="2418"/>
      <c r="F163" s="2418"/>
      <c r="G163" s="2418"/>
      <c r="H163" s="2418"/>
      <c r="I163" s="2418"/>
      <c r="J163" s="2418"/>
      <c r="K163" s="2418"/>
      <c r="L163" s="2418"/>
      <c r="M163" s="2418"/>
      <c r="N163" s="2418"/>
      <c r="O163" s="2418"/>
      <c r="P163" s="2418"/>
      <c r="Q163" s="2418"/>
    </row>
    <row r="164" spans="2:17" s="1999" customFormat="1">
      <c r="B164" s="2418"/>
      <c r="C164" s="2418"/>
      <c r="D164" s="2418"/>
      <c r="E164" s="2418"/>
      <c r="F164" s="2418"/>
      <c r="G164" s="2418"/>
      <c r="H164" s="2418"/>
      <c r="I164" s="2418"/>
      <c r="J164" s="2418"/>
      <c r="K164" s="2418"/>
      <c r="L164" s="2418"/>
      <c r="M164" s="2418"/>
      <c r="N164" s="2418"/>
      <c r="O164" s="2418"/>
      <c r="P164" s="2418"/>
      <c r="Q164" s="2418"/>
    </row>
    <row r="165" spans="2:17" s="1999" customFormat="1">
      <c r="B165" s="2418"/>
      <c r="C165" s="2418"/>
      <c r="D165" s="2418"/>
      <c r="E165" s="2418"/>
      <c r="F165" s="2418"/>
      <c r="G165" s="2418"/>
      <c r="H165" s="2418"/>
      <c r="I165" s="2418"/>
      <c r="J165" s="2418"/>
      <c r="K165" s="2418"/>
      <c r="L165" s="2418"/>
      <c r="M165" s="2418"/>
      <c r="N165" s="2418"/>
      <c r="O165" s="2418"/>
      <c r="P165" s="2418"/>
      <c r="Q165" s="2418"/>
    </row>
    <row r="166" spans="2:17" s="1999" customFormat="1">
      <c r="B166" s="2418"/>
      <c r="C166" s="2418"/>
      <c r="D166" s="2418"/>
      <c r="E166" s="2418"/>
      <c r="F166" s="2418"/>
      <c r="G166" s="2418"/>
      <c r="H166" s="2418"/>
      <c r="I166" s="2418"/>
      <c r="J166" s="2418"/>
      <c r="K166" s="2418"/>
      <c r="L166" s="2418"/>
      <c r="M166" s="2418"/>
      <c r="N166" s="2418"/>
      <c r="O166" s="2418"/>
      <c r="P166" s="2418"/>
      <c r="Q166" s="2418"/>
    </row>
    <row r="167" spans="2:17" s="1999" customFormat="1">
      <c r="B167" s="2418"/>
      <c r="C167" s="2418"/>
      <c r="D167" s="2418"/>
      <c r="E167" s="2418"/>
      <c r="F167" s="2418"/>
      <c r="G167" s="2418"/>
      <c r="H167" s="2418"/>
      <c r="I167" s="2418"/>
      <c r="J167" s="2418"/>
      <c r="K167" s="2418"/>
      <c r="L167" s="2418"/>
      <c r="M167" s="2418"/>
      <c r="N167" s="2418"/>
      <c r="O167" s="2418"/>
      <c r="P167" s="2418"/>
      <c r="Q167" s="2418"/>
    </row>
    <row r="168" spans="2:17" s="1999" customFormat="1">
      <c r="B168" s="2418"/>
      <c r="C168" s="2418"/>
      <c r="D168" s="2418"/>
      <c r="E168" s="2418"/>
      <c r="F168" s="2418"/>
      <c r="G168" s="2418"/>
      <c r="H168" s="2418"/>
      <c r="I168" s="2418"/>
      <c r="J168" s="2418"/>
      <c r="K168" s="2418"/>
      <c r="L168" s="2418"/>
      <c r="M168" s="2418"/>
      <c r="N168" s="2418"/>
      <c r="O168" s="2418"/>
      <c r="P168" s="2418"/>
      <c r="Q168" s="2418"/>
    </row>
    <row r="169" spans="2:17" s="1999" customFormat="1">
      <c r="B169" s="2418"/>
      <c r="C169" s="2418"/>
      <c r="D169" s="2418"/>
      <c r="E169" s="2418"/>
      <c r="F169" s="2418"/>
      <c r="G169" s="2418"/>
      <c r="H169" s="2418"/>
      <c r="I169" s="2418"/>
      <c r="J169" s="2418"/>
      <c r="K169" s="2418"/>
      <c r="L169" s="2418"/>
      <c r="M169" s="2418"/>
      <c r="N169" s="2418"/>
      <c r="O169" s="2418"/>
      <c r="P169" s="2418"/>
      <c r="Q169" s="2418"/>
    </row>
    <row r="170" spans="2:17" s="1999" customFormat="1">
      <c r="B170" s="2418"/>
      <c r="C170" s="2418"/>
      <c r="D170" s="2418"/>
      <c r="E170" s="2418"/>
      <c r="F170" s="2418"/>
      <c r="G170" s="2418"/>
      <c r="H170" s="2418"/>
      <c r="I170" s="2418"/>
      <c r="J170" s="2418"/>
      <c r="K170" s="2418"/>
      <c r="L170" s="2418"/>
      <c r="M170" s="2418"/>
      <c r="N170" s="2418"/>
      <c r="O170" s="2418"/>
      <c r="P170" s="2418"/>
      <c r="Q170" s="2418"/>
    </row>
    <row r="171" spans="2:17" s="1999" customFormat="1">
      <c r="B171" s="2418"/>
      <c r="C171" s="2418"/>
      <c r="D171" s="2418"/>
      <c r="E171" s="2418"/>
      <c r="F171" s="2418"/>
      <c r="G171" s="2418"/>
      <c r="H171" s="2418"/>
      <c r="I171" s="2418"/>
      <c r="J171" s="2418"/>
      <c r="K171" s="2418"/>
      <c r="L171" s="2418"/>
      <c r="M171" s="2418"/>
      <c r="N171" s="2418"/>
      <c r="O171" s="2418"/>
      <c r="P171" s="2418"/>
      <c r="Q171" s="2418"/>
    </row>
    <row r="172" spans="2:17" s="1999" customFormat="1">
      <c r="B172" s="2418"/>
      <c r="C172" s="2418"/>
      <c r="D172" s="2418"/>
      <c r="E172" s="2418"/>
      <c r="F172" s="2418"/>
      <c r="G172" s="2418"/>
      <c r="H172" s="2418"/>
      <c r="I172" s="2418"/>
      <c r="J172" s="2418"/>
      <c r="K172" s="2418"/>
      <c r="L172" s="2418"/>
      <c r="M172" s="2418"/>
      <c r="N172" s="2418"/>
      <c r="O172" s="2418"/>
      <c r="P172" s="2418"/>
      <c r="Q172" s="2418"/>
    </row>
    <row r="173" spans="2:17" s="1999" customFormat="1">
      <c r="B173" s="2418"/>
      <c r="C173" s="2418"/>
      <c r="D173" s="2418"/>
      <c r="E173" s="2418"/>
      <c r="F173" s="2418"/>
      <c r="G173" s="2418"/>
      <c r="H173" s="2418"/>
      <c r="I173" s="2418"/>
      <c r="J173" s="2418"/>
      <c r="K173" s="2418"/>
      <c r="L173" s="2418"/>
      <c r="M173" s="2418"/>
      <c r="N173" s="2418"/>
      <c r="O173" s="2418"/>
      <c r="P173" s="2418"/>
      <c r="Q173" s="2418"/>
    </row>
    <row r="174" spans="2:17" s="1999" customFormat="1">
      <c r="B174" s="2418"/>
      <c r="C174" s="2418"/>
      <c r="D174" s="2418"/>
      <c r="E174" s="2418"/>
      <c r="F174" s="2418"/>
      <c r="G174" s="2418"/>
      <c r="H174" s="2418"/>
      <c r="I174" s="2418"/>
      <c r="J174" s="2418"/>
      <c r="K174" s="2418"/>
      <c r="L174" s="2418"/>
      <c r="M174" s="2418"/>
      <c r="N174" s="2418"/>
      <c r="O174" s="2418"/>
      <c r="P174" s="2418"/>
      <c r="Q174" s="2418"/>
    </row>
    <row r="175" spans="2:17" s="1999" customFormat="1">
      <c r="B175" s="2418"/>
      <c r="C175" s="2418"/>
      <c r="D175" s="2418"/>
      <c r="E175" s="2418"/>
      <c r="F175" s="2418"/>
      <c r="G175" s="2418"/>
      <c r="H175" s="2418"/>
      <c r="I175" s="2418"/>
      <c r="J175" s="2418"/>
      <c r="K175" s="2418"/>
      <c r="L175" s="2418"/>
      <c r="M175" s="2418"/>
      <c r="N175" s="2418"/>
      <c r="O175" s="2418"/>
      <c r="P175" s="2418"/>
      <c r="Q175" s="2418"/>
    </row>
    <row r="176" spans="2:17" s="1999" customFormat="1">
      <c r="B176" s="2418"/>
      <c r="C176" s="2418"/>
      <c r="D176" s="2418"/>
      <c r="E176" s="2418"/>
      <c r="F176" s="2418"/>
      <c r="G176" s="2418"/>
      <c r="H176" s="2418"/>
      <c r="I176" s="2418"/>
      <c r="J176" s="2418"/>
      <c r="K176" s="2418"/>
      <c r="L176" s="2418"/>
      <c r="M176" s="2418"/>
      <c r="N176" s="2418"/>
      <c r="O176" s="2418"/>
      <c r="P176" s="2418"/>
      <c r="Q176" s="2418"/>
    </row>
    <row r="177" spans="1:17" s="1999" customFormat="1">
      <c r="B177" s="2418"/>
      <c r="C177" s="2418"/>
      <c r="D177" s="2418"/>
      <c r="E177" s="2418"/>
      <c r="F177" s="2418"/>
      <c r="G177" s="2418"/>
      <c r="H177" s="2418"/>
      <c r="I177" s="2418"/>
      <c r="J177" s="2418"/>
      <c r="K177" s="2418"/>
      <c r="L177" s="2418"/>
      <c r="M177" s="2418"/>
      <c r="N177" s="2418"/>
      <c r="O177" s="2418"/>
      <c r="P177" s="2418"/>
      <c r="Q177" s="2418"/>
    </row>
    <row r="178" spans="1:17" s="1999" customFormat="1">
      <c r="B178" s="2418"/>
      <c r="C178" s="2418"/>
      <c r="D178" s="2418"/>
      <c r="E178" s="2418"/>
      <c r="F178" s="2418"/>
      <c r="G178" s="2418"/>
      <c r="H178" s="2418"/>
      <c r="I178" s="2418"/>
      <c r="J178" s="2418"/>
      <c r="K178" s="2418"/>
      <c r="L178" s="2418"/>
      <c r="M178" s="2418"/>
      <c r="N178" s="2418"/>
      <c r="O178" s="2418"/>
      <c r="P178" s="2418"/>
      <c r="Q178" s="2418"/>
    </row>
    <row r="179" spans="1:17" s="1999" customFormat="1">
      <c r="B179" s="2418"/>
      <c r="C179" s="2418"/>
      <c r="D179" s="2418"/>
      <c r="E179" s="2418"/>
      <c r="F179" s="2418"/>
      <c r="G179" s="2418"/>
      <c r="H179" s="2418"/>
      <c r="I179" s="2418"/>
      <c r="J179" s="2418"/>
      <c r="K179" s="2418"/>
      <c r="L179" s="2418"/>
      <c r="M179" s="2418"/>
      <c r="N179" s="2418"/>
      <c r="O179" s="2418"/>
      <c r="P179" s="2418"/>
      <c r="Q179" s="2418"/>
    </row>
    <row r="180" spans="1:17" s="1999" customFormat="1">
      <c r="B180" s="2418"/>
      <c r="C180" s="2418"/>
      <c r="D180" s="2418"/>
      <c r="E180" s="2418"/>
      <c r="F180" s="2418"/>
      <c r="G180" s="2418"/>
      <c r="H180" s="2418"/>
      <c r="I180" s="2418"/>
      <c r="J180" s="2418"/>
      <c r="K180" s="2418"/>
      <c r="L180" s="2418"/>
      <c r="M180" s="2418"/>
      <c r="N180" s="2418"/>
      <c r="O180" s="2418"/>
      <c r="P180" s="2418"/>
      <c r="Q180" s="2418"/>
    </row>
    <row r="181" spans="1:17" s="1999" customFormat="1">
      <c r="B181" s="2418"/>
      <c r="C181" s="2418"/>
      <c r="D181" s="2418"/>
      <c r="E181" s="2418"/>
      <c r="F181" s="2418"/>
      <c r="G181" s="2418"/>
      <c r="H181" s="2418"/>
      <c r="I181" s="2418"/>
      <c r="J181" s="2418"/>
      <c r="K181" s="2418"/>
      <c r="L181" s="2418"/>
      <c r="M181" s="2418"/>
      <c r="N181" s="2418"/>
      <c r="O181" s="2418"/>
      <c r="P181" s="2418"/>
      <c r="Q181" s="2418"/>
    </row>
    <row r="182" spans="1:17" s="1999" customFormat="1">
      <c r="B182" s="2418"/>
      <c r="C182" s="2418"/>
      <c r="D182" s="2418"/>
      <c r="E182" s="2418"/>
      <c r="F182" s="2418"/>
      <c r="G182" s="2418"/>
      <c r="H182" s="2418"/>
      <c r="I182" s="2418"/>
      <c r="J182" s="2418"/>
      <c r="K182" s="2418"/>
      <c r="L182" s="2418"/>
      <c r="M182" s="2418"/>
      <c r="N182" s="2418"/>
      <c r="O182" s="2418"/>
      <c r="P182" s="2418"/>
      <c r="Q182" s="2418"/>
    </row>
    <row r="183" spans="1:17" s="1999" customFormat="1">
      <c r="B183" s="2418"/>
      <c r="C183" s="2418"/>
      <c r="D183" s="2418"/>
      <c r="E183" s="2418"/>
      <c r="F183" s="2418"/>
      <c r="G183" s="2418"/>
      <c r="H183" s="2418"/>
      <c r="I183" s="2418"/>
      <c r="J183" s="2418"/>
      <c r="K183" s="2418"/>
      <c r="L183" s="2418"/>
      <c r="M183" s="2418"/>
      <c r="N183" s="2418"/>
      <c r="O183" s="2418"/>
      <c r="P183" s="2418"/>
      <c r="Q183" s="2418"/>
    </row>
    <row r="184" spans="1:17" s="1999" customFormat="1">
      <c r="B184" s="2418"/>
      <c r="C184" s="2418"/>
      <c r="D184" s="2418"/>
      <c r="E184" s="2418"/>
      <c r="F184" s="2418"/>
      <c r="G184" s="2418"/>
      <c r="H184" s="2418"/>
      <c r="I184" s="2418"/>
      <c r="J184" s="2418"/>
      <c r="K184" s="2418"/>
      <c r="L184" s="2418"/>
      <c r="M184" s="2418"/>
      <c r="N184" s="2418"/>
      <c r="O184" s="2418"/>
      <c r="P184" s="2418"/>
      <c r="Q184" s="2418"/>
    </row>
    <row r="185" spans="1:17" s="1999" customFormat="1">
      <c r="B185" s="2418"/>
      <c r="C185" s="2418"/>
      <c r="D185" s="2418"/>
      <c r="E185" s="2418"/>
      <c r="F185" s="2418"/>
      <c r="G185" s="2418"/>
      <c r="H185" s="2418"/>
      <c r="I185" s="2418"/>
      <c r="J185" s="2418"/>
      <c r="K185" s="2418"/>
      <c r="L185" s="2418"/>
      <c r="M185" s="2418"/>
      <c r="N185" s="2418"/>
      <c r="O185" s="2418"/>
      <c r="P185" s="2418"/>
      <c r="Q185" s="2418"/>
    </row>
    <row r="186" spans="1:17">
      <c r="A186" s="1999"/>
      <c r="B186" s="2418"/>
      <c r="C186" s="2418"/>
      <c r="E186" s="2418"/>
      <c r="F186" s="2418"/>
      <c r="G186" s="2418"/>
    </row>
    <row r="187" spans="1:17">
      <c r="A187" s="1999"/>
      <c r="B187" s="2418"/>
      <c r="C187" s="2418"/>
      <c r="E187" s="2418"/>
      <c r="F187" s="2418"/>
      <c r="G187" s="2418"/>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D14" sqref="D14"/>
    </sheetView>
  </sheetViews>
  <sheetFormatPr defaultColWidth="9" defaultRowHeight="13.5"/>
  <cols>
    <col min="1" max="1" width="25" style="2405" customWidth="1"/>
    <col min="2" max="9" width="15.75" style="2405" customWidth="1"/>
    <col min="10" max="16384" width="9" style="2405"/>
  </cols>
  <sheetData>
    <row r="1" spans="1:11" ht="16.5">
      <c r="A1" s="2406" t="s">
        <v>687</v>
      </c>
      <c r="B1" s="2406">
        <f>SUM(B14:B23)</f>
        <v>72308.930000000008</v>
      </c>
      <c r="C1" s="2407"/>
      <c r="D1" s="2407"/>
      <c r="E1" s="2407"/>
      <c r="F1" s="2407"/>
      <c r="G1" s="2408"/>
      <c r="H1" s="2408"/>
      <c r="I1" s="2408"/>
      <c r="J1" s="2408"/>
      <c r="K1" s="2408"/>
    </row>
    <row r="2" spans="1:11" ht="16.5">
      <c r="A2" s="2406" t="s">
        <v>688</v>
      </c>
      <c r="B2" s="2406">
        <f>SUM(C14:C23)</f>
        <v>0</v>
      </c>
      <c r="C2" s="2407"/>
      <c r="D2" s="2407"/>
      <c r="E2" s="2407"/>
      <c r="F2" s="2407"/>
      <c r="G2" s="2408"/>
      <c r="H2" s="2408"/>
      <c r="I2" s="2408"/>
      <c r="J2" s="2408"/>
      <c r="K2" s="2408"/>
    </row>
    <row r="3" spans="1:11" ht="16.5">
      <c r="A3" s="2406" t="s">
        <v>689</v>
      </c>
      <c r="B3" s="2409">
        <f>项目基本情况!D3</f>
        <v>45475</v>
      </c>
      <c r="C3" s="2407"/>
      <c r="D3" s="2407"/>
      <c r="E3" s="2407"/>
      <c r="F3" s="2407"/>
      <c r="G3" s="2408"/>
      <c r="H3" s="2408"/>
      <c r="I3" s="2408"/>
      <c r="J3" s="2408"/>
      <c r="K3" s="2408"/>
    </row>
    <row r="4" spans="1:11" ht="33">
      <c r="A4" s="2406" t="s">
        <v>690</v>
      </c>
      <c r="B4" s="2406" t="s">
        <v>691</v>
      </c>
      <c r="C4" s="2406" t="s">
        <v>692</v>
      </c>
      <c r="D4" s="2406" t="s">
        <v>693</v>
      </c>
      <c r="E4" s="2407"/>
      <c r="F4" s="2408"/>
      <c r="G4" s="2408"/>
      <c r="H4" s="2408"/>
      <c r="I4" s="2408"/>
      <c r="J4" s="2408"/>
      <c r="K4" s="2408"/>
    </row>
    <row r="5" spans="1:11" ht="16.5">
      <c r="A5" s="2406" t="s">
        <v>694</v>
      </c>
      <c r="B5" s="2406">
        <f ca="1">SUM(D14:D23)</f>
        <v>159143</v>
      </c>
      <c r="C5" s="2406">
        <f ca="1">ROUND(B5*10000/$B$1,0)</f>
        <v>22009</v>
      </c>
      <c r="D5" s="2406" t="e">
        <f ca="1">ROUND(B5*10000/$B$2,0)</f>
        <v>#DIV/0!</v>
      </c>
      <c r="E5" s="2407"/>
      <c r="F5" s="2408"/>
      <c r="G5" s="2408"/>
      <c r="H5" s="2408"/>
      <c r="I5" s="2408"/>
      <c r="J5" s="2408"/>
      <c r="K5" s="2408"/>
    </row>
    <row r="6" spans="1:11" ht="16.5">
      <c r="A6" s="2406" t="s">
        <v>695</v>
      </c>
      <c r="B6" s="2406">
        <f ca="1">SUM(G14:G23)</f>
        <v>159143</v>
      </c>
      <c r="C6" s="2406">
        <f ca="1">ROUND(B6*10000/$B$1,0)</f>
        <v>22009</v>
      </c>
      <c r="D6" s="2406" t="e">
        <f ca="1">ROUND(B6*10000/$B$2,0)</f>
        <v>#DIV/0!</v>
      </c>
      <c r="E6" s="2407"/>
      <c r="F6" s="2408"/>
      <c r="G6" s="2408"/>
      <c r="H6" s="2408"/>
      <c r="I6" s="2408"/>
      <c r="J6" s="2408"/>
      <c r="K6" s="2408"/>
    </row>
    <row r="7" spans="1:11" ht="16.5">
      <c r="A7" s="2406" t="s">
        <v>696</v>
      </c>
      <c r="B7" s="2406">
        <f>SUM(H14:H23)</f>
        <v>0</v>
      </c>
      <c r="C7" s="2406">
        <f>ROUND(B7*10000/$B$1,0)</f>
        <v>0</v>
      </c>
      <c r="D7" s="2406" t="e">
        <f>ROUND(B7*10000/$B$2,0)</f>
        <v>#DIV/0!</v>
      </c>
      <c r="E7" s="2407"/>
      <c r="F7" s="2408"/>
      <c r="G7" s="2408"/>
      <c r="H7" s="2408"/>
      <c r="I7" s="2408"/>
      <c r="J7" s="2408"/>
      <c r="K7" s="2408"/>
    </row>
    <row r="8" spans="1:11" ht="16.5">
      <c r="A8" s="2406" t="s">
        <v>328</v>
      </c>
      <c r="B8" s="2406">
        <f ca="1">SUM(I14:I23)</f>
        <v>150727</v>
      </c>
      <c r="C8" s="2406">
        <f ca="1">ROUND(B8*10000/$B$1,0)</f>
        <v>20845</v>
      </c>
      <c r="D8" s="2406" t="e">
        <f ca="1">ROUND(B8*10000/$B$2,0)</f>
        <v>#DIV/0!</v>
      </c>
      <c r="E8" s="2407"/>
      <c r="F8" s="2408"/>
      <c r="G8" s="2408"/>
      <c r="H8" s="2408"/>
      <c r="I8" s="2408"/>
      <c r="J8" s="2408"/>
      <c r="K8" s="2408"/>
    </row>
    <row r="9" spans="1:11" ht="16.5">
      <c r="A9" s="2406" t="s">
        <v>697</v>
      </c>
      <c r="B9" s="2410"/>
      <c r="C9" s="2407"/>
      <c r="D9" s="2407"/>
      <c r="E9" s="2407"/>
      <c r="F9" s="2408"/>
      <c r="G9" s="2408"/>
      <c r="H9" s="2408"/>
      <c r="I9" s="2408"/>
      <c r="J9" s="2408"/>
      <c r="K9" s="2408"/>
    </row>
    <row r="10" spans="1:11" ht="16.5">
      <c r="A10" s="2406" t="s">
        <v>698</v>
      </c>
      <c r="B10" s="2410"/>
      <c r="C10" s="2407"/>
      <c r="D10" s="2407"/>
      <c r="E10" s="2407"/>
      <c r="F10" s="2408"/>
      <c r="G10" s="2408"/>
      <c r="H10" s="2408"/>
      <c r="I10" s="2408"/>
      <c r="J10" s="2408"/>
      <c r="K10" s="2408"/>
    </row>
    <row r="11" spans="1:11" ht="16.5">
      <c r="A11" s="2406" t="s">
        <v>699</v>
      </c>
      <c r="B11" s="2410"/>
      <c r="C11" s="2407"/>
      <c r="D11" s="2407"/>
      <c r="E11" s="2407"/>
      <c r="F11" s="2408"/>
      <c r="G11" s="2408"/>
      <c r="H11" s="2408"/>
      <c r="I11" s="2408"/>
      <c r="J11" s="2408"/>
      <c r="K11" s="2408"/>
    </row>
    <row r="12" spans="1:11" ht="16.5">
      <c r="A12" s="2407"/>
      <c r="B12" s="2407"/>
      <c r="C12" s="2407"/>
      <c r="D12" s="2407"/>
      <c r="E12" s="2407"/>
      <c r="F12" s="2408"/>
      <c r="G12" s="2408"/>
      <c r="H12" s="2408"/>
      <c r="I12" s="2408"/>
      <c r="J12" s="2408"/>
      <c r="K12" s="2408"/>
    </row>
    <row r="13" spans="1:11" ht="33">
      <c r="A13" s="2411" t="s">
        <v>700</v>
      </c>
      <c r="B13" s="2412" t="s">
        <v>687</v>
      </c>
      <c r="C13" s="2412" t="s">
        <v>688</v>
      </c>
      <c r="D13" s="2412" t="s">
        <v>701</v>
      </c>
      <c r="E13" s="2406" t="s">
        <v>692</v>
      </c>
      <c r="F13" s="2406" t="s">
        <v>693</v>
      </c>
      <c r="G13" s="2412" t="s">
        <v>702</v>
      </c>
      <c r="H13" s="2412" t="s">
        <v>703</v>
      </c>
      <c r="I13" s="2412" t="s">
        <v>704</v>
      </c>
      <c r="J13" s="2408"/>
      <c r="K13" s="2408"/>
    </row>
    <row r="14" spans="1:11" ht="16.5">
      <c r="A14" s="2413" t="s">
        <v>705</v>
      </c>
      <c r="B14" s="2414">
        <f>'数据-汇总表'!E3</f>
        <v>72308.930000000008</v>
      </c>
      <c r="C14" s="2414">
        <f>'数据-汇总表'!R19+'数据-汇总表'!R23</f>
        <v>0</v>
      </c>
      <c r="D14" s="2414">
        <f ca="1">结果表!G19</f>
        <v>159143</v>
      </c>
      <c r="E14" s="2414">
        <f ca="1">ROUND(D14*10000/B14,0)</f>
        <v>22009</v>
      </c>
      <c r="F14" s="2414" t="e">
        <f ca="1">ROUND(D14*10000/C14,0)</f>
        <v>#DIV/0!</v>
      </c>
      <c r="G14" s="2414">
        <f ca="1">D14</f>
        <v>159143</v>
      </c>
      <c r="H14" s="2414" t="str">
        <f>结果表!D124</f>
        <v>——</v>
      </c>
      <c r="I14" s="2414">
        <f ca="1">结果表!N59</f>
        <v>150727</v>
      </c>
      <c r="J14" s="3074"/>
      <c r="K14" s="2408"/>
    </row>
    <row r="15" spans="1:11" ht="16.5">
      <c r="A15" s="2413" t="s">
        <v>706</v>
      </c>
      <c r="B15" s="2414"/>
      <c r="C15" s="2414"/>
      <c r="D15" s="2414"/>
      <c r="E15" s="2414" t="e">
        <f t="shared" ref="E15:E23" si="0">ROUND(D15*10000/B15,0)</f>
        <v>#DIV/0!</v>
      </c>
      <c r="F15" s="2414" t="e">
        <f t="shared" ref="F15:F23" si="1">ROUND(D15*10000/C15,0)</f>
        <v>#DIV/0!</v>
      </c>
      <c r="G15" s="2410"/>
      <c r="H15" s="2410"/>
      <c r="I15" s="2415"/>
      <c r="J15" s="3074"/>
      <c r="K15" s="2408"/>
    </row>
    <row r="16" spans="1:11" ht="16.5">
      <c r="A16" s="2413" t="s">
        <v>707</v>
      </c>
      <c r="B16" s="2414"/>
      <c r="C16" s="2414"/>
      <c r="D16" s="2414"/>
      <c r="E16" s="2414" t="e">
        <f t="shared" si="0"/>
        <v>#DIV/0!</v>
      </c>
      <c r="F16" s="2414" t="e">
        <f t="shared" si="1"/>
        <v>#DIV/0!</v>
      </c>
      <c r="G16" s="2410"/>
      <c r="H16" s="2410"/>
      <c r="I16" s="2415"/>
      <c r="J16" s="3074"/>
      <c r="K16" s="2408"/>
    </row>
    <row r="17" spans="1:11" ht="16.5">
      <c r="A17" s="2413" t="s">
        <v>708</v>
      </c>
      <c r="B17" s="2414"/>
      <c r="C17" s="2414"/>
      <c r="D17" s="2414"/>
      <c r="E17" s="2414" t="e">
        <f t="shared" si="0"/>
        <v>#DIV/0!</v>
      </c>
      <c r="F17" s="2414" t="e">
        <f t="shared" si="1"/>
        <v>#DIV/0!</v>
      </c>
      <c r="G17" s="2410"/>
      <c r="H17" s="2410"/>
      <c r="I17" s="2415"/>
      <c r="J17" s="3074"/>
      <c r="K17" s="2408"/>
    </row>
    <row r="18" spans="1:11" ht="16.5">
      <c r="A18" s="2413" t="s">
        <v>709</v>
      </c>
      <c r="B18" s="2414"/>
      <c r="C18" s="2414"/>
      <c r="D18" s="2414"/>
      <c r="E18" s="2414" t="e">
        <f t="shared" si="0"/>
        <v>#DIV/0!</v>
      </c>
      <c r="F18" s="2414" t="e">
        <f t="shared" si="1"/>
        <v>#DIV/0!</v>
      </c>
      <c r="G18" s="2410"/>
      <c r="H18" s="2410"/>
      <c r="I18" s="2410"/>
      <c r="J18" s="2408"/>
      <c r="K18" s="2408"/>
    </row>
    <row r="19" spans="1:11" ht="16.5">
      <c r="A19" s="2413" t="s">
        <v>710</v>
      </c>
      <c r="B19" s="2415"/>
      <c r="C19" s="2415"/>
      <c r="D19" s="2415"/>
      <c r="E19" s="2414" t="e">
        <f t="shared" si="0"/>
        <v>#DIV/0!</v>
      </c>
      <c r="F19" s="2414" t="e">
        <f t="shared" si="1"/>
        <v>#DIV/0!</v>
      </c>
      <c r="G19" s="2415"/>
      <c r="H19" s="2415"/>
      <c r="I19" s="2415"/>
      <c r="J19" s="2408"/>
      <c r="K19" s="2408"/>
    </row>
    <row r="20" spans="1:11" ht="16.5">
      <c r="A20" s="2413" t="s">
        <v>711</v>
      </c>
      <c r="B20" s="2415"/>
      <c r="C20" s="2415"/>
      <c r="D20" s="2415"/>
      <c r="E20" s="2414" t="e">
        <f t="shared" si="0"/>
        <v>#DIV/0!</v>
      </c>
      <c r="F20" s="2414" t="e">
        <f t="shared" si="1"/>
        <v>#DIV/0!</v>
      </c>
      <c r="G20" s="2415"/>
      <c r="H20" s="2415"/>
      <c r="I20" s="2415"/>
      <c r="J20" s="2408"/>
      <c r="K20" s="2408"/>
    </row>
    <row r="21" spans="1:11" ht="16.5">
      <c r="A21" s="2413" t="s">
        <v>712</v>
      </c>
      <c r="B21" s="2415"/>
      <c r="C21" s="2415"/>
      <c r="D21" s="2415"/>
      <c r="E21" s="2414" t="e">
        <f t="shared" si="0"/>
        <v>#DIV/0!</v>
      </c>
      <c r="F21" s="2414" t="e">
        <f t="shared" si="1"/>
        <v>#DIV/0!</v>
      </c>
      <c r="G21" s="2415"/>
      <c r="H21" s="2415"/>
      <c r="I21" s="2415"/>
      <c r="J21" s="2408"/>
      <c r="K21" s="2408"/>
    </row>
    <row r="22" spans="1:11" ht="16.5">
      <c r="A22" s="2413" t="s">
        <v>713</v>
      </c>
      <c r="B22" s="2415"/>
      <c r="C22" s="2415"/>
      <c r="D22" s="2415"/>
      <c r="E22" s="2414" t="e">
        <f t="shared" si="0"/>
        <v>#DIV/0!</v>
      </c>
      <c r="F22" s="2414" t="e">
        <f t="shared" si="1"/>
        <v>#DIV/0!</v>
      </c>
      <c r="G22" s="2415"/>
      <c r="H22" s="2415"/>
      <c r="I22" s="2415"/>
      <c r="J22" s="2408"/>
      <c r="K22" s="2408"/>
    </row>
    <row r="23" spans="1:11" ht="16.5">
      <c r="A23" s="2413" t="s">
        <v>714</v>
      </c>
      <c r="B23" s="2415"/>
      <c r="C23" s="2415"/>
      <c r="D23" s="2415"/>
      <c r="E23" s="2410" t="e">
        <f t="shared" si="0"/>
        <v>#DIV/0!</v>
      </c>
      <c r="F23" s="2410" t="e">
        <f t="shared" si="1"/>
        <v>#DIV/0!</v>
      </c>
      <c r="G23" s="2415"/>
      <c r="H23" s="2415"/>
      <c r="I23" s="2415"/>
      <c r="J23" s="2408"/>
      <c r="K23" s="2408"/>
    </row>
    <row r="24" spans="1:11">
      <c r="A24" s="2408"/>
      <c r="B24" s="2408"/>
      <c r="C24" s="2408"/>
      <c r="D24" s="2408"/>
      <c r="E24" s="2408"/>
      <c r="F24" s="2408"/>
      <c r="G24" s="2408"/>
      <c r="H24" s="2408"/>
      <c r="I24" s="2408"/>
      <c r="J24" s="2408"/>
      <c r="K24" s="2408"/>
    </row>
    <row r="25" spans="1:11">
      <c r="A25" s="2408"/>
      <c r="B25" s="2408"/>
      <c r="C25" s="2408"/>
      <c r="D25" s="2408"/>
      <c r="E25" s="2408"/>
      <c r="F25" s="2408"/>
      <c r="G25" s="2408"/>
      <c r="H25" s="2408"/>
      <c r="I25" s="2408"/>
      <c r="J25" s="2408"/>
      <c r="K25" s="2408"/>
    </row>
    <row r="26" spans="1:11">
      <c r="A26" s="2408"/>
      <c r="B26" s="2408"/>
      <c r="C26" s="2408"/>
      <c r="D26" s="2408"/>
      <c r="E26" s="2408"/>
      <c r="F26" s="2408"/>
      <c r="G26" s="2408"/>
      <c r="H26" s="2408"/>
      <c r="I26" s="2408"/>
      <c r="J26" s="2408"/>
      <c r="K26" s="2408"/>
    </row>
    <row r="31" spans="1:11">
      <c r="C31" s="3075"/>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6" t="str">
        <f>项目基本情况!B1</f>
        <v>北京市顺义区北小营镇顺义新城第30街区30-01-02地块R2二类居住用地出让国有建设用地使用权及在建建筑物房地产抵押价值预评估</v>
      </c>
      <c r="C37" s="3116"/>
      <c r="D37" s="3116"/>
      <c r="E37" s="3116"/>
      <c r="F37" s="3116"/>
      <c r="G37" s="3116"/>
      <c r="H37" s="3116"/>
      <c r="I37" s="3116"/>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5" sqref="F25"/>
    </sheetView>
  </sheetViews>
  <sheetFormatPr defaultColWidth="12.625" defaultRowHeight="21.75" customHeight="1"/>
  <cols>
    <col min="1" max="2" width="12.625" style="2131"/>
    <col min="3" max="4" width="12.625" style="2131" customWidth="1"/>
    <col min="5" max="8" width="12.625" style="2131"/>
    <col min="9" max="9" width="14.5" style="2131" bestFit="1" customWidth="1"/>
    <col min="10" max="11" width="12.625" style="232" customWidth="1"/>
    <col min="12" max="12" width="12.625" style="232"/>
    <col min="13" max="13" width="14.125" style="232" customWidth="1"/>
    <col min="14" max="26" width="12.625" style="232"/>
    <col min="27" max="35" width="12.625" style="2130"/>
    <col min="36" max="16384" width="12.625" style="2131"/>
  </cols>
  <sheetData>
    <row r="1" spans="1:12" ht="21.75" customHeight="1">
      <c r="A1" s="2132" t="s">
        <v>715</v>
      </c>
      <c r="B1" s="1778"/>
      <c r="C1" s="2133" t="s">
        <v>3028</v>
      </c>
      <c r="D1" s="1778"/>
      <c r="E1" s="1778"/>
      <c r="F1" s="2134" t="s">
        <v>716</v>
      </c>
      <c r="G1" s="2135" t="s">
        <v>395</v>
      </c>
      <c r="H1" s="2134" t="str">
        <f>IF(G1="现房","——","估价对象范围")</f>
        <v>估价对象范围</v>
      </c>
      <c r="I1" s="2264" t="s">
        <v>717</v>
      </c>
    </row>
    <row r="2" spans="1:12" ht="21.75" customHeight="1">
      <c r="A2" s="3215" t="str">
        <f>项目基本情况!S2</f>
        <v>北京市顺义区北小营镇顺义新城第30街区30-01-02地块R2二类居住用地出让国有建设用地使用权及在建建筑物房地产</v>
      </c>
      <c r="B2" s="3216"/>
      <c r="C2" s="3216"/>
      <c r="D2" s="3216"/>
      <c r="E2" s="3216"/>
      <c r="F2" s="3216"/>
      <c r="G2" s="3216"/>
      <c r="H2" s="3216"/>
      <c r="I2" s="3217"/>
    </row>
    <row r="3" spans="1:12" ht="12.75">
      <c r="A3" s="3218" t="s">
        <v>718</v>
      </c>
      <c r="B3" s="3219"/>
      <c r="C3" s="3219"/>
      <c r="D3" s="3219"/>
      <c r="E3" s="3219"/>
      <c r="F3" s="3219"/>
      <c r="G3" s="3219"/>
      <c r="H3" s="3219"/>
      <c r="I3" s="3219"/>
    </row>
    <row r="4" spans="1:12" ht="14.25">
      <c r="A4" s="2136" t="s">
        <v>719</v>
      </c>
      <c r="B4" s="2137" t="s">
        <v>720</v>
      </c>
      <c r="C4" s="2138" t="s">
        <v>721</v>
      </c>
      <c r="D4" s="2138" t="s">
        <v>3160</v>
      </c>
      <c r="E4" s="3220" t="s">
        <v>722</v>
      </c>
      <c r="F4" s="3221"/>
      <c r="G4" s="3221"/>
      <c r="H4" s="3221"/>
      <c r="I4" s="3222"/>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假设开发法</v>
      </c>
    </row>
    <row r="5" spans="1:12" ht="12.75">
      <c r="A5" s="3265" t="s">
        <v>723</v>
      </c>
      <c r="B5" s="3306">
        <v>25</v>
      </c>
      <c r="C5" s="3235"/>
      <c r="D5" s="3234"/>
      <c r="E5" s="1676" t="s">
        <v>724</v>
      </c>
      <c r="F5" s="2143"/>
      <c r="G5" s="2143"/>
      <c r="H5" s="2143"/>
      <c r="I5" s="1878"/>
    </row>
    <row r="6" spans="1:12" ht="12.75">
      <c r="A6" s="3265"/>
      <c r="B6" s="3306"/>
      <c r="C6" s="3236"/>
      <c r="D6" s="3234"/>
      <c r="E6" s="1676" t="s">
        <v>725</v>
      </c>
      <c r="F6" s="2143"/>
      <c r="G6" s="2143"/>
      <c r="H6" s="2143"/>
      <c r="I6" s="1878"/>
    </row>
    <row r="7" spans="1:12" ht="12.75">
      <c r="A7" s="3265"/>
      <c r="B7" s="3306"/>
      <c r="C7" s="3237"/>
      <c r="D7" s="3234"/>
      <c r="E7" s="1676" t="s">
        <v>726</v>
      </c>
      <c r="F7" s="2143"/>
      <c r="G7" s="2143"/>
      <c r="H7" s="2143"/>
      <c r="I7" s="1878"/>
    </row>
    <row r="8" spans="1:12" ht="12.75">
      <c r="A8" s="3265" t="s">
        <v>727</v>
      </c>
      <c r="B8" s="3306">
        <v>15</v>
      </c>
      <c r="C8" s="3235"/>
      <c r="D8" s="3234"/>
      <c r="E8" s="1676" t="s">
        <v>728</v>
      </c>
      <c r="F8" s="2143"/>
      <c r="G8" s="2143"/>
      <c r="H8" s="2143"/>
      <c r="I8" s="1878"/>
    </row>
    <row r="9" spans="1:12" ht="12.75">
      <c r="A9" s="3265"/>
      <c r="B9" s="3306"/>
      <c r="C9" s="3237"/>
      <c r="D9" s="3234"/>
      <c r="E9" s="1676" t="s">
        <v>729</v>
      </c>
      <c r="F9" s="2143"/>
      <c r="G9" s="2143"/>
      <c r="H9" s="2143"/>
      <c r="I9" s="1878"/>
    </row>
    <row r="10" spans="1:12" ht="12.75">
      <c r="A10" s="3265" t="s">
        <v>730</v>
      </c>
      <c r="B10" s="3306">
        <v>15</v>
      </c>
      <c r="C10" s="3235"/>
      <c r="D10" s="3234"/>
      <c r="E10" s="1676" t="s">
        <v>731</v>
      </c>
      <c r="F10" s="2143"/>
      <c r="G10" s="2143"/>
      <c r="H10" s="2143"/>
      <c r="I10" s="1878"/>
    </row>
    <row r="11" spans="1:12" ht="12.75">
      <c r="A11" s="3265"/>
      <c r="B11" s="3306"/>
      <c r="C11" s="3237"/>
      <c r="D11" s="3234"/>
      <c r="E11" s="1676" t="s">
        <v>732</v>
      </c>
      <c r="F11" s="2143"/>
      <c r="G11" s="2143"/>
      <c r="H11" s="2143"/>
      <c r="I11" s="1878"/>
    </row>
    <row r="12" spans="1:12" ht="12.75">
      <c r="A12" s="3265" t="s">
        <v>733</v>
      </c>
      <c r="B12" s="3306">
        <v>15</v>
      </c>
      <c r="C12" s="3235"/>
      <c r="D12" s="3234"/>
      <c r="E12" s="1676" t="s">
        <v>734</v>
      </c>
      <c r="F12" s="2143"/>
      <c r="G12" s="2143"/>
      <c r="H12" s="2143"/>
      <c r="I12" s="1878"/>
    </row>
    <row r="13" spans="1:12" ht="12.75">
      <c r="A13" s="3265"/>
      <c r="B13" s="3306"/>
      <c r="C13" s="3237"/>
      <c r="D13" s="3234"/>
      <c r="E13" s="1676" t="s">
        <v>735</v>
      </c>
      <c r="F13" s="2143"/>
      <c r="G13" s="2143"/>
      <c r="H13" s="2143"/>
      <c r="I13" s="1878"/>
    </row>
    <row r="14" spans="1:12" ht="12.75">
      <c r="A14" s="3265" t="s">
        <v>736</v>
      </c>
      <c r="B14" s="3306">
        <v>30</v>
      </c>
      <c r="C14" s="3235">
        <v>5</v>
      </c>
      <c r="D14" s="3234">
        <v>5</v>
      </c>
      <c r="E14" s="1676" t="s">
        <v>737</v>
      </c>
      <c r="F14" s="2143"/>
      <c r="G14" s="2143"/>
      <c r="H14" s="2143"/>
      <c r="I14" s="1878"/>
    </row>
    <row r="15" spans="1:12" ht="12.75">
      <c r="A15" s="3265"/>
      <c r="B15" s="3306"/>
      <c r="C15" s="3236"/>
      <c r="D15" s="3234"/>
      <c r="E15" s="1676" t="s">
        <v>738</v>
      </c>
      <c r="F15" s="2143"/>
      <c r="G15" s="2143"/>
      <c r="H15" s="2143"/>
      <c r="I15" s="1878"/>
    </row>
    <row r="16" spans="1:12" ht="12.75">
      <c r="A16" s="3265"/>
      <c r="B16" s="3306"/>
      <c r="C16" s="3237"/>
      <c r="D16" s="3234"/>
      <c r="E16" s="1676" t="s">
        <v>739</v>
      </c>
      <c r="F16" s="2143"/>
      <c r="G16" s="2143"/>
      <c r="H16" s="2143"/>
      <c r="I16" s="1878"/>
    </row>
    <row r="17" spans="1:36" ht="15">
      <c r="A17" s="2144" t="s">
        <v>740</v>
      </c>
      <c r="B17" s="2145"/>
      <c r="C17" s="2146">
        <f>SUM(C5:C16)</f>
        <v>5</v>
      </c>
      <c r="D17" s="2146">
        <f>SUM(D5:D16)</f>
        <v>5</v>
      </c>
      <c r="E17" s="274"/>
      <c r="F17" s="274"/>
      <c r="G17" s="274"/>
      <c r="H17" s="274"/>
      <c r="I17" s="274"/>
      <c r="K17" s="1636"/>
      <c r="L17" s="1636" t="s">
        <v>741</v>
      </c>
      <c r="M17" s="1636" t="s">
        <v>742</v>
      </c>
    </row>
    <row r="18" spans="1:36" ht="31.9" customHeight="1">
      <c r="A18" s="2147" t="s">
        <v>743</v>
      </c>
      <c r="B18" s="2148"/>
      <c r="C18" s="2149">
        <f>ROUND(C17/SUM(C17:D17),2)</f>
        <v>0.5</v>
      </c>
      <c r="D18" s="2149">
        <f>1-C18</f>
        <v>0.5</v>
      </c>
      <c r="E18" s="3223" t="s">
        <v>744</v>
      </c>
      <c r="F18" s="3224"/>
      <c r="G18" s="3224"/>
      <c r="H18" s="3224"/>
      <c r="I18" s="3224"/>
      <c r="K18" s="1636" t="s">
        <v>362</v>
      </c>
      <c r="L18" s="1636">
        <f>IF(C1="",'数据-汇总表'!E3,SUMIF(项目类型,C1,'数据-汇总表'!E17:E26)+SUMIF(项目类型,C1,'数据-汇总表'!I17:I26))</f>
        <v>0</v>
      </c>
      <c r="M18" s="1636">
        <f>IF(C1="",'数据-汇总表'!E3,SUMIF(项目类型,C1,'数据-汇总表'!E17:E26))</f>
        <v>0</v>
      </c>
    </row>
    <row r="19" spans="1:36" ht="15">
      <c r="A19" s="1085" t="s">
        <v>745</v>
      </c>
      <c r="B19" s="2150" t="s">
        <v>746</v>
      </c>
      <c r="C19" s="2151">
        <f ca="1">SUMIF(INDIRECT("'"&amp;C4&amp;"'"&amp;"!A:A"),结果表!B19,INDIRECT("'"&amp;C4&amp;"'"&amp;"!B:B"))</f>
        <v>172477</v>
      </c>
      <c r="D19" s="2115">
        <f ca="1">SUMIF(INDIRECT("'"&amp;D4&amp;"'"&amp;"!A:A"),结果表!B19,INDIRECT("'"&amp;D4&amp;"'"&amp;"!B:B"))</f>
        <v>145809</v>
      </c>
      <c r="E19" s="1085" t="s">
        <v>747</v>
      </c>
      <c r="F19" s="2150" t="s">
        <v>746</v>
      </c>
      <c r="G19" s="2152">
        <f ca="1">ROUND(C19*$C$18+D19*$D$18,0)</f>
        <v>159143</v>
      </c>
      <c r="H19" s="2153" t="s">
        <v>748</v>
      </c>
      <c r="I19" s="274"/>
      <c r="K19" s="1636" t="s">
        <v>366</v>
      </c>
      <c r="L19" s="1636">
        <f>IF(C1="",'数据-汇总表'!D3,SUMIF(项目类型,C1,'数据-汇总表'!D17:D26)+SUMIF(项目类型,C1,'数据-汇总表'!H17:H27))</f>
        <v>0</v>
      </c>
      <c r="M19" s="1636">
        <f>IF(C1="",'数据-汇总表'!D3,SUMIF(项目类型,C1,'数据-汇总表'!D17:D26))</f>
        <v>0</v>
      </c>
    </row>
    <row r="20" spans="1:36" ht="15">
      <c r="A20" s="2154"/>
      <c r="B20" s="2155" t="s">
        <v>749</v>
      </c>
      <c r="C20" s="1427">
        <f ca="1">SUMIF(INDIRECT("'"&amp;C4&amp;"'"&amp;"!A:A"),结果表!B20,INDIRECT("'"&amp;C4&amp;"'"&amp;"!B:B"))</f>
        <v>23853</v>
      </c>
      <c r="D20" s="1968">
        <f ca="1">SUMIF(INDIRECT("'"&amp;D4&amp;"'"&amp;"!A:A"),结果表!B20,INDIRECT("'"&amp;D4&amp;"'"&amp;"!B:B"))</f>
        <v>20165</v>
      </c>
      <c r="E20" s="2154"/>
      <c r="F20" s="2155" t="s">
        <v>749</v>
      </c>
      <c r="G20" s="2156">
        <f ca="1">ROUND(C20*$C$18+D20*$D$18,0)</f>
        <v>22009</v>
      </c>
      <c r="H20" s="1787" t="s">
        <v>750</v>
      </c>
      <c r="I20" s="274"/>
    </row>
    <row r="21" spans="1:36" ht="15" customHeight="1">
      <c r="A21" s="1091"/>
      <c r="B21" s="2157" t="s">
        <v>751</v>
      </c>
      <c r="C21" s="2158" t="e">
        <f ca="1">ROUND(C19*10000/L19,0)</f>
        <v>#DIV/0!</v>
      </c>
      <c r="D21" s="2159" t="e">
        <f ca="1">ROUND(D19*10000/L19,0)</f>
        <v>#DIV/0!</v>
      </c>
      <c r="E21" s="1091"/>
      <c r="F21" s="2157" t="s">
        <v>751</v>
      </c>
      <c r="G21" s="2160" t="e">
        <f ca="1">ROUND(G19*10000/L19,0)</f>
        <v>#DIV/0!</v>
      </c>
      <c r="H21" s="2161" t="s">
        <v>750</v>
      </c>
      <c r="I21" s="274"/>
      <c r="K21" s="232">
        <v>412505</v>
      </c>
      <c r="L21" s="232">
        <v>400289</v>
      </c>
    </row>
    <row r="22" spans="1:36" ht="14.25">
      <c r="A22" s="2162" t="s">
        <v>752</v>
      </c>
      <c r="B22" s="2163"/>
      <c r="C22" s="2164"/>
      <c r="D22" s="2165">
        <f ca="1">IF(C19&lt;D19,D19/C19-1,C19/D19-1)</f>
        <v>0.18289680335233083</v>
      </c>
      <c r="E22" s="274"/>
      <c r="F22" s="274"/>
      <c r="G22" s="274"/>
      <c r="H22" s="274"/>
      <c r="I22" s="274"/>
      <c r="K22" s="232">
        <f ca="1">G19</f>
        <v>159143</v>
      </c>
      <c r="L22" s="232">
        <f ca="1">N59</f>
        <v>150727</v>
      </c>
    </row>
    <row r="23" spans="1:36" ht="12.75">
      <c r="A23" s="1778"/>
      <c r="B23" s="1778"/>
      <c r="C23" s="1778"/>
      <c r="D23" s="1778"/>
      <c r="E23" s="274"/>
      <c r="F23" s="274"/>
      <c r="G23" s="274"/>
      <c r="H23" s="274"/>
      <c r="I23" s="274"/>
      <c r="K23" s="232">
        <f ca="1">K21-K22</f>
        <v>253362</v>
      </c>
      <c r="L23" s="232">
        <f ca="1">L21-L22</f>
        <v>249562</v>
      </c>
    </row>
    <row r="24" spans="1:36" ht="14.25">
      <c r="A24" s="3299" t="s">
        <v>753</v>
      </c>
      <c r="B24" s="2150" t="s">
        <v>746</v>
      </c>
      <c r="C24" s="2152">
        <f>IF(B30=0,0,D30)</f>
        <v>0</v>
      </c>
      <c r="D24" s="2166"/>
      <c r="E24" s="274"/>
      <c r="F24" s="274"/>
      <c r="G24" s="274"/>
      <c r="H24" s="274"/>
      <c r="I24" s="274"/>
    </row>
    <row r="25" spans="1:36" ht="14.25">
      <c r="A25" s="3300"/>
      <c r="B25" s="2155" t="s">
        <v>749</v>
      </c>
      <c r="C25" s="2167">
        <f>IF(B30=0,0,C30)</f>
        <v>0</v>
      </c>
      <c r="D25" s="2168"/>
      <c r="E25" s="274"/>
      <c r="F25" s="274"/>
      <c r="G25" s="274"/>
      <c r="H25" s="274"/>
      <c r="I25" s="274"/>
    </row>
    <row r="26" spans="1:36" ht="13.5" customHeight="1">
      <c r="A26" s="2169" t="s">
        <v>754</v>
      </c>
      <c r="B26" s="2170" t="s">
        <v>755</v>
      </c>
      <c r="C26" s="2170" t="s">
        <v>756</v>
      </c>
      <c r="D26" s="2171" t="s">
        <v>757</v>
      </c>
      <c r="E26" s="274"/>
      <c r="F26" s="274"/>
      <c r="G26" s="274"/>
      <c r="H26" s="274"/>
      <c r="I26" s="274"/>
    </row>
    <row r="27" spans="1:36" ht="14.25">
      <c r="A27" s="2169"/>
      <c r="B27" s="2170">
        <v>0</v>
      </c>
      <c r="C27" s="2170">
        <v>0</v>
      </c>
      <c r="D27" s="2171">
        <f>ROUND(C27*B27/10000,0)</f>
        <v>0</v>
      </c>
      <c r="E27" s="274"/>
      <c r="F27" s="274"/>
      <c r="G27" s="274"/>
      <c r="H27" s="274"/>
      <c r="I27" s="274"/>
    </row>
    <row r="28" spans="1:36" ht="14.25">
      <c r="A28" s="2169"/>
      <c r="B28" s="2170"/>
      <c r="C28" s="2170"/>
      <c r="D28" s="2171"/>
      <c r="E28" s="274"/>
      <c r="F28" s="274"/>
      <c r="G28" s="274"/>
      <c r="H28" s="274"/>
      <c r="I28" s="274"/>
    </row>
    <row r="29" spans="1:36" ht="14.25">
      <c r="A29" s="2169"/>
      <c r="B29" s="2170"/>
      <c r="C29" s="2170"/>
      <c r="D29" s="2171"/>
      <c r="E29" s="274"/>
      <c r="F29" s="274"/>
      <c r="G29" s="274"/>
      <c r="H29" s="274"/>
      <c r="I29" s="274"/>
    </row>
    <row r="30" spans="1:36" ht="14.25">
      <c r="A30" s="2170" t="s">
        <v>758</v>
      </c>
      <c r="B30" s="2170"/>
      <c r="C30" s="2170"/>
      <c r="D30" s="2170"/>
      <c r="E30" s="2172" t="s">
        <v>759</v>
      </c>
      <c r="F30" s="274"/>
      <c r="G30" s="274"/>
      <c r="H30" s="274"/>
      <c r="I30" s="274"/>
    </row>
    <row r="31" spans="1:36" s="2129" customFormat="1" ht="26.45" customHeight="1">
      <c r="A31" s="2173"/>
      <c r="B31" s="2174"/>
      <c r="C31" s="2174"/>
      <c r="D31" s="2174"/>
      <c r="E31" s="2174"/>
      <c r="F31" s="2174"/>
      <c r="G31" s="2174"/>
      <c r="H31" s="2174"/>
      <c r="I31" s="2266" t="s">
        <v>760</v>
      </c>
      <c r="J31" s="2267"/>
      <c r="K31" s="2268"/>
      <c r="L31" s="2268"/>
      <c r="M31" s="2268"/>
      <c r="N31" s="2268"/>
      <c r="O31" s="2268"/>
      <c r="P31" s="2268"/>
      <c r="Q31" s="2268"/>
      <c r="R31" s="2268"/>
      <c r="S31" s="2268"/>
      <c r="T31" s="2268"/>
      <c r="U31" s="2268"/>
      <c r="V31" s="2268"/>
      <c r="W31" s="2268"/>
      <c r="X31" s="2268"/>
      <c r="Y31" s="2268"/>
      <c r="Z31" s="2268"/>
      <c r="AA31" s="2268"/>
      <c r="AB31" s="2298"/>
      <c r="AC31" s="2298"/>
      <c r="AD31" s="2298"/>
      <c r="AE31" s="2298"/>
      <c r="AF31" s="2298"/>
      <c r="AG31" s="2298"/>
      <c r="AH31" s="2298"/>
      <c r="AI31" s="2298"/>
      <c r="AJ31" s="2298"/>
    </row>
    <row r="32" spans="1:36" ht="15">
      <c r="A32" s="2175" t="s">
        <v>761</v>
      </c>
      <c r="B32" s="2176"/>
      <c r="C32" s="2177">
        <f ca="1">IF(D32="总价",G19-C24,G20-C25)</f>
        <v>159143</v>
      </c>
      <c r="D32" s="2178" t="s">
        <v>762</v>
      </c>
      <c r="E32" s="274"/>
      <c r="F32" s="274"/>
      <c r="G32" s="274"/>
      <c r="H32" s="274"/>
      <c r="I32" s="274"/>
    </row>
    <row r="33" spans="1:15" ht="15">
      <c r="A33" s="2015" t="s">
        <v>763</v>
      </c>
      <c r="B33" s="1676"/>
      <c r="C33" s="2179" t="s">
        <v>764</v>
      </c>
      <c r="D33" s="2180" t="s">
        <v>721</v>
      </c>
      <c r="E33" s="2181" t="s">
        <v>765</v>
      </c>
      <c r="F33" s="2182" t="str">
        <f>IF(D32="楼面单价","取值（单价）","取值（总价）")</f>
        <v>取值（总价）</v>
      </c>
      <c r="G33" s="274"/>
      <c r="H33" s="274"/>
      <c r="I33" s="274"/>
    </row>
    <row r="34" spans="1:15" ht="15">
      <c r="A34" s="2183"/>
      <c r="B34" s="2184" t="s">
        <v>766</v>
      </c>
      <c r="C34" s="2185">
        <f ca="1">IF(C33="自定义",F34,C32-C35)</f>
        <v>118721</v>
      </c>
      <c r="D34" s="2186">
        <f ca="1">IF(C33="自定义",ROUND(C34/C32,3),IF(C33="收益比率",SUMIF(INDIRECT("'"&amp;D33&amp;"'"&amp;"!b:b"),"土地收益比率",INDIRECT("'"&amp;D33&amp;"'"&amp;"!c:c")),SUMIF(INDIRECT("'"&amp;D33&amp;"'"&amp;"!b:b"),"土地成本比率",INDIRECT("'"&amp;D33&amp;"'"&amp;"!c:c"))))</f>
        <v>0.746</v>
      </c>
      <c r="E34" s="2187" t="s">
        <v>767</v>
      </c>
      <c r="F34" s="2188"/>
      <c r="G34" s="274"/>
      <c r="H34" s="274"/>
      <c r="I34" s="274"/>
    </row>
    <row r="35" spans="1:15" ht="15">
      <c r="A35" s="2189"/>
      <c r="B35" s="2190" t="s">
        <v>768</v>
      </c>
      <c r="C35" s="2191">
        <f ca="1">IF(C33="自定义",F35,ROUND(C32*D35,0))</f>
        <v>40422</v>
      </c>
      <c r="D35" s="2192">
        <f ca="1">IF(C33="自定义",ROUND(C35/C32,3),IF(C33="收益比率",SUMIF(INDIRECT("'"&amp;D33&amp;"'"&amp;"!b:b"),"建筑物收益比率",INDIRECT("'"&amp;D33&amp;"'"&amp;"!c:c")),SUMIF(INDIRECT("'"&amp;D33&amp;"'"&amp;"!b:b"),"建筑物成本比率",INDIRECT("'"&amp;D33&amp;"'"&amp;"!c:c"))))</f>
        <v>0.254</v>
      </c>
      <c r="E35" s="2193" t="s">
        <v>769</v>
      </c>
      <c r="F35" s="2194"/>
      <c r="G35" s="274"/>
      <c r="H35" s="274"/>
      <c r="I35" s="274"/>
    </row>
    <row r="36" spans="1:15" ht="15">
      <c r="A36" s="3301" t="s">
        <v>770</v>
      </c>
      <c r="B36" s="2195" t="s">
        <v>771</v>
      </c>
      <c r="C36" s="2196"/>
      <c r="D36" s="2197"/>
      <c r="E36" s="2198"/>
      <c r="F36" s="2199"/>
      <c r="G36" s="274"/>
      <c r="H36" s="274"/>
      <c r="I36" s="274"/>
    </row>
    <row r="37" spans="1:15" ht="15">
      <c r="A37" s="3302"/>
      <c r="B37" s="2200" t="s">
        <v>772</v>
      </c>
      <c r="C37" s="2201"/>
      <c r="D37" s="2202"/>
      <c r="E37" s="2202"/>
      <c r="F37" s="2199"/>
      <c r="G37" s="274"/>
      <c r="H37" s="274"/>
      <c r="I37" s="274"/>
    </row>
    <row r="38" spans="1:15" ht="15">
      <c r="A38" s="3303"/>
      <c r="B38" s="2203" t="s">
        <v>773</v>
      </c>
      <c r="C38" s="2204"/>
      <c r="D38" s="2205" t="s">
        <v>774</v>
      </c>
      <c r="E38" s="2202"/>
      <c r="F38" s="2199"/>
      <c r="G38" s="274"/>
      <c r="H38" s="274"/>
      <c r="I38" s="274"/>
    </row>
    <row r="39" spans="1:15" ht="15">
      <c r="A39" s="2154" t="s">
        <v>775</v>
      </c>
      <c r="B39" s="2206" t="s">
        <v>755</v>
      </c>
      <c r="C39" s="2207" t="s">
        <v>756</v>
      </c>
      <c r="D39" s="2207" t="s">
        <v>776</v>
      </c>
      <c r="E39" s="2208" t="s">
        <v>757</v>
      </c>
      <c r="F39" s="2199"/>
      <c r="G39" s="274"/>
      <c r="H39" s="274"/>
      <c r="I39" s="274"/>
    </row>
    <row r="40" spans="1:15" ht="14.25">
      <c r="A40" s="2209" t="s">
        <v>777</v>
      </c>
      <c r="B40" s="2210"/>
      <c r="C40" s="292"/>
      <c r="D40" s="292"/>
      <c r="E40" s="2211"/>
      <c r="F40" s="2199"/>
      <c r="G40" s="274"/>
      <c r="H40" s="274"/>
      <c r="I40" s="274"/>
    </row>
    <row r="41" spans="1:15" ht="14.25">
      <c r="A41" s="2209" t="s">
        <v>778</v>
      </c>
      <c r="B41" s="2210"/>
      <c r="C41" s="292"/>
      <c r="D41" s="292"/>
      <c r="E41" s="2211"/>
      <c r="F41" s="2199"/>
      <c r="G41" s="274"/>
      <c r="H41" s="274"/>
      <c r="I41" s="274"/>
    </row>
    <row r="42" spans="1:15" ht="14.25">
      <c r="A42" s="2212"/>
      <c r="B42" s="2213"/>
      <c r="C42" s="2214"/>
      <c r="D42" s="2214"/>
      <c r="E42" s="2194"/>
      <c r="F42" s="2199"/>
      <c r="G42" s="274"/>
      <c r="H42" s="274"/>
      <c r="I42" s="274"/>
    </row>
    <row r="43" spans="1:15" ht="12.75">
      <c r="A43" s="2215"/>
      <c r="B43" s="2215"/>
      <c r="C43" s="2215"/>
      <c r="D43" s="2215"/>
      <c r="E43" s="2215"/>
      <c r="F43" s="2216"/>
      <c r="G43" s="2216"/>
      <c r="H43" s="2216"/>
      <c r="I43" s="2269"/>
    </row>
    <row r="44" spans="1:15" ht="18.75">
      <c r="A44" s="2217" t="s">
        <v>779</v>
      </c>
      <c r="B44" s="2218"/>
      <c r="C44" s="2218"/>
      <c r="D44" s="2219"/>
      <c r="E44" s="2219"/>
      <c r="F44" s="2220"/>
      <c r="G44" s="2220"/>
      <c r="H44" s="2220"/>
      <c r="I44" s="2220"/>
      <c r="J44" s="2270" t="s">
        <v>780</v>
      </c>
      <c r="K44" s="465"/>
      <c r="L44" s="465"/>
      <c r="M44" s="465"/>
      <c r="N44" s="465"/>
      <c r="O44" s="465"/>
    </row>
    <row r="45" spans="1:15" ht="14.25" customHeight="1">
      <c r="A45" s="3225" t="s">
        <v>781</v>
      </c>
      <c r="B45" s="3226"/>
      <c r="C45" s="3227"/>
      <c r="D45" s="1635">
        <f ca="1">G19</f>
        <v>159143</v>
      </c>
      <c r="E45" s="2221" t="s">
        <v>782</v>
      </c>
      <c r="F45" s="2222">
        <v>1</v>
      </c>
      <c r="G45" s="1646" t="s">
        <v>783</v>
      </c>
      <c r="H45" s="274"/>
      <c r="I45" s="274"/>
      <c r="J45" s="3228" t="s">
        <v>784</v>
      </c>
      <c r="K45" s="3228"/>
      <c r="L45" s="3228"/>
      <c r="M45" s="3228"/>
      <c r="N45" s="3228"/>
      <c r="O45" s="3228"/>
    </row>
    <row r="46" spans="1:15" ht="14.25" customHeight="1">
      <c r="A46" s="3229" t="s">
        <v>785</v>
      </c>
      <c r="B46" s="3230"/>
      <c r="C46" s="3230"/>
      <c r="D46" s="3230"/>
      <c r="E46" s="3230"/>
      <c r="F46" s="3230"/>
      <c r="G46" s="3231"/>
      <c r="H46" s="2223"/>
      <c r="I46" s="275"/>
      <c r="J46" s="2271">
        <v>1</v>
      </c>
      <c r="K46" s="3232" t="s">
        <v>786</v>
      </c>
      <c r="L46" s="3232"/>
      <c r="M46" s="3233"/>
      <c r="N46" s="3233"/>
      <c r="O46" s="3233"/>
    </row>
    <row r="47" spans="1:15" ht="12" customHeight="1">
      <c r="A47" s="2224" t="s">
        <v>787</v>
      </c>
      <c r="B47" s="2225"/>
      <c r="C47" s="2226"/>
      <c r="D47" s="1685" t="s">
        <v>788</v>
      </c>
      <c r="E47" s="1636" t="s">
        <v>789</v>
      </c>
      <c r="F47" s="2227" t="s">
        <v>790</v>
      </c>
      <c r="G47" s="2228" t="s">
        <v>791</v>
      </c>
      <c r="H47" s="2229"/>
      <c r="I47" s="275"/>
      <c r="J47" s="2271">
        <v>2</v>
      </c>
      <c r="K47" s="3232" t="s">
        <v>792</v>
      </c>
      <c r="L47" s="3232"/>
      <c r="M47" s="3238">
        <f>'数据-取费表'!B2</f>
        <v>45475</v>
      </c>
      <c r="N47" s="3238"/>
      <c r="O47" s="3238"/>
    </row>
    <row r="48" spans="1:15" ht="25.5">
      <c r="A48" s="3239" t="s">
        <v>793</v>
      </c>
      <c r="B48" s="3240"/>
      <c r="C48" s="3240"/>
      <c r="D48" s="1785">
        <f ca="1">IF(H48="情况1",0,IF(H48="情况2",D52,IF(H48="情况3",D53,IF(H48="情况4",D54))))</f>
        <v>8336</v>
      </c>
      <c r="E48" s="1689" t="str">
        <f>IF(H48="情况4","(销售额-原购置价)×税（费）率","销售额×税（费）率")</f>
        <v>销售额×税（费）率</v>
      </c>
      <c r="F48" s="2231">
        <f>IF(H48="情况1","免征",'数据-取费表'!B41)</f>
        <v>5.5E-2</v>
      </c>
      <c r="G48" s="2232" t="s">
        <v>794</v>
      </c>
      <c r="H48" s="2233" t="s">
        <v>795</v>
      </c>
      <c r="I48" s="2223"/>
      <c r="J48" s="2271">
        <v>3</v>
      </c>
      <c r="K48" s="3232" t="s">
        <v>796</v>
      </c>
      <c r="L48" s="3232"/>
      <c r="M48" s="3241">
        <f ca="1">D45</f>
        <v>159143</v>
      </c>
      <c r="N48" s="3241"/>
      <c r="O48" s="3241"/>
    </row>
    <row r="49" spans="1:35" ht="25.5" customHeight="1">
      <c r="A49" s="2230" t="s">
        <v>797</v>
      </c>
      <c r="B49" s="3242" t="s">
        <v>798</v>
      </c>
      <c r="C49" s="3242"/>
      <c r="D49" s="2234">
        <v>0</v>
      </c>
      <c r="E49" s="1695" t="s">
        <v>799</v>
      </c>
      <c r="F49" s="2235" t="s">
        <v>124</v>
      </c>
      <c r="G49" s="3248"/>
      <c r="H49" s="2236" t="s">
        <v>800</v>
      </c>
      <c r="I49" s="2273"/>
      <c r="J49" s="2271">
        <v>4</v>
      </c>
      <c r="K49" s="3232" t="str">
        <f>IF(项目基本情况!E8="房地产抵押价值","房地产抵押价值","抵押担保权已注销时的房地产抵押价值")</f>
        <v>房地产抵押价值</v>
      </c>
      <c r="L49" s="3232"/>
      <c r="M49" s="3241">
        <f ca="1">M48</f>
        <v>159143</v>
      </c>
      <c r="N49" s="3241"/>
      <c r="O49" s="3241"/>
    </row>
    <row r="50" spans="1:35" ht="25.5" customHeight="1">
      <c r="A50" s="2237"/>
      <c r="B50" s="3242" t="s">
        <v>801</v>
      </c>
      <c r="C50" s="3242"/>
      <c r="D50" s="2238"/>
      <c r="E50" s="1710"/>
      <c r="F50" s="2235"/>
      <c r="G50" s="3249"/>
      <c r="H50" s="2239" t="s">
        <v>802</v>
      </c>
      <c r="I50" s="2273"/>
      <c r="J50" s="3228" t="s">
        <v>803</v>
      </c>
      <c r="K50" s="3228"/>
      <c r="L50" s="3228"/>
      <c r="M50" s="3228"/>
      <c r="N50" s="3228"/>
      <c r="O50" s="3228"/>
    </row>
    <row r="51" spans="1:35" ht="20.45" customHeight="1">
      <c r="A51" s="2240"/>
      <c r="B51" s="3242" t="s">
        <v>804</v>
      </c>
      <c r="C51" s="3242"/>
      <c r="D51" s="1685"/>
      <c r="E51" s="1699"/>
      <c r="F51" s="2235"/>
      <c r="G51" s="3250"/>
      <c r="H51" s="2239" t="s">
        <v>805</v>
      </c>
      <c r="I51" s="2273"/>
      <c r="J51" s="2272" t="s">
        <v>806</v>
      </c>
      <c r="K51" s="3232" t="s">
        <v>807</v>
      </c>
      <c r="L51" s="3232"/>
      <c r="M51" s="2272" t="s">
        <v>808</v>
      </c>
      <c r="N51" s="2272" t="s">
        <v>809</v>
      </c>
      <c r="O51" s="2272" t="s">
        <v>810</v>
      </c>
    </row>
    <row r="52" spans="1:35" ht="24" customHeight="1">
      <c r="A52" s="2241" t="s">
        <v>811</v>
      </c>
      <c r="B52" s="3242" t="s">
        <v>812</v>
      </c>
      <c r="C52" s="3242"/>
      <c r="D52" s="1685">
        <f ca="1">ROUND(D45*'数据-取费表'!B41/(1+'数据-取费表'!C42),0)</f>
        <v>8336</v>
      </c>
      <c r="E52" s="1689" t="s">
        <v>813</v>
      </c>
      <c r="F52" s="2242">
        <f>'数据-取费表'!B41</f>
        <v>5.5E-2</v>
      </c>
      <c r="G52" s="2243"/>
      <c r="H52" s="1799"/>
      <c r="I52" s="2274"/>
      <c r="J52" s="2271">
        <v>1</v>
      </c>
      <c r="K52" s="3244" t="s">
        <v>814</v>
      </c>
      <c r="L52" s="3244"/>
      <c r="M52" s="2275">
        <f ca="1">D48</f>
        <v>8336</v>
      </c>
      <c r="N52" s="2271" t="str">
        <f>E48</f>
        <v>销售额×税（费）率</v>
      </c>
      <c r="O52" s="2276">
        <f>F48</f>
        <v>5.5E-2</v>
      </c>
    </row>
    <row r="53" spans="1:35" ht="12" customHeight="1">
      <c r="A53" s="2241" t="s">
        <v>815</v>
      </c>
      <c r="B53" s="3245" t="s">
        <v>816</v>
      </c>
      <c r="C53" s="3246"/>
      <c r="D53" s="1685">
        <f ca="1">ROUND(D45*'数据-取费表'!B41/(1+'数据-取费表'!C42),0)</f>
        <v>8336</v>
      </c>
      <c r="E53" s="1689" t="s">
        <v>813</v>
      </c>
      <c r="F53" s="2242">
        <f>'数据-取费表'!B41</f>
        <v>5.5E-2</v>
      </c>
      <c r="G53" s="2243"/>
      <c r="H53" s="1799"/>
      <c r="I53" s="2274"/>
      <c r="J53" s="2271">
        <v>2</v>
      </c>
      <c r="K53" s="3244" t="s">
        <v>817</v>
      </c>
      <c r="L53" s="3244"/>
      <c r="M53" s="2275">
        <f t="shared" ref="M53:O54" ca="1" si="0">D55</f>
        <v>80</v>
      </c>
      <c r="N53" s="2271" t="str">
        <f t="shared" si="0"/>
        <v>销售额×税（费）率</v>
      </c>
      <c r="O53" s="2276">
        <f t="shared" si="0"/>
        <v>5.0000000000000001E-4</v>
      </c>
    </row>
    <row r="54" spans="1:35" ht="12" customHeight="1">
      <c r="A54" s="2241" t="s">
        <v>818</v>
      </c>
      <c r="B54" s="3245" t="s">
        <v>819</v>
      </c>
      <c r="C54" s="3246"/>
      <c r="D54" s="1685">
        <f ca="1">C68</f>
        <v>8336</v>
      </c>
      <c r="E54" s="1699" t="s">
        <v>820</v>
      </c>
      <c r="F54" s="2242">
        <f>'数据-取费表'!B41</f>
        <v>5.5E-2</v>
      </c>
      <c r="G54" s="2243"/>
      <c r="H54" s="2244"/>
      <c r="I54" s="2274"/>
      <c r="J54" s="2271">
        <v>3</v>
      </c>
      <c r="K54" s="3244" t="s">
        <v>821</v>
      </c>
      <c r="L54" s="3244"/>
      <c r="M54" s="2275">
        <f t="shared" ca="1" si="0"/>
        <v>0</v>
      </c>
      <c r="N54" s="2271" t="str">
        <f t="shared" si="0"/>
        <v>增值额×税（费）率</v>
      </c>
      <c r="O54" s="2277" t="str">
        <f t="shared" si="0"/>
        <v>——</v>
      </c>
    </row>
    <row r="55" spans="1:35" ht="24" customHeight="1">
      <c r="A55" s="3247" t="s">
        <v>822</v>
      </c>
      <c r="B55" s="3240"/>
      <c r="C55" s="3240"/>
      <c r="D55" s="1785">
        <f ca="1">IF(H55="个人住宅",0,ROUND(D45*I55,0))</f>
        <v>80</v>
      </c>
      <c r="E55" s="1689" t="s">
        <v>823</v>
      </c>
      <c r="F55" s="2242">
        <f>IF(H55="正常",I55,"免征")</f>
        <v>5.0000000000000001E-4</v>
      </c>
      <c r="G55" s="2243"/>
      <c r="H55" s="2233" t="s">
        <v>824</v>
      </c>
      <c r="I55" s="2278">
        <f>'数据-取费表'!B49</f>
        <v>5.0000000000000001E-4</v>
      </c>
      <c r="J55" s="2271" t="str">
        <f>IF(H59="非个人房产","",4)</f>
        <v/>
      </c>
      <c r="K55" s="3244" t="str">
        <f>IF(H59="非个人房产","——","个人所得税")</f>
        <v>——</v>
      </c>
      <c r="L55" s="3244"/>
      <c r="M55" s="2279" t="str">
        <f>D59</f>
        <v>——</v>
      </c>
      <c r="N55" s="596" t="str">
        <f>E59</f>
        <v>——</v>
      </c>
      <c r="O55" s="2280" t="str">
        <f>F59</f>
        <v>——</v>
      </c>
    </row>
    <row r="56" spans="1:35" ht="24.75">
      <c r="A56" s="3247" t="s">
        <v>825</v>
      </c>
      <c r="B56" s="3240"/>
      <c r="C56" s="3240"/>
      <c r="D56" s="1785">
        <f ca="1">IF(H56="个人住宅",D57,D58)</f>
        <v>0</v>
      </c>
      <c r="E56" s="1689" t="s">
        <v>826</v>
      </c>
      <c r="F56" s="2242" t="str">
        <f>IF(H56="正常",F58,"免征")</f>
        <v>——</v>
      </c>
      <c r="G56" s="2245" t="s">
        <v>827</v>
      </c>
      <c r="H56" s="2246" t="s">
        <v>824</v>
      </c>
      <c r="I56" s="2255"/>
      <c r="J56" s="2271" t="str">
        <f>IF(项目基本情况!K6="上海银行",IF(J55="",4,J55+1),"")</f>
        <v/>
      </c>
      <c r="K56" s="3251" t="str">
        <f>IF(项目基本情况!K6="上海银行","其他处置费用","")</f>
        <v/>
      </c>
      <c r="L56" s="3252"/>
      <c r="M56" s="2275" t="str">
        <f>IF(项目基本情况!K6="上海银行",M69,"")</f>
        <v/>
      </c>
      <c r="N56" s="3251" t="str">
        <f>IF(项目基本情况!K6="上海银行","包含处置中涉及的律师、诉讼、拍卖、评估等费用","")</f>
        <v/>
      </c>
      <c r="O56" s="3253"/>
    </row>
    <row r="57" spans="1:35" ht="12.75">
      <c r="A57" s="2241" t="s">
        <v>797</v>
      </c>
      <c r="B57" s="3245" t="s">
        <v>828</v>
      </c>
      <c r="C57" s="3246"/>
      <c r="D57" s="2234">
        <v>0</v>
      </c>
      <c r="E57" s="1695" t="s">
        <v>799</v>
      </c>
      <c r="F57" s="1636"/>
      <c r="G57" s="2243"/>
      <c r="H57" s="2247"/>
      <c r="I57" s="2255"/>
      <c r="J57" s="3244">
        <f>IF(AND(J55="",J56=""),4,IF(项目基本情况!K6="上海银行",结果表!J56+1,结果表!J55+1))</f>
        <v>4</v>
      </c>
      <c r="K57" s="3244" t="s">
        <v>829</v>
      </c>
      <c r="L57" s="2281" t="s">
        <v>830</v>
      </c>
      <c r="M57" s="2282"/>
      <c r="N57" s="2283">
        <f ca="1">SUMIF(M52:M56,"&lt;9e307")</f>
        <v>8416</v>
      </c>
      <c r="O57" s="2284"/>
      <c r="P57" s="2285">
        <f ca="1">N57/M49</f>
        <v>5.2883255939626624E-2</v>
      </c>
    </row>
    <row r="58" spans="1:35" ht="24.75">
      <c r="A58" s="2241" t="s">
        <v>811</v>
      </c>
      <c r="B58" s="3245" t="s">
        <v>831</v>
      </c>
      <c r="C58" s="3242"/>
      <c r="D58" s="1785">
        <f ca="1">IF(H58="转让取得",C81,C97)</f>
        <v>0</v>
      </c>
      <c r="E58" s="1689" t="s">
        <v>826</v>
      </c>
      <c r="F58" s="1636" t="s">
        <v>124</v>
      </c>
      <c r="G58" s="2243"/>
      <c r="H58" s="2246" t="s">
        <v>832</v>
      </c>
      <c r="I58" s="2255"/>
      <c r="J58" s="3244"/>
      <c r="K58" s="3244"/>
      <c r="L58" s="2281" t="s">
        <v>833</v>
      </c>
      <c r="M58" s="2286"/>
      <c r="N58" s="2287" t="str">
        <f ca="1">NUMBERSTRING(INT(N57*10000),2)&amp;"元整"</f>
        <v>捌仟肆佰壹拾陆万元整</v>
      </c>
      <c r="O58" s="2288"/>
    </row>
    <row r="59" spans="1:35" ht="24">
      <c r="A59" s="3254" t="s">
        <v>834</v>
      </c>
      <c r="B59" s="3255"/>
      <c r="C59" s="3255"/>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827</v>
      </c>
      <c r="H59" s="2252" t="s">
        <v>835</v>
      </c>
      <c r="I59" s="2289" t="s">
        <v>836</v>
      </c>
      <c r="J59" s="3259">
        <f>J57+1</f>
        <v>5</v>
      </c>
      <c r="K59" s="3244" t="s">
        <v>837</v>
      </c>
      <c r="L59" s="2271" t="s">
        <v>830</v>
      </c>
      <c r="M59" s="2290"/>
      <c r="N59" s="2291">
        <f ca="1">M49-N57</f>
        <v>150727</v>
      </c>
      <c r="O59" s="2292"/>
    </row>
    <row r="60" spans="1:35" ht="12" customHeight="1">
      <c r="A60" s="2253"/>
      <c r="B60" s="1778"/>
      <c r="C60" s="1778"/>
      <c r="D60" s="1778"/>
      <c r="E60" s="2254"/>
      <c r="F60" s="2255"/>
      <c r="G60" s="2255"/>
      <c r="H60" s="275"/>
      <c r="I60" s="274"/>
      <c r="J60" s="3260"/>
      <c r="K60" s="3244"/>
      <c r="L60" s="2281" t="s">
        <v>833</v>
      </c>
      <c r="M60" s="2286"/>
      <c r="N60" s="2287" t="str">
        <f ca="1">NUMBERSTRING(INT(N59*10000),2)&amp;"元整"</f>
        <v>壹拾伍亿零柒佰贰拾柒万元整</v>
      </c>
      <c r="O60" s="2288"/>
    </row>
    <row r="61" spans="1:35" ht="12.75">
      <c r="A61" s="3256" t="s">
        <v>838</v>
      </c>
      <c r="B61" s="3256"/>
      <c r="C61" s="3256"/>
      <c r="D61" s="3256"/>
      <c r="E61" s="3256"/>
      <c r="F61" s="2255"/>
      <c r="G61" s="2255"/>
      <c r="H61" s="275"/>
      <c r="I61" s="274"/>
      <c r="J61" s="2271">
        <f>J59+1</f>
        <v>6</v>
      </c>
      <c r="K61" s="3244" t="s">
        <v>839</v>
      </c>
      <c r="L61" s="3244"/>
      <c r="M61" s="2293"/>
      <c r="N61" s="2294">
        <f ca="1">ROUND(N59*10000/'数据-汇总表'!E3,0)</f>
        <v>20845</v>
      </c>
      <c r="O61" s="2295"/>
    </row>
    <row r="62" spans="1:35" ht="12.75">
      <c r="A62" s="3257" t="s">
        <v>840</v>
      </c>
      <c r="B62" s="3258"/>
      <c r="C62" s="578"/>
      <c r="D62" s="578" t="s">
        <v>841</v>
      </c>
      <c r="E62" s="2256" t="s">
        <v>791</v>
      </c>
      <c r="F62" s="2255"/>
      <c r="G62" s="2255"/>
      <c r="H62" s="275"/>
      <c r="I62" s="274"/>
    </row>
    <row r="63" spans="1:35" ht="12.75">
      <c r="A63" s="2257" t="s">
        <v>842</v>
      </c>
      <c r="B63" s="2258" t="s">
        <v>843</v>
      </c>
      <c r="C63" s="2259">
        <f ca="1">ROUND((C64+C65)/(1+'数据-取费表'!C42),0)</f>
        <v>151565</v>
      </c>
      <c r="D63" s="2258"/>
      <c r="E63" s="2260"/>
      <c r="F63" s="2255"/>
      <c r="G63" s="2255"/>
      <c r="H63" s="275"/>
      <c r="I63" s="274"/>
      <c r="J63" s="3243" t="s">
        <v>844</v>
      </c>
      <c r="K63" s="2296" t="s">
        <v>845</v>
      </c>
      <c r="L63" s="2296">
        <f ca="1">IF(M49&gt;10000,M49*0.5%,IF(AND(M49&gt;1000,M49&lt;=10000),M49*1%,IF(AND(M49&gt;100,M49&lt;=1000),M49*3%,IF(AND(M49&gt;10,M49&lt;=100),M49*5%,M49*8%))))</f>
        <v>795.71500000000003</v>
      </c>
      <c r="M63" s="1636">
        <f ca="1">ROUND(L63,1)</f>
        <v>795.7</v>
      </c>
      <c r="N63" s="2297"/>
      <c r="Z63" s="2130"/>
      <c r="AI63" s="2131"/>
    </row>
    <row r="64" spans="1:35" ht="14.25" customHeight="1">
      <c r="A64" s="2261" t="s">
        <v>846</v>
      </c>
      <c r="B64" s="560" t="s">
        <v>847</v>
      </c>
      <c r="C64" s="2262">
        <f ca="1">D45</f>
        <v>159143</v>
      </c>
      <c r="D64" s="560" t="s">
        <v>124</v>
      </c>
      <c r="E64" s="2263"/>
      <c r="F64" s="2255"/>
      <c r="G64" s="2255"/>
      <c r="H64" s="275"/>
      <c r="I64" s="274"/>
      <c r="J64" s="3243"/>
      <c r="K64" s="2296" t="s">
        <v>848</v>
      </c>
      <c r="L64" s="2296">
        <f ca="1">IF(M49&gt;2000,M49*0.5%,IF(AND(M49&gt;1000,M49&lt;=2000),M49*0.6%,IF(AND(M49&gt;500,M49&lt;=1000),M49*0.7%,IF(AND(M49&gt;200,M49&lt;=500),M49*0.8%,IF(AND(M49&gt;100,M49&lt;=200),M49*0.9%,IF(AND(M49&gt;50,M49&lt;=100),M49*1%,IF(AND(M49&gt;20,M49&lt;=50),M49*1.5%,IF(AND(M49&gt;10,M49&lt;=20),M49*2%,IF(AND(M49&gt;1,M49&lt;=10),M49*2.5%)))))))))</f>
        <v>795.71500000000003</v>
      </c>
      <c r="M64" s="1636">
        <f t="shared" ref="M64:M65" ca="1" si="1">ROUND(L64,1)</f>
        <v>795.7</v>
      </c>
      <c r="N64" s="1799" t="s">
        <v>849</v>
      </c>
      <c r="Z64" s="2130"/>
      <c r="AI64" s="2131"/>
    </row>
    <row r="65" spans="1:35" ht="14.25" customHeight="1">
      <c r="A65" s="2261" t="s">
        <v>850</v>
      </c>
      <c r="B65" s="560" t="s">
        <v>851</v>
      </c>
      <c r="C65" s="2299"/>
      <c r="D65" s="560"/>
      <c r="E65" s="2263"/>
      <c r="F65" s="2255"/>
      <c r="G65" s="2255"/>
      <c r="H65" s="275"/>
      <c r="I65" s="274"/>
      <c r="J65" s="3243"/>
      <c r="K65" s="2296" t="s">
        <v>852</v>
      </c>
      <c r="L65" s="2296">
        <f ca="1">IF(M49&gt;1000,M49*0.1%,IF(AND(M49&gt;500,M49&lt;=1000),M49*0.5%,IF(AND(M49&gt;50,M49&lt;=500),M49*1%,IF(AND(M49&gt;1,M49&lt;=50),M49*1.5%))))</f>
        <v>159.143</v>
      </c>
      <c r="M65" s="1636">
        <f t="shared" ca="1" si="1"/>
        <v>159.1</v>
      </c>
      <c r="N65" s="1799" t="s">
        <v>849</v>
      </c>
      <c r="Z65" s="2130"/>
      <c r="AI65" s="2131"/>
    </row>
    <row r="66" spans="1:35" ht="14.25" customHeight="1">
      <c r="A66" s="2257" t="s">
        <v>853</v>
      </c>
      <c r="B66" s="2300" t="s">
        <v>854</v>
      </c>
      <c r="C66" s="2301"/>
      <c r="D66" s="2300" t="s">
        <v>124</v>
      </c>
      <c r="E66" s="2302" t="s">
        <v>855</v>
      </c>
      <c r="F66" s="2255"/>
      <c r="G66" s="2255"/>
      <c r="H66" s="275"/>
      <c r="I66" s="274"/>
      <c r="J66" s="3243"/>
      <c r="K66" s="2296" t="s">
        <v>856</v>
      </c>
      <c r="L66" s="2296">
        <f ca="1">M49*0.5%</f>
        <v>795.71500000000003</v>
      </c>
      <c r="M66" s="1636">
        <f ca="1">IF(L66&gt;0.5,0.5,ROUND(L66,0))</f>
        <v>0.5</v>
      </c>
      <c r="N66" s="1799" t="s">
        <v>857</v>
      </c>
      <c r="Z66" s="2130"/>
      <c r="AI66" s="2131"/>
    </row>
    <row r="67" spans="1:35" ht="14.25" customHeight="1">
      <c r="A67" s="2257" t="s">
        <v>858</v>
      </c>
      <c r="B67" s="2300" t="s">
        <v>859</v>
      </c>
      <c r="C67" s="2303">
        <f ca="1">C63-C66</f>
        <v>151565</v>
      </c>
      <c r="D67" s="560" t="s">
        <v>124</v>
      </c>
      <c r="E67" s="2263"/>
      <c r="F67" s="2255"/>
      <c r="G67" s="2255"/>
      <c r="H67" s="275"/>
      <c r="I67" s="274"/>
      <c r="J67" s="3243"/>
      <c r="K67" s="2296" t="s">
        <v>860</v>
      </c>
      <c r="L67" s="2296">
        <f ca="1">IF(M49&gt;=10000,(8.25+(M49-10000)*0.01%),IF(AND(M49&gt;=8000,M49&lt;10000),(7.85+(M49-8000)*0.02%),IF(AND(M49&gt;=5000,M49&lt;8000),(6.65+(M49-5000)*0.04%),IF(AND(M49&gt;=2000,M49&lt;5000),(4.25+(PM49-2000)*0.08%),IF(AND(M49&gt;=1000,M49&lt;2000),(2.75+(M49-1000)*0.15%),IF(AND(M49&gt;=100,M49&lt;1000),(0.5+(M49-100)*0.25%),IF(AND(M49&gt;0,M49&lt;100),M49*0.5%)))))))</f>
        <v>23.164300000000001</v>
      </c>
      <c r="M67" s="1636">
        <f ca="1">ROUND(L67*0.9,1)</f>
        <v>20.8</v>
      </c>
      <c r="N67" s="2297"/>
      <c r="Z67" s="2130"/>
      <c r="AI67" s="2131"/>
    </row>
    <row r="68" spans="1:35" ht="14.25" customHeight="1">
      <c r="A68" s="2304" t="s">
        <v>861</v>
      </c>
      <c r="B68" s="2305" t="s">
        <v>862</v>
      </c>
      <c r="C68" s="2306">
        <f ca="1">IF(C67&lt;=0,0,ROUND(C67*D68,0))</f>
        <v>8336</v>
      </c>
      <c r="D68" s="2307">
        <f>'数据-取费表'!B41</f>
        <v>5.5E-2</v>
      </c>
      <c r="E68" s="2308"/>
      <c r="F68" s="2255"/>
      <c r="G68" s="2255"/>
      <c r="H68" s="275"/>
      <c r="I68" s="274"/>
      <c r="J68" s="3243"/>
      <c r="K68" s="2296" t="s">
        <v>863</v>
      </c>
      <c r="L68" s="2296">
        <f ca="1">IF(M49&gt;10000,M49*0.5%,IF(AND(M49&gt;5000,M49&lt;=10000),M49*1%,IF(AND(M49&gt;1000,M49&lt;=5000),M49*2%,IF(AND(M49&gt;200,M49&lt;=1000),M49*3%,M49*5%))))</f>
        <v>795.71500000000003</v>
      </c>
      <c r="M68" s="1636">
        <f ca="1">ROUND(L68,1)</f>
        <v>795.7</v>
      </c>
      <c r="N68" s="2297"/>
      <c r="Z68" s="2130"/>
      <c r="AI68" s="2131"/>
    </row>
    <row r="69" spans="1:35" ht="16.5" customHeight="1">
      <c r="A69" s="2309"/>
      <c r="B69" s="2310"/>
      <c r="C69" s="2311"/>
      <c r="D69" s="711"/>
      <c r="E69" s="2312"/>
      <c r="F69" s="2254"/>
      <c r="G69" s="2254"/>
      <c r="H69" s="2215"/>
      <c r="I69" s="1778"/>
      <c r="J69" s="3243"/>
      <c r="K69" s="2296" t="s">
        <v>864</v>
      </c>
      <c r="L69" s="2296"/>
      <c r="M69" s="1636">
        <f ca="1">ROUND(SUM(M63:M68),0)</f>
        <v>2568</v>
      </c>
      <c r="N69" s="2374">
        <f ca="1">M69/M49</f>
        <v>1.6136430757243487E-2</v>
      </c>
      <c r="Z69" s="2130"/>
      <c r="AI69" s="2131"/>
    </row>
    <row r="70" spans="1:35" s="463" customFormat="1" ht="14.25">
      <c r="A70" s="3284" t="s">
        <v>865</v>
      </c>
      <c r="B70" s="3285"/>
      <c r="C70" s="3285"/>
      <c r="D70" s="3285"/>
      <c r="E70" s="3285"/>
      <c r="F70" s="3285"/>
      <c r="G70" s="3285"/>
      <c r="H70" s="3285"/>
      <c r="I70" s="2375"/>
      <c r="J70" s="1362"/>
      <c r="K70" s="1362"/>
      <c r="L70" s="1362"/>
      <c r="M70" s="1362"/>
      <c r="N70" s="2376"/>
      <c r="O70" s="2376"/>
      <c r="P70" s="2376"/>
      <c r="Q70" s="2376"/>
      <c r="R70" s="2376"/>
      <c r="S70" s="2376"/>
      <c r="T70" s="2376"/>
      <c r="U70" s="2376"/>
      <c r="V70" s="2376"/>
      <c r="W70" s="2376"/>
      <c r="X70" s="2376"/>
      <c r="Y70" s="2376"/>
      <c r="Z70" s="2376"/>
      <c r="AA70" s="2383"/>
      <c r="AB70" s="2383"/>
      <c r="AC70" s="2383"/>
      <c r="AD70" s="2383"/>
      <c r="AE70" s="2383"/>
      <c r="AF70" s="2383"/>
      <c r="AG70" s="2383"/>
      <c r="AH70" s="2383"/>
      <c r="AI70" s="2383"/>
    </row>
    <row r="71" spans="1:35" s="463" customFormat="1" ht="14.25">
      <c r="A71" s="3257" t="s">
        <v>840</v>
      </c>
      <c r="B71" s="3258"/>
      <c r="C71" s="578"/>
      <c r="D71" s="578" t="s">
        <v>841</v>
      </c>
      <c r="E71" s="2313" t="s">
        <v>791</v>
      </c>
      <c r="F71" s="2314"/>
      <c r="G71" s="2314"/>
      <c r="H71" s="2315"/>
      <c r="I71" s="2377"/>
      <c r="J71" s="1362"/>
      <c r="K71" s="1362"/>
      <c r="L71" s="1362"/>
      <c r="M71" s="1362"/>
      <c r="N71" s="2376"/>
      <c r="O71" s="2376"/>
      <c r="P71" s="2376"/>
      <c r="Q71" s="2376"/>
      <c r="R71" s="2376"/>
      <c r="S71" s="2376"/>
      <c r="T71" s="2376"/>
      <c r="U71" s="2376"/>
      <c r="V71" s="2376"/>
      <c r="W71" s="2376"/>
      <c r="X71" s="2376"/>
      <c r="Y71" s="2376"/>
      <c r="Z71" s="2376"/>
      <c r="AA71" s="2383"/>
      <c r="AB71" s="2383"/>
      <c r="AC71" s="2383"/>
      <c r="AD71" s="2383"/>
      <c r="AE71" s="2383"/>
      <c r="AF71" s="2383"/>
      <c r="AG71" s="2383"/>
      <c r="AH71" s="2383"/>
      <c r="AI71" s="2383"/>
    </row>
    <row r="72" spans="1:35" s="463" customFormat="1" ht="14.25">
      <c r="A72" s="2257" t="s">
        <v>842</v>
      </c>
      <c r="B72" s="2300" t="s">
        <v>866</v>
      </c>
      <c r="C72" s="2303">
        <f ca="1">ROUND(D45/(1+'数据-取费表'!C42),0)</f>
        <v>151565</v>
      </c>
      <c r="D72" s="560" t="s">
        <v>124</v>
      </c>
      <c r="E72" s="1667"/>
      <c r="F72" s="1668"/>
      <c r="G72" s="1668"/>
      <c r="H72" s="2316"/>
      <c r="I72" s="2377"/>
      <c r="J72" s="1362"/>
      <c r="K72" s="1362"/>
      <c r="L72" s="1362"/>
      <c r="M72" s="1362"/>
      <c r="N72" s="2376"/>
      <c r="O72" s="2376"/>
      <c r="P72" s="2376"/>
      <c r="Q72" s="2376"/>
      <c r="R72" s="2376"/>
      <c r="S72" s="2376"/>
      <c r="T72" s="2376"/>
      <c r="U72" s="2376"/>
      <c r="V72" s="2376"/>
      <c r="W72" s="2376"/>
      <c r="X72" s="2376"/>
      <c r="Y72" s="2376"/>
      <c r="Z72" s="2376"/>
      <c r="AA72" s="2383"/>
      <c r="AB72" s="2383"/>
      <c r="AC72" s="2383"/>
      <c r="AD72" s="2383"/>
      <c r="AE72" s="2383"/>
      <c r="AF72" s="2383"/>
      <c r="AG72" s="2383"/>
      <c r="AH72" s="2383"/>
      <c r="AI72" s="2383"/>
    </row>
    <row r="73" spans="1:35" s="463" customFormat="1" ht="14.25">
      <c r="A73" s="2257" t="s">
        <v>853</v>
      </c>
      <c r="B73" s="2227" t="s">
        <v>867</v>
      </c>
      <c r="C73" s="2303">
        <f ca="1">C74+C78</f>
        <v>758</v>
      </c>
      <c r="D73" s="560" t="s">
        <v>124</v>
      </c>
      <c r="E73" s="1667"/>
      <c r="F73" s="1668"/>
      <c r="G73" s="1668"/>
      <c r="H73" s="2316"/>
      <c r="I73" s="2377"/>
      <c r="J73" s="2376"/>
      <c r="K73" s="2376"/>
      <c r="L73" s="2376"/>
      <c r="M73" s="2376"/>
      <c r="N73" s="2376"/>
      <c r="O73" s="2376"/>
      <c r="P73" s="2376"/>
      <c r="Q73" s="2376"/>
      <c r="R73" s="2376"/>
      <c r="S73" s="2376"/>
      <c r="T73" s="2376"/>
      <c r="U73" s="2376"/>
      <c r="V73" s="2376"/>
      <c r="W73" s="2376"/>
      <c r="X73" s="2376"/>
      <c r="Y73" s="2376"/>
      <c r="Z73" s="2376"/>
      <c r="AA73" s="2383"/>
      <c r="AB73" s="2383"/>
      <c r="AC73" s="2383"/>
      <c r="AD73" s="2383"/>
      <c r="AE73" s="2383"/>
      <c r="AF73" s="2383"/>
      <c r="AG73" s="2383"/>
      <c r="AH73" s="2383"/>
      <c r="AI73" s="2383"/>
    </row>
    <row r="74" spans="1:35" s="463" customFormat="1" ht="24">
      <c r="A74" s="2261" t="s">
        <v>846</v>
      </c>
      <c r="B74" s="560" t="s">
        <v>868</v>
      </c>
      <c r="C74" s="560">
        <f>ROUND(IF(G77="2016年5月1日后购买",C75/(1+'数据-取费表'!C42)+C76+C77,C75+C76+C77),0)</f>
        <v>0</v>
      </c>
      <c r="D74" s="560" t="s">
        <v>124</v>
      </c>
      <c r="E74" s="1667"/>
      <c r="F74" s="1668"/>
      <c r="G74" s="1668"/>
      <c r="H74" s="2316"/>
      <c r="I74" s="2377"/>
      <c r="J74" s="2376"/>
      <c r="K74" s="2376"/>
      <c r="L74" s="2376"/>
      <c r="M74" s="2376"/>
      <c r="N74" s="2376"/>
      <c r="O74" s="2376"/>
      <c r="P74" s="2376"/>
      <c r="Q74" s="2376"/>
      <c r="R74" s="2376"/>
      <c r="S74" s="2376"/>
      <c r="T74" s="2376"/>
      <c r="U74" s="2376"/>
      <c r="V74" s="2376"/>
      <c r="W74" s="2376"/>
      <c r="X74" s="2376"/>
      <c r="Y74" s="2376"/>
      <c r="Z74" s="2376"/>
      <c r="AA74" s="2383"/>
      <c r="AB74" s="2383"/>
      <c r="AC74" s="2383"/>
      <c r="AD74" s="2383"/>
      <c r="AE74" s="2383"/>
      <c r="AF74" s="2383"/>
      <c r="AG74" s="2383"/>
      <c r="AH74" s="2383"/>
      <c r="AI74" s="2383"/>
    </row>
    <row r="75" spans="1:35" s="463" customFormat="1" ht="14.25">
      <c r="A75" s="2261" t="s">
        <v>869</v>
      </c>
      <c r="B75" s="560" t="s">
        <v>870</v>
      </c>
      <c r="C75" s="2317"/>
      <c r="D75" s="560" t="s">
        <v>124</v>
      </c>
      <c r="E75" s="2318" t="s">
        <v>871</v>
      </c>
      <c r="F75" s="2319"/>
      <c r="G75" s="2318" t="s">
        <v>872</v>
      </c>
      <c r="H75" s="2320"/>
      <c r="I75" s="794"/>
      <c r="J75" s="2376"/>
      <c r="K75" s="2376"/>
      <c r="L75" s="2376"/>
      <c r="M75" s="2376"/>
      <c r="N75" s="2376"/>
      <c r="O75" s="2376"/>
      <c r="P75" s="2376"/>
      <c r="Q75" s="2376"/>
      <c r="R75" s="2376"/>
      <c r="S75" s="2376"/>
      <c r="T75" s="2376"/>
      <c r="U75" s="2376"/>
      <c r="V75" s="2376"/>
      <c r="W75" s="2376"/>
      <c r="X75" s="2376"/>
      <c r="Y75" s="2376"/>
      <c r="Z75" s="2376"/>
      <c r="AA75" s="2383"/>
      <c r="AB75" s="2383"/>
      <c r="AC75" s="2383"/>
      <c r="AD75" s="2383"/>
      <c r="AE75" s="2383"/>
      <c r="AF75" s="2383"/>
      <c r="AG75" s="2383"/>
      <c r="AH75" s="2383"/>
      <c r="AI75" s="2383"/>
    </row>
    <row r="76" spans="1:35" s="463" customFormat="1" ht="24.75" customHeight="1">
      <c r="A76" s="2261" t="s">
        <v>873</v>
      </c>
      <c r="B76" s="2321" t="s">
        <v>874</v>
      </c>
      <c r="C76" s="560">
        <f>IF(F75="购房发票",ROUND(C75*H75*D76,0),0)</f>
        <v>0</v>
      </c>
      <c r="D76" s="2322">
        <v>0.05</v>
      </c>
      <c r="E76" s="3245" t="s">
        <v>875</v>
      </c>
      <c r="F76" s="3242"/>
      <c r="G76" s="3242"/>
      <c r="H76" s="3286"/>
      <c r="I76" s="2377"/>
      <c r="J76" s="2376"/>
      <c r="K76" s="3086">
        <f>工程进度!G20+工程进度!H20</f>
        <v>58697.66</v>
      </c>
      <c r="L76" s="2378" t="s">
        <v>876</v>
      </c>
      <c r="M76" s="2376">
        <v>15056</v>
      </c>
      <c r="N76" s="2376"/>
      <c r="O76" s="2376"/>
      <c r="P76" s="2376"/>
      <c r="Q76" s="2376"/>
      <c r="R76" s="2376"/>
      <c r="S76" s="2376"/>
      <c r="T76" s="2376"/>
      <c r="U76" s="2376"/>
      <c r="V76" s="2376"/>
      <c r="W76" s="2376"/>
      <c r="X76" s="2376"/>
      <c r="Y76" s="2376"/>
      <c r="Z76" s="2376"/>
      <c r="AA76" s="2383"/>
      <c r="AB76" s="2383"/>
      <c r="AC76" s="2383"/>
      <c r="AD76" s="2383"/>
      <c r="AE76" s="2383"/>
      <c r="AF76" s="2383"/>
      <c r="AG76" s="2383"/>
      <c r="AH76" s="2383"/>
      <c r="AI76" s="2383"/>
    </row>
    <row r="77" spans="1:35" s="463" customFormat="1" ht="24.75" customHeight="1">
      <c r="A77" s="2261" t="s">
        <v>877</v>
      </c>
      <c r="B77" s="560" t="s">
        <v>878</v>
      </c>
      <c r="C77" s="560">
        <f>ROUND(IF(G77="个人住宅",0,IF(G77="2016年5月1日前购买",C75*D77,C75*D77/(1+'数据-取费表'!C42))),0)</f>
        <v>0</v>
      </c>
      <c r="D77" s="2324">
        <f>'数据-取费表'!B48+'数据-取费表'!B49</f>
        <v>3.0499999999999999E-2</v>
      </c>
      <c r="E77" s="1785" t="s">
        <v>879</v>
      </c>
      <c r="F77" s="2325"/>
      <c r="G77" s="2326"/>
      <c r="H77" s="2323" t="str">
        <f>IF(G77="个人买卖住房","免征印花税"," ")</f>
        <v/>
      </c>
      <c r="I77" s="2377"/>
      <c r="J77" s="2376"/>
      <c r="K77" s="2376">
        <v>0</v>
      </c>
      <c r="L77" s="2378" t="s">
        <v>880</v>
      </c>
      <c r="M77" s="2376">
        <f>M76*0.2*0.25</f>
        <v>752.8</v>
      </c>
      <c r="N77" s="2378" t="s">
        <v>464</v>
      </c>
      <c r="O77" s="2376"/>
      <c r="P77" s="2376"/>
      <c r="Q77" s="2376"/>
      <c r="R77" s="2376"/>
      <c r="S77" s="2376"/>
      <c r="T77" s="2376"/>
      <c r="U77" s="2376"/>
      <c r="V77" s="2376"/>
      <c r="W77" s="2376"/>
      <c r="X77" s="2376"/>
      <c r="Y77" s="2376"/>
      <c r="Z77" s="2376"/>
      <c r="AA77" s="2383"/>
      <c r="AB77" s="2383"/>
      <c r="AC77" s="2383"/>
      <c r="AD77" s="2383"/>
      <c r="AE77" s="2383"/>
      <c r="AF77" s="2383"/>
      <c r="AG77" s="2383"/>
      <c r="AH77" s="2383"/>
      <c r="AI77" s="2383"/>
    </row>
    <row r="78" spans="1:35" s="463" customFormat="1" ht="24.75" customHeight="1">
      <c r="A78" s="2261" t="s">
        <v>850</v>
      </c>
      <c r="B78" s="560" t="s">
        <v>881</v>
      </c>
      <c r="C78" s="2327">
        <f ca="1">ROUND(D45*D78/(1+'数据-取费表'!C42),0)</f>
        <v>758</v>
      </c>
      <c r="D78" s="2328">
        <f>'数据-取费表'!B43</f>
        <v>5.0000000000000001E-3</v>
      </c>
      <c r="E78" s="3287" t="s">
        <v>882</v>
      </c>
      <c r="F78" s="3288"/>
      <c r="G78" s="3288"/>
      <c r="H78" s="3289"/>
      <c r="I78" s="2379"/>
      <c r="J78" s="2376"/>
      <c r="K78" s="3086">
        <f>工程进度!J20</f>
        <v>13611.27</v>
      </c>
      <c r="L78" s="2376"/>
      <c r="M78" s="2376">
        <f>M76*0.15*0.25</f>
        <v>564.6</v>
      </c>
      <c r="N78" s="2378" t="s">
        <v>465</v>
      </c>
      <c r="O78" s="2376"/>
      <c r="P78" s="2376"/>
      <c r="Q78" s="2376"/>
      <c r="R78" s="2376"/>
      <c r="S78" s="2376"/>
      <c r="T78" s="2376"/>
      <c r="U78" s="2376"/>
      <c r="V78" s="2376"/>
      <c r="W78" s="2376"/>
      <c r="X78" s="2376"/>
      <c r="Y78" s="2376"/>
      <c r="Z78" s="2376"/>
      <c r="AA78" s="2383"/>
      <c r="AB78" s="2383"/>
      <c r="AC78" s="2383"/>
      <c r="AD78" s="2383"/>
      <c r="AE78" s="2383"/>
      <c r="AF78" s="2383"/>
      <c r="AG78" s="2383"/>
      <c r="AH78" s="2383"/>
      <c r="AI78" s="2383"/>
    </row>
    <row r="79" spans="1:35" s="463" customFormat="1" ht="14.25">
      <c r="A79" s="2257" t="s">
        <v>858</v>
      </c>
      <c r="B79" s="2300" t="s">
        <v>883</v>
      </c>
      <c r="C79" s="2303">
        <f ca="1">C72-C73</f>
        <v>150807</v>
      </c>
      <c r="D79" s="560" t="s">
        <v>124</v>
      </c>
      <c r="E79" s="1667"/>
      <c r="F79" s="1668"/>
      <c r="G79" s="1668"/>
      <c r="H79" s="2316"/>
      <c r="I79" s="2377"/>
      <c r="J79" s="2376"/>
      <c r="K79" s="3086">
        <f>K76+K77+K78</f>
        <v>72308.930000000008</v>
      </c>
      <c r="L79" s="2376"/>
      <c r="M79" s="2376"/>
      <c r="N79" s="2376"/>
      <c r="O79" s="2376"/>
      <c r="P79" s="2376"/>
      <c r="Q79" s="2376"/>
      <c r="R79" s="2376"/>
      <c r="S79" s="2376"/>
      <c r="T79" s="2376"/>
      <c r="U79" s="2376"/>
      <c r="V79" s="2376"/>
      <c r="W79" s="2376"/>
      <c r="X79" s="2376"/>
      <c r="Y79" s="2376"/>
      <c r="Z79" s="2376"/>
      <c r="AA79" s="2383"/>
      <c r="AB79" s="2383"/>
      <c r="AC79" s="2383"/>
      <c r="AD79" s="2383"/>
      <c r="AE79" s="2383"/>
      <c r="AF79" s="2383"/>
      <c r="AG79" s="2383"/>
      <c r="AH79" s="2383"/>
      <c r="AI79" s="2383"/>
    </row>
    <row r="80" spans="1:35" s="463" customFormat="1" ht="24">
      <c r="A80" s="2257" t="s">
        <v>861</v>
      </c>
      <c r="B80" s="2300" t="s">
        <v>884</v>
      </c>
      <c r="C80" s="2332">
        <f ca="1">IF(C79&lt;=0,0,C79/C73)</f>
        <v>198.9538258575198</v>
      </c>
      <c r="D80" s="560" t="s">
        <v>124</v>
      </c>
      <c r="E80" s="1785" t="str">
        <f ca="1">IF(C80&gt;=200%,"增值额超过扣除项目金额200%",IF(C80&gt;=100%,"增值额超过扣除项目金额100%，未超过200%",IF(C80&gt;=50%,"增值额超过扣除项目金额50%，未超过100%",IF(C80&lt;50%,"增值额未超过扣除项目金额50%"))))</f>
        <v>增值额超过扣除项目金额200%</v>
      </c>
      <c r="F80" s="1668"/>
      <c r="G80" s="1668"/>
      <c r="H80" s="2316"/>
      <c r="I80" s="2377"/>
      <c r="J80" s="2376"/>
      <c r="K80" s="2376"/>
      <c r="L80" s="2376"/>
      <c r="M80" s="2376"/>
      <c r="N80" s="2376"/>
      <c r="O80" s="2376"/>
      <c r="P80" s="2376"/>
      <c r="Q80" s="2376"/>
      <c r="R80" s="2376"/>
      <c r="S80" s="2376"/>
      <c r="T80" s="2376"/>
      <c r="U80" s="2376"/>
      <c r="V80" s="2376"/>
      <c r="W80" s="2376"/>
      <c r="X80" s="2376"/>
      <c r="Y80" s="2376"/>
      <c r="Z80" s="2376"/>
      <c r="AA80" s="2383"/>
      <c r="AB80" s="2383"/>
      <c r="AC80" s="2383"/>
      <c r="AD80" s="2383"/>
      <c r="AE80" s="2383"/>
      <c r="AF80" s="2383"/>
      <c r="AG80" s="2383"/>
      <c r="AH80" s="2383"/>
      <c r="AI80" s="2383"/>
    </row>
    <row r="81" spans="1:35" s="463" customFormat="1" ht="24">
      <c r="A81" s="2304" t="s">
        <v>885</v>
      </c>
      <c r="B81" s="2305" t="s">
        <v>886</v>
      </c>
      <c r="C81" s="2333">
        <f ca="1">ROUND(IF(C79&lt;=0,0,IF(C80&gt;=200%,C79*60%-C73*35%,IF(C80&gt;=100%,C79*50%-C73*15%,IF(C80&gt;=50%,C79*40%-C73*5%,IF(C80&lt;50%,C79*30%,0))))),0)</f>
        <v>90219</v>
      </c>
      <c r="D81" s="2334" t="s">
        <v>124</v>
      </c>
      <c r="E81" s="23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6"/>
      <c r="G81" s="2336"/>
      <c r="H81" s="2337"/>
      <c r="I81" s="2377"/>
      <c r="J81" s="2376"/>
      <c r="K81" s="2376"/>
      <c r="L81" s="2376"/>
      <c r="M81" s="2376"/>
      <c r="N81" s="2376"/>
      <c r="O81" s="2376"/>
      <c r="P81" s="2376"/>
      <c r="Q81" s="2376"/>
      <c r="R81" s="2376"/>
      <c r="S81" s="2376"/>
      <c r="T81" s="2376"/>
      <c r="U81" s="2376"/>
      <c r="V81" s="2376"/>
      <c r="W81" s="2376"/>
      <c r="X81" s="2376"/>
      <c r="Y81" s="2376"/>
      <c r="Z81" s="2376"/>
      <c r="AA81" s="2383"/>
      <c r="AB81" s="2383"/>
      <c r="AC81" s="2383"/>
      <c r="AD81" s="2383"/>
      <c r="AE81" s="2383"/>
      <c r="AF81" s="2383"/>
      <c r="AG81" s="2383"/>
      <c r="AH81" s="2383"/>
      <c r="AI81" s="2383"/>
    </row>
    <row r="82" spans="1:35" s="463" customFormat="1" ht="7.5" customHeight="1">
      <c r="A82" s="465"/>
      <c r="B82" s="2338"/>
      <c r="C82" s="465"/>
      <c r="D82" s="465"/>
      <c r="E82" s="2338"/>
      <c r="F82" s="2338"/>
      <c r="G82" s="2338"/>
      <c r="H82" s="2339"/>
      <c r="I82" s="2379"/>
      <c r="J82" s="2376"/>
      <c r="K82" s="2376"/>
      <c r="L82" s="2376"/>
      <c r="M82" s="2376"/>
      <c r="N82" s="2376"/>
      <c r="O82" s="2376"/>
      <c r="P82" s="2376"/>
      <c r="Q82" s="2376"/>
      <c r="R82" s="2376"/>
      <c r="S82" s="2376"/>
      <c r="T82" s="2376"/>
      <c r="U82" s="2376"/>
      <c r="V82" s="2376"/>
      <c r="W82" s="2376"/>
      <c r="X82" s="2376"/>
      <c r="Y82" s="2376"/>
      <c r="Z82" s="2376"/>
      <c r="AA82" s="2383"/>
      <c r="AB82" s="2383"/>
      <c r="AC82" s="2383"/>
      <c r="AD82" s="2383"/>
      <c r="AE82" s="2383"/>
      <c r="AF82" s="2383"/>
      <c r="AG82" s="2383"/>
      <c r="AH82" s="2383"/>
      <c r="AI82" s="2383"/>
    </row>
    <row r="83" spans="1:35" s="463" customFormat="1" ht="14.25">
      <c r="A83" s="3284" t="s">
        <v>887</v>
      </c>
      <c r="B83" s="3285"/>
      <c r="C83" s="3285"/>
      <c r="D83" s="3285"/>
      <c r="E83" s="3285"/>
      <c r="F83" s="3285"/>
      <c r="G83" s="3285"/>
      <c r="H83" s="3285"/>
      <c r="I83" s="794"/>
      <c r="J83" s="2376"/>
      <c r="K83" s="2376"/>
      <c r="L83" s="2376"/>
      <c r="M83" s="2376"/>
      <c r="N83" s="2376"/>
      <c r="O83" s="2376"/>
      <c r="P83" s="2376"/>
      <c r="Q83" s="2376"/>
      <c r="R83" s="2376"/>
      <c r="S83" s="2376"/>
      <c r="T83" s="2376"/>
      <c r="U83" s="2376"/>
      <c r="V83" s="2376"/>
      <c r="W83" s="2376"/>
      <c r="X83" s="2376"/>
      <c r="Y83" s="2376"/>
      <c r="Z83" s="2376"/>
      <c r="AA83" s="2383"/>
      <c r="AB83" s="2383"/>
      <c r="AC83" s="2383"/>
      <c r="AD83" s="2383"/>
      <c r="AE83" s="2383"/>
      <c r="AF83" s="2383"/>
      <c r="AG83" s="2383"/>
      <c r="AH83" s="2383"/>
      <c r="AI83" s="2383"/>
    </row>
    <row r="84" spans="1:35" s="463" customFormat="1" ht="14.25">
      <c r="A84" s="3257" t="s">
        <v>840</v>
      </c>
      <c r="B84" s="3258"/>
      <c r="C84" s="578"/>
      <c r="D84" s="578" t="s">
        <v>841</v>
      </c>
      <c r="E84" s="2313" t="s">
        <v>791</v>
      </c>
      <c r="F84" s="2314"/>
      <c r="G84" s="2314"/>
      <c r="H84" s="2340"/>
      <c r="I84" s="794"/>
      <c r="J84" s="2376"/>
      <c r="K84" s="2376"/>
      <c r="L84" s="2376"/>
      <c r="M84" s="2376"/>
      <c r="N84" s="2376"/>
      <c r="O84" s="2376"/>
      <c r="P84" s="2376"/>
      <c r="Q84" s="2376"/>
      <c r="R84" s="2376"/>
      <c r="S84" s="2376"/>
      <c r="T84" s="2376"/>
      <c r="U84" s="2376"/>
      <c r="V84" s="2376"/>
      <c r="W84" s="2376"/>
      <c r="X84" s="2376"/>
      <c r="Y84" s="2376"/>
      <c r="Z84" s="2376"/>
      <c r="AA84" s="2383"/>
      <c r="AB84" s="2383"/>
      <c r="AC84" s="2383"/>
      <c r="AD84" s="2383"/>
      <c r="AE84" s="2383"/>
      <c r="AF84" s="2383"/>
      <c r="AG84" s="2383"/>
      <c r="AH84" s="2383"/>
      <c r="AI84" s="2383"/>
    </row>
    <row r="85" spans="1:35" s="463" customFormat="1" ht="14.25">
      <c r="A85" s="2257" t="s">
        <v>842</v>
      </c>
      <c r="B85" s="2300" t="s">
        <v>866</v>
      </c>
      <c r="C85" s="2303">
        <f ca="1">ROUND(D45/(1+'数据-取费表'!C42),0)</f>
        <v>151565</v>
      </c>
      <c r="D85" s="560" t="s">
        <v>124</v>
      </c>
      <c r="E85" s="1667"/>
      <c r="F85" s="1668"/>
      <c r="G85" s="1668"/>
      <c r="H85" s="2341"/>
      <c r="I85" s="794"/>
      <c r="J85" s="2376"/>
      <c r="K85" s="2376"/>
      <c r="L85" s="2376"/>
      <c r="M85" s="2376"/>
      <c r="N85" s="2376"/>
      <c r="O85" s="2376"/>
      <c r="P85" s="2376"/>
      <c r="Q85" s="2376"/>
      <c r="R85" s="2376"/>
      <c r="S85" s="2376"/>
      <c r="T85" s="2376"/>
      <c r="U85" s="2376"/>
      <c r="V85" s="2376"/>
      <c r="W85" s="2376"/>
      <c r="X85" s="2376"/>
      <c r="Y85" s="2376"/>
      <c r="Z85" s="2376"/>
      <c r="AA85" s="2383"/>
      <c r="AB85" s="2383"/>
      <c r="AC85" s="2383"/>
      <c r="AD85" s="2383"/>
      <c r="AE85" s="2383"/>
      <c r="AF85" s="2383"/>
      <c r="AG85" s="2383"/>
      <c r="AH85" s="2383"/>
      <c r="AI85" s="2383"/>
    </row>
    <row r="86" spans="1:35" s="463" customFormat="1" ht="14.25">
      <c r="A86" s="2257" t="s">
        <v>853</v>
      </c>
      <c r="B86" s="2227" t="s">
        <v>867</v>
      </c>
      <c r="C86" s="2303">
        <f ca="1">IF(H88="仅含出让金",C87+C90+C91+C92+C93+C94,C87+C91+C92+C93+C94)</f>
        <v>153080.12549999999</v>
      </c>
      <c r="D86" s="2342"/>
      <c r="E86" s="1667"/>
      <c r="F86" s="1668"/>
      <c r="G86" s="1668"/>
      <c r="H86" s="2341"/>
      <c r="I86" s="794"/>
      <c r="J86" s="2376"/>
      <c r="K86" s="2376"/>
      <c r="L86" s="2376"/>
      <c r="M86" s="2376"/>
      <c r="N86" s="2376"/>
      <c r="O86" s="2376"/>
      <c r="P86" s="2376"/>
      <c r="Q86" s="2376"/>
      <c r="R86" s="2376"/>
      <c r="S86" s="2376"/>
      <c r="T86" s="2376"/>
      <c r="U86" s="2376"/>
      <c r="V86" s="2376"/>
      <c r="W86" s="2376"/>
      <c r="X86" s="2376"/>
      <c r="Y86" s="2376"/>
      <c r="Z86" s="2376"/>
      <c r="AA86" s="2383"/>
      <c r="AB86" s="2383"/>
      <c r="AC86" s="2383"/>
      <c r="AD86" s="2383"/>
      <c r="AE86" s="2383"/>
      <c r="AF86" s="2383"/>
      <c r="AG86" s="2383"/>
      <c r="AH86" s="2383"/>
      <c r="AI86" s="2383"/>
    </row>
    <row r="87" spans="1:35" s="463" customFormat="1" ht="14.25">
      <c r="A87" s="2261" t="s">
        <v>846</v>
      </c>
      <c r="B87" s="560" t="s">
        <v>888</v>
      </c>
      <c r="C87" s="2327">
        <f>C88+C89</f>
        <v>91863</v>
      </c>
      <c r="D87" s="2328"/>
      <c r="E87" s="2329"/>
      <c r="F87" s="2330"/>
      <c r="G87" s="2330"/>
      <c r="H87" s="2331"/>
      <c r="I87" s="794"/>
      <c r="J87" s="2376"/>
      <c r="K87" s="2376"/>
      <c r="L87" s="2376"/>
      <c r="M87" s="2376"/>
      <c r="N87" s="2376"/>
      <c r="O87" s="2376"/>
      <c r="P87" s="2376"/>
      <c r="Q87" s="2376"/>
      <c r="R87" s="2376"/>
      <c r="S87" s="2376"/>
      <c r="T87" s="2376"/>
      <c r="U87" s="2376"/>
      <c r="V87" s="2376"/>
      <c r="W87" s="2376"/>
      <c r="X87" s="2376"/>
      <c r="Y87" s="2376"/>
      <c r="Z87" s="2376"/>
      <c r="AA87" s="2383"/>
      <c r="AB87" s="2383"/>
      <c r="AC87" s="2383"/>
      <c r="AD87" s="2383"/>
      <c r="AE87" s="2383"/>
      <c r="AF87" s="2383"/>
      <c r="AG87" s="2383"/>
      <c r="AH87" s="2383"/>
      <c r="AI87" s="2383"/>
    </row>
    <row r="88" spans="1:35" s="463" customFormat="1" ht="14.25">
      <c r="A88" s="2261" t="s">
        <v>869</v>
      </c>
      <c r="B88" s="560" t="s">
        <v>889</v>
      </c>
      <c r="C88" s="2343">
        <f>ROUND((M76*K76+M77*K77+M78*K78)/10000,0)</f>
        <v>89144</v>
      </c>
      <c r="D88" s="2328"/>
      <c r="E88" s="2344" t="s">
        <v>890</v>
      </c>
      <c r="F88" s="2330"/>
      <c r="G88" s="2345" t="s">
        <v>891</v>
      </c>
      <c r="H88" s="2346" t="s">
        <v>892</v>
      </c>
      <c r="I88" s="794"/>
      <c r="J88" s="2380" t="s">
        <v>893</v>
      </c>
      <c r="K88" s="2376"/>
      <c r="L88" s="2376"/>
      <c r="M88" s="2376"/>
      <c r="N88" s="2376"/>
      <c r="O88" s="2376"/>
      <c r="P88" s="2376"/>
      <c r="Q88" s="2376"/>
      <c r="R88" s="2376"/>
      <c r="S88" s="2376"/>
      <c r="T88" s="2376"/>
      <c r="U88" s="2376"/>
      <c r="V88" s="2376"/>
      <c r="W88" s="2376"/>
      <c r="X88" s="2376"/>
      <c r="Y88" s="2376"/>
      <c r="Z88" s="2376"/>
      <c r="AA88" s="2383"/>
      <c r="AB88" s="2383"/>
      <c r="AC88" s="2383"/>
      <c r="AD88" s="2383"/>
      <c r="AE88" s="2383"/>
      <c r="AF88" s="2383"/>
      <c r="AG88" s="2383"/>
      <c r="AH88" s="2383"/>
      <c r="AI88" s="2383"/>
    </row>
    <row r="89" spans="1:35" s="463" customFormat="1" ht="14.25">
      <c r="A89" s="2261" t="s">
        <v>873</v>
      </c>
      <c r="B89" s="560" t="s">
        <v>878</v>
      </c>
      <c r="C89" s="2327">
        <f>ROUND(C88*D89,0)</f>
        <v>2719</v>
      </c>
      <c r="D89" s="2328">
        <f>'数据-取费表'!B48+'数据-取费表'!B49</f>
        <v>3.0499999999999999E-2</v>
      </c>
      <c r="E89" s="2344" t="s">
        <v>894</v>
      </c>
      <c r="F89" s="2330"/>
      <c r="G89" s="2330"/>
      <c r="H89" s="2331"/>
      <c r="I89" s="794"/>
      <c r="J89" s="2376"/>
      <c r="K89" s="2376"/>
      <c r="L89" s="2376"/>
      <c r="M89" s="2376"/>
      <c r="N89" s="2376"/>
      <c r="O89" s="2376"/>
      <c r="P89" s="2376"/>
      <c r="Q89" s="2376"/>
      <c r="R89" s="2376"/>
      <c r="S89" s="2376"/>
      <c r="T89" s="2376"/>
      <c r="U89" s="2376"/>
      <c r="V89" s="2376"/>
      <c r="W89" s="2376"/>
      <c r="X89" s="2376"/>
      <c r="Y89" s="2376"/>
      <c r="Z89" s="2376"/>
      <c r="AA89" s="2383"/>
      <c r="AB89" s="2383"/>
      <c r="AC89" s="2383"/>
      <c r="AD89" s="2383"/>
      <c r="AE89" s="2383"/>
      <c r="AF89" s="2383"/>
      <c r="AG89" s="2383"/>
      <c r="AH89" s="2383"/>
      <c r="AI89" s="2383"/>
    </row>
    <row r="90" spans="1:35" s="463" customFormat="1" ht="14.25">
      <c r="A90" s="2261" t="s">
        <v>850</v>
      </c>
      <c r="B90" s="560" t="s">
        <v>895</v>
      </c>
      <c r="C90" s="2343"/>
      <c r="D90" s="2328"/>
      <c r="E90" s="2344" t="str">
        <f>IF(H88="-","土地取得成本中已包含该笔费用"," ")</f>
        <v/>
      </c>
      <c r="F90" s="2330"/>
      <c r="G90" s="3296" t="s">
        <v>896</v>
      </c>
      <c r="H90" s="3297"/>
      <c r="I90" s="794"/>
      <c r="J90" s="2380" t="s">
        <v>897</v>
      </c>
      <c r="K90" s="2376"/>
      <c r="L90" s="2376"/>
      <c r="M90" s="2376"/>
      <c r="N90" s="2376"/>
      <c r="O90" s="2376"/>
      <c r="P90" s="2376"/>
      <c r="Q90" s="2376"/>
      <c r="R90" s="2376"/>
      <c r="S90" s="2376"/>
      <c r="T90" s="2376"/>
      <c r="U90" s="2376"/>
      <c r="V90" s="2376"/>
      <c r="W90" s="2376"/>
      <c r="X90" s="2376"/>
      <c r="Y90" s="2376"/>
      <c r="Z90" s="2376"/>
      <c r="AA90" s="2383"/>
      <c r="AB90" s="2383"/>
      <c r="AC90" s="2383"/>
      <c r="AD90" s="2383"/>
      <c r="AE90" s="2383"/>
      <c r="AF90" s="2383"/>
      <c r="AG90" s="2383"/>
      <c r="AH90" s="2383"/>
      <c r="AI90" s="2383"/>
    </row>
    <row r="91" spans="1:35" s="463" customFormat="1" ht="27.75" customHeight="1">
      <c r="A91" s="2261" t="s">
        <v>898</v>
      </c>
      <c r="B91" s="560" t="s">
        <v>899</v>
      </c>
      <c r="C91" s="2327">
        <f>IF(H91="——",成本法!C33,I91)</f>
        <v>25308.125499999998</v>
      </c>
      <c r="D91" s="2328"/>
      <c r="E91" s="3287" t="s">
        <v>900</v>
      </c>
      <c r="F91" s="3288"/>
      <c r="G91" s="3288"/>
      <c r="H91" s="2347" t="s">
        <v>3032</v>
      </c>
      <c r="I91" s="3087">
        <f>(3500*结果表!K76+3500*结果表!K78)/10000</f>
        <v>25308.125499999998</v>
      </c>
      <c r="J91" s="2376"/>
      <c r="K91" s="2376"/>
      <c r="L91" s="2376"/>
      <c r="M91" s="2376"/>
      <c r="N91" s="2376"/>
      <c r="O91" s="2376"/>
      <c r="P91" s="2376"/>
      <c r="Q91" s="2376"/>
      <c r="R91" s="2376"/>
      <c r="S91" s="2376"/>
      <c r="T91" s="2376"/>
      <c r="U91" s="2376"/>
      <c r="V91" s="2376"/>
      <c r="W91" s="2376"/>
      <c r="X91" s="2376"/>
      <c r="Y91" s="2376"/>
      <c r="Z91" s="2376"/>
      <c r="AA91" s="2383"/>
      <c r="AB91" s="2383"/>
      <c r="AC91" s="2383"/>
      <c r="AD91" s="2383"/>
      <c r="AE91" s="2383"/>
      <c r="AF91" s="2383"/>
      <c r="AG91" s="2383"/>
      <c r="AH91" s="2383"/>
      <c r="AI91" s="2383"/>
    </row>
    <row r="92" spans="1:35" s="463" customFormat="1" ht="25.5" customHeight="1">
      <c r="A92" s="2261" t="s">
        <v>901</v>
      </c>
      <c r="B92" s="560" t="s">
        <v>902</v>
      </c>
      <c r="C92" s="2327">
        <f>ROUND((C87+C90+C91)*D92,0)</f>
        <v>11717</v>
      </c>
      <c r="D92" s="2348">
        <v>0.1</v>
      </c>
      <c r="E92" s="3287" t="s">
        <v>903</v>
      </c>
      <c r="F92" s="3288"/>
      <c r="G92" s="3288"/>
      <c r="H92" s="3289"/>
      <c r="I92" s="794"/>
      <c r="J92" s="2382" t="s">
        <v>904</v>
      </c>
      <c r="K92" s="2376"/>
      <c r="L92" s="2376"/>
      <c r="M92" s="2376"/>
      <c r="N92" s="2376"/>
      <c r="O92" s="2376"/>
      <c r="P92" s="2376"/>
      <c r="Q92" s="2376"/>
      <c r="R92" s="2376"/>
      <c r="S92" s="2376"/>
      <c r="T92" s="2376"/>
      <c r="U92" s="2376"/>
      <c r="V92" s="2376"/>
      <c r="W92" s="2376"/>
      <c r="X92" s="2376"/>
      <c r="Y92" s="2376"/>
      <c r="Z92" s="2376"/>
      <c r="AA92" s="2383"/>
      <c r="AB92" s="2383"/>
      <c r="AC92" s="2383"/>
      <c r="AD92" s="2383"/>
      <c r="AE92" s="2383"/>
      <c r="AF92" s="2383"/>
      <c r="AG92" s="2383"/>
      <c r="AH92" s="2383"/>
      <c r="AI92" s="2383"/>
    </row>
    <row r="93" spans="1:35" s="463" customFormat="1" ht="25.5" customHeight="1">
      <c r="A93" s="2261" t="s">
        <v>905</v>
      </c>
      <c r="B93" s="560" t="s">
        <v>881</v>
      </c>
      <c r="C93" s="2327">
        <f ca="1">ROUND(D45*D93/(1+'数据-取费表'!C42),0)</f>
        <v>758</v>
      </c>
      <c r="D93" s="2328">
        <f>'数据-取费表'!B43</f>
        <v>5.0000000000000001E-3</v>
      </c>
      <c r="E93" s="3287" t="s">
        <v>882</v>
      </c>
      <c r="F93" s="3288"/>
      <c r="G93" s="3288"/>
      <c r="H93" s="3289"/>
      <c r="I93" s="794"/>
      <c r="J93" s="2376"/>
      <c r="K93" s="2376"/>
      <c r="L93" s="2376"/>
      <c r="M93" s="2376"/>
      <c r="N93" s="2376"/>
      <c r="O93" s="2376"/>
      <c r="P93" s="2376"/>
      <c r="Q93" s="2376"/>
      <c r="R93" s="2376"/>
      <c r="S93" s="2376"/>
      <c r="T93" s="2376"/>
      <c r="U93" s="2376"/>
      <c r="V93" s="2376"/>
      <c r="W93" s="2376"/>
      <c r="X93" s="2376"/>
      <c r="Y93" s="2376"/>
      <c r="Z93" s="2376"/>
      <c r="AA93" s="2383"/>
      <c r="AB93" s="2383"/>
      <c r="AC93" s="2383"/>
      <c r="AD93" s="2383"/>
      <c r="AE93" s="2383"/>
      <c r="AF93" s="2383"/>
      <c r="AG93" s="2383"/>
      <c r="AH93" s="2383"/>
      <c r="AI93" s="2383"/>
    </row>
    <row r="94" spans="1:35" s="463" customFormat="1" ht="36.75" customHeight="1">
      <c r="A94" s="2261" t="s">
        <v>906</v>
      </c>
      <c r="B94" s="560" t="s">
        <v>907</v>
      </c>
      <c r="C94" s="2343">
        <f>ROUND((C87+C90+C91)*D94,0)</f>
        <v>23434</v>
      </c>
      <c r="D94" s="2328">
        <v>0.2</v>
      </c>
      <c r="E94" s="3309" t="s">
        <v>908</v>
      </c>
      <c r="F94" s="3310"/>
      <c r="G94" s="3310"/>
      <c r="H94" s="3311"/>
      <c r="I94" s="794"/>
      <c r="J94" s="2376"/>
      <c r="K94" s="2376"/>
      <c r="L94" s="2376"/>
      <c r="M94" s="2376"/>
      <c r="N94" s="2376"/>
      <c r="O94" s="2376"/>
      <c r="P94" s="2376"/>
      <c r="Q94" s="2376"/>
      <c r="R94" s="2376"/>
      <c r="S94" s="2376"/>
      <c r="T94" s="2376"/>
      <c r="U94" s="2376"/>
      <c r="V94" s="2376"/>
      <c r="W94" s="2376"/>
      <c r="X94" s="2376"/>
      <c r="Y94" s="2376"/>
      <c r="Z94" s="2376"/>
      <c r="AA94" s="2383"/>
      <c r="AB94" s="2383"/>
      <c r="AC94" s="2383"/>
      <c r="AD94" s="2383"/>
      <c r="AE94" s="2383"/>
      <c r="AF94" s="2383"/>
      <c r="AG94" s="2383"/>
      <c r="AH94" s="2383"/>
      <c r="AI94" s="2383"/>
    </row>
    <row r="95" spans="1:35" s="463" customFormat="1" ht="14.25">
      <c r="A95" s="2257" t="s">
        <v>858</v>
      </c>
      <c r="B95" s="2300" t="s">
        <v>883</v>
      </c>
      <c r="C95" s="2303">
        <f ca="1">ROUND(C85-C86,0)</f>
        <v>-1515</v>
      </c>
      <c r="D95" s="560" t="s">
        <v>124</v>
      </c>
      <c r="E95" s="1667"/>
      <c r="F95" s="1668"/>
      <c r="G95" s="1668"/>
      <c r="H95" s="2341"/>
      <c r="I95" s="794"/>
      <c r="J95" s="2376"/>
      <c r="K95" s="2376"/>
      <c r="L95" s="2376"/>
      <c r="M95" s="2376"/>
      <c r="N95" s="2376"/>
      <c r="O95" s="2376"/>
      <c r="P95" s="2376"/>
      <c r="Q95" s="2376"/>
      <c r="R95" s="2376"/>
      <c r="S95" s="2376"/>
      <c r="T95" s="2376"/>
      <c r="U95" s="2376"/>
      <c r="V95" s="2376"/>
      <c r="W95" s="2376"/>
      <c r="X95" s="2376"/>
      <c r="Y95" s="2376"/>
      <c r="Z95" s="2376"/>
      <c r="AA95" s="2383"/>
      <c r="AB95" s="2383"/>
      <c r="AC95" s="2383"/>
      <c r="AD95" s="2383"/>
      <c r="AE95" s="2383"/>
      <c r="AF95" s="2383"/>
      <c r="AG95" s="2383"/>
      <c r="AH95" s="2383"/>
      <c r="AI95" s="2383"/>
    </row>
    <row r="96" spans="1:35" s="463" customFormat="1" ht="24">
      <c r="A96" s="2257" t="s">
        <v>861</v>
      </c>
      <c r="B96" s="2300" t="s">
        <v>884</v>
      </c>
      <c r="C96" s="2332">
        <f ca="1">IF(C95&lt;=0,0,C95/C86)</f>
        <v>0</v>
      </c>
      <c r="D96" s="560" t="s">
        <v>124</v>
      </c>
      <c r="E96" s="1785" t="str">
        <f ca="1">IF(C96&gt;=200%,"增值额超过扣除项目金额200%",IF(C96&gt;=100%,"增值额超过扣除项目金额100%，未超过200%",IF(C96&gt;=50%,"增值额超过扣除项目金额50%，未超过100%",IF(C96&lt;50%,"增值额未超过扣除项目金额50%"))))</f>
        <v>增值额未超过扣除项目金额50%</v>
      </c>
      <c r="F96" s="1668"/>
      <c r="G96" s="1668"/>
      <c r="H96" s="2341"/>
      <c r="I96" s="794"/>
      <c r="J96" s="2376"/>
      <c r="K96" s="2376"/>
      <c r="L96" s="2376"/>
      <c r="M96" s="2376"/>
      <c r="N96" s="2376"/>
      <c r="O96" s="2376"/>
      <c r="P96" s="2376"/>
      <c r="Q96" s="2376"/>
      <c r="R96" s="2376"/>
      <c r="S96" s="2376"/>
      <c r="T96" s="2376"/>
      <c r="U96" s="2376"/>
      <c r="V96" s="2376"/>
      <c r="W96" s="2376"/>
      <c r="X96" s="2376"/>
      <c r="Y96" s="2376"/>
      <c r="Z96" s="2376"/>
      <c r="AA96" s="2383"/>
      <c r="AB96" s="2383"/>
      <c r="AC96" s="2383"/>
      <c r="AD96" s="2383"/>
      <c r="AE96" s="2383"/>
      <c r="AF96" s="2383"/>
      <c r="AG96" s="2383"/>
      <c r="AH96" s="2383"/>
      <c r="AI96" s="2383"/>
    </row>
    <row r="97" spans="1:35" s="463" customFormat="1" ht="24">
      <c r="A97" s="2304" t="s">
        <v>885</v>
      </c>
      <c r="B97" s="2305" t="s">
        <v>886</v>
      </c>
      <c r="C97" s="2333">
        <f ca="1">ROUND(IF(C95&lt;=0,0,IF(C96&gt;=200%,C95*60%-C86*35%,IF(C96&gt;=100%,C95*50%-C86*15%,IF(C96&gt;=50%,C95*40%-C86*5%,IF(C96&lt;50%,C95*30%,0))))),0)</f>
        <v>0</v>
      </c>
      <c r="D97" s="2334" t="s">
        <v>124</v>
      </c>
      <c r="E97" s="23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6"/>
      <c r="G97" s="2336"/>
      <c r="H97" s="2349"/>
      <c r="I97" s="794"/>
      <c r="J97" s="2376"/>
      <c r="K97" s="2376"/>
      <c r="L97" s="2376"/>
      <c r="M97" s="2376"/>
      <c r="N97" s="2376"/>
      <c r="O97" s="2376"/>
      <c r="P97" s="2376"/>
      <c r="Q97" s="2376"/>
      <c r="R97" s="2376"/>
      <c r="S97" s="2376"/>
      <c r="T97" s="2376"/>
      <c r="U97" s="2376"/>
      <c r="V97" s="2376"/>
      <c r="W97" s="2376"/>
      <c r="X97" s="2376"/>
      <c r="Y97" s="2376"/>
      <c r="Z97" s="2376"/>
      <c r="AA97" s="2383"/>
      <c r="AB97" s="2383"/>
      <c r="AC97" s="2383"/>
      <c r="AD97" s="2383"/>
      <c r="AE97" s="2383"/>
      <c r="AF97" s="2383"/>
      <c r="AG97" s="2383"/>
      <c r="AH97" s="2383"/>
      <c r="AI97" s="2383"/>
    </row>
    <row r="98" spans="1:35" ht="21.75" customHeight="1">
      <c r="A98" s="2253"/>
      <c r="B98" s="1778"/>
      <c r="C98" s="1778"/>
      <c r="D98" s="1778"/>
      <c r="E98" s="2254"/>
      <c r="F98" s="2254"/>
      <c r="G98" s="2254"/>
      <c r="H98" s="2215"/>
      <c r="I98" s="274"/>
    </row>
    <row r="99" spans="1:35" ht="21.75" customHeight="1">
      <c r="A99" s="2217" t="s">
        <v>909</v>
      </c>
      <c r="B99" s="1778"/>
      <c r="C99" s="1778"/>
      <c r="D99" s="1778"/>
      <c r="E99" s="2254"/>
      <c r="F99" s="2254"/>
      <c r="G99" s="2254"/>
      <c r="H99" s="2215"/>
      <c r="I99" s="274"/>
    </row>
    <row r="100" spans="1:35" ht="18.75" customHeight="1">
      <c r="A100" s="3201" t="s">
        <v>910</v>
      </c>
      <c r="B100" s="3202"/>
      <c r="C100" s="3202"/>
      <c r="D100" s="3272"/>
      <c r="E100" s="3202" t="s">
        <v>911</v>
      </c>
      <c r="F100" s="3202"/>
      <c r="G100" s="3202"/>
      <c r="H100" s="3272"/>
      <c r="I100" s="274"/>
    </row>
    <row r="101" spans="1:35" ht="18.75" customHeight="1">
      <c r="A101" s="3273" t="s">
        <v>912</v>
      </c>
      <c r="B101" s="3274"/>
      <c r="C101" s="2351" t="str">
        <f>C4</f>
        <v>成本法</v>
      </c>
      <c r="D101" s="2352" t="str">
        <f>D4</f>
        <v>假设开发法</v>
      </c>
      <c r="E101" s="3295" t="s">
        <v>913</v>
      </c>
      <c r="F101" s="3291"/>
      <c r="G101" s="2354" t="s">
        <v>914</v>
      </c>
      <c r="H101" s="2355">
        <f ca="1">H118</f>
        <v>159143</v>
      </c>
      <c r="I101" s="274"/>
    </row>
    <row r="102" spans="1:35" ht="18.75" customHeight="1">
      <c r="A102" s="3304" t="s">
        <v>915</v>
      </c>
      <c r="B102" s="2356" t="s">
        <v>914</v>
      </c>
      <c r="C102" s="2351">
        <f ca="1">C19</f>
        <v>172477</v>
      </c>
      <c r="D102" s="2352">
        <f ca="1">D19</f>
        <v>145809</v>
      </c>
      <c r="E102" s="3295"/>
      <c r="F102" s="3291"/>
      <c r="G102" s="2354" t="s">
        <v>99</v>
      </c>
      <c r="H102" s="2243" t="e">
        <f ca="1">I118</f>
        <v>#DIV/0!</v>
      </c>
      <c r="I102" s="274"/>
    </row>
    <row r="103" spans="1:35" ht="42.75" customHeight="1">
      <c r="A103" s="3304"/>
      <c r="B103" s="2356" t="s">
        <v>99</v>
      </c>
      <c r="C103" s="2357">
        <f ca="1">C20</f>
        <v>23853</v>
      </c>
      <c r="D103" s="2358">
        <f ca="1">D20</f>
        <v>20165</v>
      </c>
      <c r="E103" s="3275" t="s">
        <v>916</v>
      </c>
      <c r="F103" s="3276"/>
      <c r="G103" s="2359" t="s">
        <v>102</v>
      </c>
      <c r="H103" s="2355">
        <f>IF(D36="正常操作",H104+H105+H106,H105+H106)</f>
        <v>0</v>
      </c>
      <c r="I103" s="274"/>
    </row>
    <row r="104" spans="1:35" ht="18.75" customHeight="1">
      <c r="A104" s="3304" t="s">
        <v>917</v>
      </c>
      <c r="B104" s="2360" t="s">
        <v>914</v>
      </c>
      <c r="C104" s="2361">
        <f ca="1">H118</f>
        <v>159143</v>
      </c>
      <c r="D104" s="2362"/>
      <c r="E104" s="2200" t="s">
        <v>918</v>
      </c>
      <c r="F104" s="2363"/>
      <c r="G104" s="2359" t="s">
        <v>102</v>
      </c>
      <c r="H104" s="2364">
        <f>IF(D36="同一抵押权人同一抵押物续贷",C36&amp;"（续贷，未扣减，详见特别提示）",C36)</f>
        <v>0</v>
      </c>
      <c r="I104" s="274"/>
    </row>
    <row r="105" spans="1:35" ht="18.75" customHeight="1">
      <c r="A105" s="3305"/>
      <c r="B105" s="2365" t="s">
        <v>99</v>
      </c>
      <c r="C105" s="2366" t="e">
        <f ca="1">I118</f>
        <v>#DIV/0!</v>
      </c>
      <c r="D105" s="2367"/>
      <c r="E105" s="2200" t="s">
        <v>919</v>
      </c>
      <c r="F105" s="2363"/>
      <c r="G105" s="2359" t="s">
        <v>102</v>
      </c>
      <c r="H105" s="2368">
        <f>C37</f>
        <v>0</v>
      </c>
      <c r="I105" s="274"/>
    </row>
    <row r="106" spans="1:35" ht="18.75" customHeight="1">
      <c r="A106" s="1778" t="s">
        <v>920</v>
      </c>
      <c r="B106" s="1778"/>
      <c r="C106" s="1778"/>
      <c r="D106" s="1778"/>
      <c r="E106" s="2369" t="s">
        <v>921</v>
      </c>
      <c r="F106" s="2363"/>
      <c r="G106" s="2359" t="s">
        <v>102</v>
      </c>
      <c r="H106" s="2368">
        <f>C38</f>
        <v>0</v>
      </c>
      <c r="I106" s="274"/>
    </row>
    <row r="107" spans="1:35" ht="18.75" customHeight="1">
      <c r="A107" s="274"/>
      <c r="B107" s="274"/>
      <c r="C107" s="274"/>
      <c r="D107" s="274"/>
      <c r="E107" s="3290" t="str">
        <f>IF(项目基本情况!E8="已注销","——","3.房地产抵押价值")</f>
        <v>3.房地产抵押价值</v>
      </c>
      <c r="F107" s="3291"/>
      <c r="G107" s="2354" t="s">
        <v>914</v>
      </c>
      <c r="H107" s="2355">
        <f ca="1">IF(E107="——","——",H101-H103)</f>
        <v>159143</v>
      </c>
      <c r="I107" s="274"/>
    </row>
    <row r="108" spans="1:35" ht="18.75" customHeight="1">
      <c r="A108" s="274"/>
      <c r="B108" s="274"/>
      <c r="C108" s="274"/>
      <c r="D108" s="274"/>
      <c r="E108" s="3290"/>
      <c r="F108" s="3291"/>
      <c r="G108" s="2354" t="s">
        <v>99</v>
      </c>
      <c r="H108" s="2243">
        <f ca="1">ROUND(H107*10000/'数据-汇总表'!E3,0)</f>
        <v>22009</v>
      </c>
      <c r="I108" s="274"/>
    </row>
    <row r="109" spans="1:35" ht="18.75" customHeight="1">
      <c r="A109" s="274"/>
      <c r="B109" s="274"/>
      <c r="C109" s="274"/>
      <c r="D109" s="274"/>
      <c r="E109" s="3290" t="str">
        <f>IF(项目基本情况!E8="已注销及未注销","4.抵押担保权已注销时的房地产抵押价值",IF(项目基本情况!E8="已注销","3.抵押担保权已注销时的房地产抵押价值","——"))</f>
        <v>——</v>
      </c>
      <c r="F109" s="3291"/>
      <c r="G109" s="2354" t="s">
        <v>914</v>
      </c>
      <c r="H109" s="2370" t="str">
        <f>IF(E109="——","——",H101-H105-H106)</f>
        <v>——</v>
      </c>
      <c r="I109" s="274"/>
    </row>
    <row r="110" spans="1:35" ht="18.75" customHeight="1">
      <c r="A110" s="274"/>
      <c r="B110" s="274"/>
      <c r="C110" s="274"/>
      <c r="D110" s="274"/>
      <c r="E110" s="3290"/>
      <c r="F110" s="3291"/>
      <c r="G110" s="2354" t="s">
        <v>99</v>
      </c>
      <c r="H110" s="2243" t="str">
        <f>IF(H109="——","——",ROUND(H109*10000/'数据-汇总表'!E3,0))</f>
        <v>——</v>
      </c>
      <c r="I110" s="274"/>
    </row>
    <row r="111" spans="1:35" ht="18.75" customHeight="1">
      <c r="A111" s="274"/>
      <c r="B111" s="274"/>
      <c r="C111" s="274"/>
      <c r="D111" s="274"/>
      <c r="E111" s="3292" t="str">
        <f>IF(项目基本情况!E9="抵押净值",IF(OR(项目基本情况!E8="已注销",项目基本情况!E8="房地产抵押价值"),"4.抵押净值","5.抵押净值"),"——")</f>
        <v>4.抵押净值</v>
      </c>
      <c r="F111" s="3261"/>
      <c r="G111" s="2354" t="s">
        <v>914</v>
      </c>
      <c r="H111" s="2355">
        <f ca="1">IF(E111="——","——",N59)</f>
        <v>150727</v>
      </c>
      <c r="I111" s="274"/>
    </row>
    <row r="112" spans="1:35" ht="18.75" customHeight="1">
      <c r="A112" s="274"/>
      <c r="B112" s="274"/>
      <c r="C112" s="274"/>
      <c r="D112" s="274"/>
      <c r="E112" s="3293"/>
      <c r="F112" s="3294"/>
      <c r="G112" s="2371" t="s">
        <v>99</v>
      </c>
      <c r="H112" s="2372">
        <f ca="1">IF(E111="——","——",N61)</f>
        <v>20845</v>
      </c>
      <c r="I112" s="274"/>
    </row>
    <row r="113" spans="1:27" ht="18.75" customHeight="1">
      <c r="A113" s="274"/>
      <c r="B113" s="274"/>
      <c r="C113" s="274"/>
      <c r="D113" s="274"/>
      <c r="E113" s="3277" t="s">
        <v>920</v>
      </c>
      <c r="F113" s="3277"/>
      <c r="G113" s="3277"/>
      <c r="H113" s="3277"/>
      <c r="I113" s="274"/>
    </row>
    <row r="114" spans="1:27" ht="3.75" customHeight="1">
      <c r="A114" s="1778"/>
      <c r="B114" s="1778"/>
      <c r="C114" s="1778"/>
      <c r="D114" s="1778"/>
      <c r="E114" s="2253"/>
      <c r="F114" s="2253"/>
      <c r="G114" s="2253"/>
      <c r="H114" s="2253"/>
      <c r="I114" s="1778"/>
    </row>
    <row r="115" spans="1:27" ht="18.75" customHeight="1">
      <c r="A115" s="3278" t="s">
        <v>922</v>
      </c>
      <c r="B115" s="3279"/>
      <c r="C115" s="3279"/>
      <c r="D115" s="3279"/>
      <c r="E115" s="3279"/>
      <c r="F115" s="3279"/>
      <c r="G115" s="3279"/>
      <c r="H115" s="3279"/>
      <c r="I115" s="3280"/>
    </row>
    <row r="116" spans="1:27" ht="27" customHeight="1">
      <c r="A116" s="3265" t="s">
        <v>923</v>
      </c>
      <c r="B116" s="3307" t="s">
        <v>924</v>
      </c>
      <c r="C116" s="3307" t="s">
        <v>925</v>
      </c>
      <c r="D116" s="3281" t="s">
        <v>926</v>
      </c>
      <c r="E116" s="3282"/>
      <c r="F116" s="3283" t="s">
        <v>927</v>
      </c>
      <c r="G116" s="3283"/>
      <c r="H116" s="3265" t="s">
        <v>928</v>
      </c>
      <c r="I116" s="3265"/>
    </row>
    <row r="117" spans="1:27" ht="18.75" customHeight="1">
      <c r="A117" s="3265"/>
      <c r="B117" s="3308"/>
      <c r="C117" s="3308"/>
      <c r="D117" s="2141" t="s">
        <v>929</v>
      </c>
      <c r="E117" s="2141" t="s">
        <v>749</v>
      </c>
      <c r="F117" s="2141" t="s">
        <v>929</v>
      </c>
      <c r="G117" s="2141" t="s">
        <v>749</v>
      </c>
      <c r="H117" s="2141" t="s">
        <v>929</v>
      </c>
      <c r="I117" s="2141" t="s">
        <v>749</v>
      </c>
    </row>
    <row r="118" spans="1:27" ht="24.75" customHeight="1">
      <c r="A118" s="2373" t="str">
        <f>项目基本情况!S2</f>
        <v>北京市顺义区北小营镇顺义新城第30街区30-01-02地块R2二类居住用地出让国有建设用地使用权及在建建筑物房地产</v>
      </c>
      <c r="B118" s="2141">
        <f>M18</f>
        <v>0</v>
      </c>
      <c r="C118" s="2141">
        <f>M19</f>
        <v>0</v>
      </c>
      <c r="D118" s="2141">
        <f ca="1">ROUND(IF(D32="总价",C34,E118*B118/10000),0)</f>
        <v>118721</v>
      </c>
      <c r="E118" s="2141" t="e">
        <f ca="1">ROUND(IF(C33="自定义",IF(D32="楼面单价",C34,D118*10000/B118),I118-G118),0)</f>
        <v>#DIV/0!</v>
      </c>
      <c r="F118" s="2141">
        <f ca="1">ROUND(IF(D32="总价",C35,G118*B118/10000),0)</f>
        <v>40422</v>
      </c>
      <c r="G118" s="2141" t="e">
        <f ca="1">ROUND(IF(D32="楼面单价",C35,F118*10000/B118),0)</f>
        <v>#DIV/0!</v>
      </c>
      <c r="H118" s="2141">
        <f ca="1">ROUND(IF(D32="总价",C32,I118*B118/10000),0)</f>
        <v>159143</v>
      </c>
      <c r="I118" s="2141" t="e">
        <f ca="1">ROUND(IF(D32="楼面单价",C32,H118*10000/B118),0)</f>
        <v>#DIV/0!</v>
      </c>
    </row>
    <row r="119" spans="1:27" ht="18.75" customHeight="1">
      <c r="A119" s="3265" t="s">
        <v>930</v>
      </c>
      <c r="B119" s="3265"/>
      <c r="C119" s="3265"/>
      <c r="D119" s="3266" t="str">
        <f ca="1">NUMBERSTRING(INT(D118*10000),2)&amp;"元整"</f>
        <v>壹拾壹亿捌仟柒佰贰拾壹万元整</v>
      </c>
      <c r="E119" s="3268"/>
      <c r="F119" s="3266" t="str">
        <f ca="1">NUMBERSTRING(INT(F118*10000),2)&amp;"元整"</f>
        <v>肆亿零肆佰贰拾贰万元整</v>
      </c>
      <c r="G119" s="3268"/>
      <c r="H119" s="3266" t="str">
        <f ca="1">NUMBERSTRING(INT(H118*10000),2)&amp;"元整"</f>
        <v>壹拾伍亿玖仟壹佰肆拾叁万元整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269" t="s">
        <v>930</v>
      </c>
      <c r="B121" s="3270"/>
      <c r="C121" s="3271"/>
      <c r="D121" s="3266" t="str">
        <f>IF(D120=0,"零元整",NUMBERSTRING(INT(D120*10000),2)&amp;"元整")</f>
        <v>零元整</v>
      </c>
      <c r="E121" s="3267"/>
      <c r="F121" s="3267"/>
      <c r="G121" s="3267"/>
      <c r="H121" s="3267"/>
      <c r="I121" s="3268"/>
      <c r="AA121" s="232"/>
    </row>
    <row r="122" spans="1:27" ht="18.75" customHeight="1">
      <c r="A122" s="3261" t="str">
        <f>IF(项目基本情况!B9="房地产市场价值","",MID(E107,3,LEN(E107)-2))</f>
        <v>房地产抵押价值</v>
      </c>
      <c r="B122" s="3261"/>
      <c r="C122" s="3261"/>
      <c r="D122" s="3262">
        <f ca="1">H107</f>
        <v>159143</v>
      </c>
      <c r="E122" s="3263"/>
      <c r="F122" s="3263"/>
      <c r="G122" s="3263"/>
      <c r="H122" s="3263"/>
      <c r="I122" s="3264"/>
      <c r="AA122" s="232"/>
    </row>
    <row r="123" spans="1:27" ht="18.75" customHeight="1">
      <c r="A123" s="3265" t="s">
        <v>930</v>
      </c>
      <c r="B123" s="3265"/>
      <c r="C123" s="3265"/>
      <c r="D123" s="3266" t="str">
        <f ca="1">NUMBERSTRING(INT(D122*10000),2)&amp;"元整"</f>
        <v>壹拾伍亿玖仟壹佰肆拾叁万元整</v>
      </c>
      <c r="E123" s="3267"/>
      <c r="F123" s="3267"/>
      <c r="G123" s="3267"/>
      <c r="H123" s="3267"/>
      <c r="I123" s="3268"/>
      <c r="AA123" s="232"/>
    </row>
    <row r="124" spans="1:27" ht="18.75" customHeight="1">
      <c r="A124" s="3261" t="str">
        <f>IF(项目基本情况!B9="房地产市场价值","",MID(E109,3,LEN(E109)-2))</f>
        <v/>
      </c>
      <c r="B124" s="3261"/>
      <c r="C124" s="3261"/>
      <c r="D124" s="3262" t="str">
        <f>H109</f>
        <v>——</v>
      </c>
      <c r="E124" s="3263"/>
      <c r="F124" s="3263"/>
      <c r="G124" s="3263"/>
      <c r="H124" s="3263"/>
      <c r="I124" s="3264"/>
      <c r="AA124" s="232"/>
    </row>
    <row r="125" spans="1:27" ht="18.75" customHeight="1">
      <c r="A125" s="3265" t="s">
        <v>930</v>
      </c>
      <c r="B125" s="3265"/>
      <c r="C125" s="3265"/>
      <c r="D125" s="3266" t="e">
        <f>NUMBERSTRING(INT(D124*10000),2)&amp;"元整"</f>
        <v>#VALUE!</v>
      </c>
      <c r="E125" s="3267"/>
      <c r="F125" s="3267"/>
      <c r="G125" s="3267"/>
      <c r="H125" s="3267"/>
      <c r="I125" s="3268"/>
      <c r="AA125" s="232"/>
    </row>
    <row r="126" spans="1:27" ht="18.75" customHeight="1">
      <c r="A126" s="3261" t="str">
        <f>IF(项目基本情况!B9="房地产市场价值","",MID(E111,3,LEN(E111)-2))</f>
        <v>抵押净值</v>
      </c>
      <c r="B126" s="3261"/>
      <c r="C126" s="3261"/>
      <c r="D126" s="3262">
        <f ca="1">H111</f>
        <v>150727</v>
      </c>
      <c r="E126" s="3263"/>
      <c r="F126" s="3263"/>
      <c r="G126" s="3263"/>
      <c r="H126" s="3263"/>
      <c r="I126" s="3264"/>
      <c r="AA126" s="232"/>
    </row>
    <row r="127" spans="1:27" ht="18.75" customHeight="1">
      <c r="A127" s="3265" t="s">
        <v>930</v>
      </c>
      <c r="B127" s="3265"/>
      <c r="C127" s="3265"/>
      <c r="D127" s="3266" t="str">
        <f ca="1">NUMBERSTRING(INT(D126*10000),2)&amp;"元整"</f>
        <v>壹拾伍亿零柒佰贰拾柒万元整</v>
      </c>
      <c r="E127" s="3267"/>
      <c r="F127" s="3267"/>
      <c r="G127" s="3267"/>
      <c r="H127" s="3267"/>
      <c r="I127" s="3268"/>
      <c r="AA127" s="232"/>
    </row>
    <row r="128" spans="1:27" ht="21.75" customHeight="1">
      <c r="A128" s="3298" t="s">
        <v>113</v>
      </c>
      <c r="B128" s="3298"/>
      <c r="C128" s="3298"/>
      <c r="D128" s="3298"/>
      <c r="E128" s="3298"/>
      <c r="F128" s="3298"/>
      <c r="G128" s="3298"/>
      <c r="H128" s="3298"/>
      <c r="I128" s="3298"/>
      <c r="AA128" s="232"/>
    </row>
    <row r="129" spans="1:35" ht="21.75" customHeight="1">
      <c r="A129" s="2384" t="s">
        <v>931</v>
      </c>
      <c r="B129" s="2385"/>
      <c r="C129" s="2386" t="s">
        <v>932</v>
      </c>
      <c r="D129" s="2387"/>
      <c r="E129" s="2387"/>
      <c r="F129" s="2387"/>
      <c r="G129" s="2387"/>
      <c r="H129" s="2388"/>
      <c r="I129" s="2401"/>
      <c r="AA129" s="232"/>
    </row>
    <row r="130" spans="1:35" ht="21.75" customHeight="1">
      <c r="A130" s="2389">
        <v>1</v>
      </c>
      <c r="B130" s="2390"/>
      <c r="C130" s="2390"/>
      <c r="D130" s="340"/>
      <c r="E130" s="340"/>
      <c r="F130" s="340"/>
      <c r="G130" s="340"/>
      <c r="H130" s="323"/>
      <c r="I130" s="2402"/>
      <c r="AA130" s="232"/>
    </row>
    <row r="131" spans="1:35" ht="21.75" customHeight="1">
      <c r="A131" s="2389">
        <v>2</v>
      </c>
      <c r="B131" s="2390"/>
      <c r="C131" s="2390"/>
      <c r="D131" s="340"/>
      <c r="E131" s="340"/>
      <c r="F131" s="340"/>
      <c r="G131" s="340"/>
      <c r="H131" s="323"/>
      <c r="I131" s="2402"/>
      <c r="AA131" s="232"/>
    </row>
    <row r="132" spans="1:35" ht="21.75" customHeight="1">
      <c r="A132" s="2389">
        <v>3</v>
      </c>
      <c r="B132" s="2390"/>
      <c r="C132" s="2390"/>
      <c r="D132" s="340"/>
      <c r="E132" s="340"/>
      <c r="F132" s="340"/>
      <c r="G132" s="340"/>
      <c r="H132" s="323"/>
      <c r="I132" s="2402"/>
      <c r="AA132" s="232"/>
    </row>
    <row r="133" spans="1:35" ht="21.75" customHeight="1">
      <c r="A133" s="2391"/>
      <c r="B133" s="2392"/>
      <c r="C133" s="2392"/>
      <c r="D133" s="2393"/>
      <c r="E133" s="2393"/>
      <c r="F133" s="2393"/>
      <c r="G133" s="2393"/>
      <c r="H133" s="2394"/>
      <c r="I133" s="2403"/>
    </row>
    <row r="134" spans="1:35" ht="21.75" customHeight="1">
      <c r="A134" s="2390"/>
      <c r="B134" s="2390"/>
      <c r="C134" s="2390"/>
      <c r="D134" s="340"/>
      <c r="E134" s="340"/>
      <c r="F134" s="340"/>
      <c r="G134" s="340"/>
      <c r="H134" s="323"/>
      <c r="I134" s="232"/>
    </row>
    <row r="135" spans="1:35" ht="21.75" customHeight="1">
      <c r="A135" s="232"/>
      <c r="B135" s="232"/>
      <c r="C135" s="232"/>
      <c r="D135" s="232"/>
      <c r="E135" s="232"/>
      <c r="F135" s="2395" t="s">
        <v>933</v>
      </c>
      <c r="G135" s="2396"/>
      <c r="H135" s="2396"/>
      <c r="I135" s="2404" t="s">
        <v>934</v>
      </c>
    </row>
    <row r="136" spans="1:35" ht="21.75" customHeight="1">
      <c r="A136" s="232"/>
      <c r="B136" s="2397"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6"/>
      <c r="C138" s="2396"/>
      <c r="D138" s="2396"/>
      <c r="E138" s="2396"/>
      <c r="F138" s="2396"/>
      <c r="G138" s="2396"/>
      <c r="H138" s="2396"/>
      <c r="I138" s="2404" t="s">
        <v>936</v>
      </c>
    </row>
    <row r="139" spans="1:35" ht="21.75" customHeight="1">
      <c r="A139" s="232"/>
      <c r="B139" s="2397" t="s">
        <v>937</v>
      </c>
      <c r="C139" s="232"/>
      <c r="D139" s="232"/>
      <c r="E139" s="232"/>
      <c r="F139" s="232"/>
      <c r="G139" s="232"/>
      <c r="H139" s="232"/>
      <c r="I139" s="232"/>
    </row>
    <row r="140" spans="1:35" ht="21.75" customHeight="1">
      <c r="A140" s="232"/>
      <c r="B140" s="2397"/>
      <c r="C140" s="232"/>
      <c r="D140" s="232"/>
      <c r="E140" s="232"/>
      <c r="F140" s="232"/>
      <c r="G140" s="232"/>
      <c r="H140" s="232"/>
      <c r="I140" s="232"/>
    </row>
    <row r="141" spans="1:35" ht="21.75" customHeight="1">
      <c r="A141" s="232"/>
      <c r="B141" s="2396"/>
      <c r="C141" s="2396"/>
      <c r="D141" s="2396"/>
      <c r="E141" s="2396"/>
      <c r="F141" s="2396"/>
      <c r="G141" s="2396"/>
      <c r="H141" s="2396"/>
      <c r="I141" s="2404" t="s">
        <v>936</v>
      </c>
    </row>
    <row r="142" spans="1:35" ht="21.75" customHeight="1">
      <c r="A142" s="232"/>
      <c r="B142" s="2397"/>
      <c r="C142" s="2398"/>
      <c r="D142" s="2399"/>
      <c r="E142" s="2399"/>
      <c r="F142" s="2400"/>
      <c r="G142" s="232"/>
      <c r="H142" s="232"/>
      <c r="I142" s="232"/>
    </row>
    <row r="143" spans="1:35" s="231" customFormat="1" ht="21.75" customHeight="1">
      <c r="A143" s="232"/>
      <c r="B143" s="2397"/>
      <c r="C143" s="2398"/>
      <c r="D143" s="2399"/>
      <c r="E143" s="2399"/>
      <c r="F143" s="2400"/>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0"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0"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0"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0"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0"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0"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0"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0"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0"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0"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0"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0"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0"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0"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0"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0"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0"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0"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0"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0"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0"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0"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0"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0"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0"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0"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0"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0"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0"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0"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0"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0"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0"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0"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0"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0"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0"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0"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0"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0"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0"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0"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0"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0"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0"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0"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0"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0"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0"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0"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0"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0"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0"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0"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0"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0"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0"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0"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0"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0"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0"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0"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0"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0"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0"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0"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0"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0"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0"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0"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0"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0"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0"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0"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0"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0"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0"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0"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0"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0"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0"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0"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0"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0"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0"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0"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0"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0"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0"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0"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0"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0"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0"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0"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0"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0"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0"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0"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0"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0"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0"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0"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0"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0"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5"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tabSelected="1" view="pageBreakPreview" zoomScale="85" zoomScaleNormal="70" workbookViewId="0">
      <selection activeCell="N45" sqref="N45"/>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0"/>
      <c r="C1" s="146"/>
      <c r="D1" s="146"/>
      <c r="E1" s="146"/>
      <c r="F1" s="146"/>
      <c r="G1" s="2092">
        <f>MATCH(B1,'数据-取费表'!A6:A16,0)+5</f>
        <v>10</v>
      </c>
    </row>
    <row r="2" spans="1:9" s="136" customFormat="1" ht="18" customHeight="1">
      <c r="A2" s="148" t="s">
        <v>941</v>
      </c>
      <c r="B2" s="149">
        <f ca="1">IF(D2="——",C52,C52-E2)</f>
        <v>172477</v>
      </c>
      <c r="C2" s="147" t="s">
        <v>1397</v>
      </c>
      <c r="D2" s="2093" t="s">
        <v>124</v>
      </c>
      <c r="E2" s="2094" t="e">
        <f ca="1">SUMIF(INDIRECT("'"&amp;G2&amp;"'"&amp;"!A:A"),"承租人权益价值",INDIRECT("'"&amp;G2&amp;"'"&amp;"!c:c"))</f>
        <v>#REF!</v>
      </c>
      <c r="F2" s="2095" t="s">
        <v>1397</v>
      </c>
      <c r="G2" s="2096"/>
    </row>
    <row r="3" spans="1:9" s="136" customFormat="1" ht="18" customHeight="1">
      <c r="A3" s="151" t="s">
        <v>942</v>
      </c>
      <c r="B3" s="152">
        <f ca="1">ROUND(B2*10000/(IF(B1="",'数据-汇总表'!E3,INDIRECT("'数据-取费表'!k"&amp;$G$1))),0)</f>
        <v>23853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95035</v>
      </c>
      <c r="D5" s="158" t="s">
        <v>1402</v>
      </c>
      <c r="E5" s="159" t="s">
        <v>1403</v>
      </c>
      <c r="F5" s="159" t="s">
        <v>841</v>
      </c>
      <c r="G5" s="160"/>
    </row>
    <row r="6" spans="1:9" s="138" customFormat="1" ht="13.5" customHeight="1">
      <c r="A6" s="161" t="s">
        <v>1404</v>
      </c>
      <c r="B6" s="162" t="s">
        <v>1405</v>
      </c>
      <c r="C6" s="3486">
        <f>'土地比较法-住宅、综合'!F65</f>
        <v>91037</v>
      </c>
      <c r="D6" s="164"/>
      <c r="E6" s="165"/>
      <c r="F6" s="165"/>
      <c r="G6" s="166"/>
    </row>
    <row r="7" spans="1:9" s="138" customFormat="1" ht="13.5" customHeight="1">
      <c r="A7" s="161" t="s">
        <v>1406</v>
      </c>
      <c r="B7" s="162" t="s">
        <v>1407</v>
      </c>
      <c r="C7" s="167">
        <f>ROUND(C6*F7,0)</f>
        <v>2777</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1221</v>
      </c>
      <c r="D8" s="169"/>
      <c r="E8" s="167"/>
      <c r="F8" s="168"/>
      <c r="G8" s="2097" t="s">
        <v>3034</v>
      </c>
    </row>
    <row r="9" spans="1:9" s="138" customFormat="1" ht="13.5" customHeight="1">
      <c r="A9" s="171" t="s">
        <v>1410</v>
      </c>
      <c r="B9" s="172" t="s">
        <v>1411</v>
      </c>
      <c r="C9" s="173">
        <f ca="1">ROUND(D9*E9/10000,0)</f>
        <v>902</v>
      </c>
      <c r="D9" s="174">
        <f ca="1">IF(B1="",'数据-汇总表'!E5,IF(INDIRECT("'数据-取费表'!c"&amp;$G$1)="住宅",INDIRECT("'数据-取费表'!k"&amp;$G$1),0))</f>
        <v>56359.41</v>
      </c>
      <c r="E9" s="173">
        <f>'数据-取费表'!B27</f>
        <v>160</v>
      </c>
      <c r="F9" s="168"/>
      <c r="G9" s="2101" t="s">
        <v>3035</v>
      </c>
      <c r="H9" s="2102"/>
      <c r="I9" s="2103" t="s">
        <v>1412</v>
      </c>
    </row>
    <row r="10" spans="1:9" s="138" customFormat="1" ht="13.5" customHeight="1">
      <c r="A10" s="171" t="s">
        <v>1413</v>
      </c>
      <c r="B10" s="172" t="s">
        <v>1414</v>
      </c>
      <c r="C10" s="173">
        <f ca="1">ROUND(D10*E10/10000,0)</f>
        <v>319</v>
      </c>
      <c r="D10" s="174">
        <f ca="1">IF(B1="",'数据-汇总表'!E6,IF(INDIRECT("'数据-取费表'!c"&amp;$G$1)="住宅",INDIRECT("'数据-取费表'!s"&amp;$G$1),INDIRECT("'数据-取费表'!k"&amp;$G$1)+INDIRECT("'数据-取费表'!s"&amp;$G$1)))</f>
        <v>15949.520000000004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72308.930000000008</v>
      </c>
      <c r="E19" s="158">
        <f>'数据-取费表'!B31</f>
        <v>200</v>
      </c>
      <c r="F19" s="180"/>
      <c r="G19" s="2097" t="s">
        <v>1433</v>
      </c>
    </row>
    <row r="20" spans="1:10" s="138" customFormat="1" ht="13.5" customHeight="1">
      <c r="A20" s="156" t="s">
        <v>1434</v>
      </c>
      <c r="B20" s="157" t="s">
        <v>1435</v>
      </c>
      <c r="C20" s="181">
        <f ca="1">ROUND((C5+C19)*F20,0)</f>
        <v>1901</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9847</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9752</v>
      </c>
      <c r="D23" s="191"/>
      <c r="E23" s="191"/>
      <c r="F23" s="192"/>
      <c r="G23" s="193" t="s">
        <v>1444</v>
      </c>
      <c r="J23" s="138">
        <f ca="1">B2/'数据-汇总表'!F31</f>
        <v>2.9383965221100805</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95</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12098</v>
      </c>
      <c r="D27" s="184">
        <f ca="1">C29</f>
        <v>2.5000000000000001E-3</v>
      </c>
      <c r="E27" s="185" t="s">
        <v>1439</v>
      </c>
      <c r="F27" s="199">
        <f ca="1">IF(B1="",'数据-取费表'!Q16,INDIRECT("'数据-取费表'!q"&amp;$G$1))</f>
        <v>0.13</v>
      </c>
      <c r="G27" s="200" t="s">
        <v>1453</v>
      </c>
    </row>
    <row r="28" spans="1:10" s="138" customFormat="1" ht="13.5" customHeight="1">
      <c r="A28" s="189" t="s">
        <v>1404</v>
      </c>
      <c r="B28" s="201" t="s">
        <v>1454</v>
      </c>
      <c r="C28" s="202">
        <f ca="1">ROUND((C5+C19+C20)*F27*'数据-取费表'!B21/'数据-取费表'!B20,0)</f>
        <v>12098</v>
      </c>
      <c r="D28" s="184"/>
      <c r="E28" s="185"/>
      <c r="F28" s="199"/>
      <c r="G28" s="200"/>
    </row>
    <row r="29" spans="1:10" s="138" customFormat="1" ht="13.5" customHeight="1">
      <c r="A29" s="189" t="s">
        <v>1406</v>
      </c>
      <c r="B29" s="201" t="s">
        <v>1455</v>
      </c>
      <c r="C29" s="191">
        <f ca="1">ROUND(C21*F27*'数据-取费表'!B21/'数据-取费表'!B20,4)</f>
        <v>2.5000000000000001E-3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128645</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33648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29706</v>
      </c>
      <c r="D34" s="164"/>
      <c r="E34" s="167"/>
      <c r="F34" s="210">
        <f ca="1">IF('数据-取费表'!B24=0,1,IF(B1="",'数据-取费表'!N16,INDIRECT("'数据-取费表'!n"&amp;$G$1)))</f>
        <v>0.96</v>
      </c>
      <c r="G34" s="166" t="s">
        <v>1464</v>
      </c>
    </row>
    <row r="35" spans="1:7" ht="13.5" customHeight="1">
      <c r="A35" s="189" t="s">
        <v>1406</v>
      </c>
      <c r="B35" s="162" t="s">
        <v>1465</v>
      </c>
      <c r="C35" s="167">
        <f ca="1">ROUND(C34*F35,0)</f>
        <v>891</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1217</v>
      </c>
      <c r="D36" s="167"/>
      <c r="E36" s="167"/>
      <c r="F36" s="211">
        <f>'数据-取费表'!B34</f>
        <v>0.05</v>
      </c>
      <c r="G36" s="212" t="s">
        <v>1468</v>
      </c>
    </row>
    <row r="37" spans="1:7" s="140" customFormat="1" ht="13.5" customHeight="1">
      <c r="A37" s="189" t="s">
        <v>1449</v>
      </c>
      <c r="B37" s="162" t="s">
        <v>1469</v>
      </c>
      <c r="C37" s="202">
        <f ca="1">ROUND(E37*D37*F34/10000,0)</f>
        <v>1388</v>
      </c>
      <c r="D37" s="164">
        <f ca="1">D19</f>
        <v>72308.930000000008</v>
      </c>
      <c r="E37" s="202">
        <f>'数据-取费表'!B35</f>
        <v>200</v>
      </c>
      <c r="F37" s="211"/>
      <c r="G37" s="213" t="s">
        <v>1470</v>
      </c>
    </row>
    <row r="38" spans="1:7" ht="13.5" customHeight="1">
      <c r="A38" s="189" t="s">
        <v>1471</v>
      </c>
      <c r="B38" s="162" t="s">
        <v>878</v>
      </c>
      <c r="C38" s="167">
        <f ca="1">ROUND(C34*F38,0)</f>
        <v>446</v>
      </c>
      <c r="D38" s="167"/>
      <c r="E38" s="167"/>
      <c r="F38" s="211">
        <f>'数据-取费表'!B36</f>
        <v>1.4999999999999999E-2</v>
      </c>
      <c r="G38" s="166" t="s">
        <v>1466</v>
      </c>
    </row>
    <row r="39" spans="1:7" s="138" customFormat="1" ht="13.5" customHeight="1">
      <c r="A39" s="156" t="s">
        <v>1431</v>
      </c>
      <c r="B39" s="157" t="s">
        <v>1435</v>
      </c>
      <c r="C39" s="181">
        <f ca="1">ROUND(C33*F20,0)</f>
        <v>673</v>
      </c>
      <c r="D39" s="181"/>
      <c r="E39" s="181"/>
      <c r="F39" s="2098">
        <f>F20</f>
        <v>0.02</v>
      </c>
      <c r="G39" s="186" t="s">
        <v>1472</v>
      </c>
    </row>
    <row r="40" spans="1:7" s="138" customFormat="1" ht="13.5" customHeight="1">
      <c r="A40" s="156" t="s">
        <v>1434</v>
      </c>
      <c r="B40" s="157" t="s">
        <v>1438</v>
      </c>
      <c r="C40" s="184">
        <f>F21</f>
        <v>0.02</v>
      </c>
      <c r="D40" s="185" t="s">
        <v>1473</v>
      </c>
      <c r="E40" s="181"/>
      <c r="F40" s="2098">
        <f>F21</f>
        <v>0.02</v>
      </c>
      <c r="G40" s="186" t="s">
        <v>1474</v>
      </c>
    </row>
    <row r="41" spans="1:7" s="138" customFormat="1" ht="13.5" customHeight="1">
      <c r="A41" s="156" t="s">
        <v>1437</v>
      </c>
      <c r="B41" s="157" t="s">
        <v>1442</v>
      </c>
      <c r="C41" s="181">
        <f ca="1">ROUND(SUM(C42:C43),0)</f>
        <v>1718</v>
      </c>
      <c r="D41" s="184">
        <f>C44</f>
        <v>1E-3</v>
      </c>
      <c r="E41" s="185" t="s">
        <v>1473</v>
      </c>
      <c r="F41" s="2099">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1684</v>
      </c>
      <c r="D42" s="191"/>
      <c r="E42" s="191"/>
      <c r="F42" s="192"/>
      <c r="G42" s="3312" t="s">
        <v>1475</v>
      </c>
    </row>
    <row r="43" spans="1:7" ht="13.5" customHeight="1">
      <c r="A43" s="189" t="s">
        <v>1406</v>
      </c>
      <c r="B43" s="162" t="s">
        <v>1445</v>
      </c>
      <c r="C43" s="191">
        <f ca="1">ROUND(IF('数据-取费表'!B22&lt;=1,C39*F22*'数据-取费表'!B21/2,C39*(POWER((1+F22),'数据-取费表'!B21/2)-1)),0)</f>
        <v>34</v>
      </c>
      <c r="D43" s="191"/>
      <c r="E43" s="191"/>
      <c r="F43" s="192"/>
      <c r="G43" s="3313"/>
    </row>
    <row r="44" spans="1:7" ht="13.5" customHeight="1">
      <c r="A44" s="189" t="s">
        <v>1408</v>
      </c>
      <c r="B44" s="162" t="s">
        <v>1447</v>
      </c>
      <c r="C44" s="191">
        <f>ROUND(IF('数据-取费表'!B22&lt;=1,C40*F22*'数据-取费表'!B21/2,C40*(POWER((1+F22),'数据-取费表'!B21/2)-1)),4)</f>
        <v>1E-3</v>
      </c>
      <c r="D44" s="191"/>
      <c r="E44" s="191"/>
      <c r="F44" s="192"/>
      <c r="G44" s="3314"/>
    </row>
    <row r="45" spans="1:7" s="138" customFormat="1" ht="13.5" customHeight="1">
      <c r="A45" s="156" t="s">
        <v>1441</v>
      </c>
      <c r="B45" s="197" t="s">
        <v>1452</v>
      </c>
      <c r="C45" s="198">
        <f ca="1">C46</f>
        <v>4462</v>
      </c>
      <c r="D45" s="184">
        <f ca="1">C47</f>
        <v>2.5999999999999999E-3</v>
      </c>
      <c r="E45" s="185" t="s">
        <v>1473</v>
      </c>
      <c r="F45" s="2100">
        <f ca="1">F27</f>
        <v>0.13</v>
      </c>
      <c r="G45" s="200" t="s">
        <v>1476</v>
      </c>
    </row>
    <row r="46" spans="1:7" s="138" customFormat="1" ht="13.5" customHeight="1">
      <c r="A46" s="189" t="s">
        <v>1404</v>
      </c>
      <c r="B46" s="201" t="s">
        <v>1477</v>
      </c>
      <c r="C46" s="202">
        <f ca="1">ROUND((C33+C39)*F27,0)</f>
        <v>4462</v>
      </c>
      <c r="D46" s="215"/>
      <c r="E46" s="185"/>
      <c r="F46" s="199"/>
      <c r="G46" s="200"/>
    </row>
    <row r="47" spans="1:7" s="138" customFormat="1" ht="13.5" customHeight="1">
      <c r="A47" s="189" t="s">
        <v>1406</v>
      </c>
      <c r="B47" s="201" t="s">
        <v>1478</v>
      </c>
      <c r="C47" s="191">
        <f ca="1">ROUND(C40*F27,4)</f>
        <v>2.5999999999999999E-3</v>
      </c>
      <c r="D47" s="215"/>
      <c r="E47" s="185"/>
      <c r="F47" s="199"/>
      <c r="G47" s="200"/>
    </row>
    <row r="48" spans="1:7" s="138" customFormat="1" ht="13.5" customHeight="1">
      <c r="A48" s="156" t="s">
        <v>1451</v>
      </c>
      <c r="B48" s="157" t="s">
        <v>1457</v>
      </c>
      <c r="C48" s="184">
        <f>ROUND(F30/(1+'数据-取费表'!C42),4)</f>
        <v>5.2400000000000002E-2</v>
      </c>
      <c r="D48" s="185" t="s">
        <v>1473</v>
      </c>
      <c r="E48" s="181"/>
      <c r="F48" s="2099">
        <f>F30</f>
        <v>5.5E-2</v>
      </c>
      <c r="G48" s="186" t="s">
        <v>1479</v>
      </c>
    </row>
    <row r="49" spans="1:7" ht="16.5" customHeight="1">
      <c r="A49" s="156" t="s">
        <v>1456</v>
      </c>
      <c r="B49" s="157" t="s">
        <v>1480</v>
      </c>
      <c r="C49" s="181">
        <f ca="1">ROUND((C33+C39+C41+C45)/(1-C40-D41-D45-C48),0)</f>
        <v>43832</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43832</v>
      </c>
      <c r="D51" s="181"/>
      <c r="E51" s="181"/>
      <c r="F51" s="216"/>
      <c r="G51" s="186" t="s">
        <v>1487</v>
      </c>
    </row>
    <row r="52" spans="1:7" s="137" customFormat="1" ht="15.75">
      <c r="A52" s="217" t="s">
        <v>1488</v>
      </c>
      <c r="B52" s="218"/>
      <c r="C52" s="219">
        <f ca="1">C31+C51</f>
        <v>172477</v>
      </c>
      <c r="D52" s="218"/>
      <c r="E52" s="218"/>
      <c r="F52" s="218"/>
      <c r="G52" s="220"/>
    </row>
    <row r="55" spans="1:7" ht="15">
      <c r="B55" s="221" t="s">
        <v>1489</v>
      </c>
      <c r="C55" s="222"/>
    </row>
    <row r="56" spans="1:7">
      <c r="B56" s="223" t="s">
        <v>1490</v>
      </c>
      <c r="C56" s="225">
        <f ca="1">1-C57</f>
        <v>0.746</v>
      </c>
    </row>
    <row r="57" spans="1:7">
      <c r="B57" s="223" t="s">
        <v>1491</v>
      </c>
      <c r="C57" s="224">
        <f ca="1">ROUND(C51/C52,3)</f>
        <v>0.254</v>
      </c>
    </row>
  </sheetData>
  <sheetProtection password="CEE9" sheet="1" objects="1" scenarios="1" formatCells="0"/>
  <mergeCells count="1">
    <mergeCell ref="G42:G44"/>
  </mergeCells>
  <phoneticPr fontId="215"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7" zoomScale="85" zoomScaleNormal="60" workbookViewId="0">
      <selection activeCell="N64" sqref="N64"/>
    </sheetView>
  </sheetViews>
  <sheetFormatPr defaultColWidth="9" defaultRowHeight="14.25"/>
  <cols>
    <col min="1" max="1" width="14.375" style="861" customWidth="1"/>
    <col min="2" max="2" width="15.75" style="861" customWidth="1"/>
    <col min="3" max="3" width="17.5" style="861" customWidth="1"/>
    <col min="4" max="4" width="14.1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939</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f>F65</f>
        <v>91037</v>
      </c>
      <c r="C2" s="1196"/>
      <c r="D2" s="1196"/>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f>ROUND(IF(D3="",B2*10000/'数据-汇总表'!E3,B2*10000/D3),0)</f>
        <v>12590</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315" t="s">
        <v>945</v>
      </c>
      <c r="D4" s="3316"/>
      <c r="E4" s="3317" t="s">
        <v>946</v>
      </c>
      <c r="F4" s="3318"/>
      <c r="G4" s="3315" t="s">
        <v>947</v>
      </c>
      <c r="H4" s="3316"/>
      <c r="I4" s="3315" t="s">
        <v>948</v>
      </c>
      <c r="J4" s="3316"/>
      <c r="K4" s="1020" t="s">
        <v>949</v>
      </c>
      <c r="L4" s="1021"/>
      <c r="M4" s="971"/>
      <c r="N4" s="971"/>
      <c r="O4" s="971"/>
      <c r="P4" s="3341" t="s">
        <v>950</v>
      </c>
      <c r="Q4" s="3342"/>
      <c r="R4" s="3347" t="s">
        <v>946</v>
      </c>
      <c r="S4" s="3348"/>
      <c r="T4" s="3347" t="s">
        <v>947</v>
      </c>
      <c r="U4" s="3348"/>
      <c r="V4" s="3331" t="s">
        <v>948</v>
      </c>
      <c r="W4" s="3331"/>
      <c r="X4" s="1069"/>
      <c r="Y4" s="3347" t="s">
        <v>950</v>
      </c>
      <c r="Z4" s="3348"/>
      <c r="AA4" s="3336" t="s">
        <v>946</v>
      </c>
      <c r="AB4" s="3337" t="s">
        <v>947</v>
      </c>
      <c r="AC4" s="3336" t="s">
        <v>948</v>
      </c>
    </row>
    <row r="5" spans="1:29" ht="45" customHeight="1">
      <c r="A5" s="878"/>
      <c r="B5" s="879"/>
      <c r="C5" s="3319" t="s">
        <v>951</v>
      </c>
      <c r="D5" s="3320"/>
      <c r="E5" s="3321" t="str">
        <f>土地!A5</f>
        <v>北京市顺义区顺义新城土地一级开发项目SY00-1101-0601、0603地块R2二类居住用地、SY00-1101-6002地块A334托幼用地</v>
      </c>
      <c r="F5" s="3322"/>
      <c r="G5" s="3319" t="str">
        <f>土地!A16</f>
        <v>北京市顺义区顺义新城第13街区SY00-0013-6050、6053地块二类居住用地</v>
      </c>
      <c r="H5" s="3320"/>
      <c r="I5" s="3319" t="str">
        <f>土地!A17</f>
        <v>北京市顺义区顺义新城第5街区平各庄旧村改造项目SY00-0005-6046地块R2二类居住用地、SY00-0005-6045地块A334托幼用地</v>
      </c>
      <c r="J5" s="3320"/>
      <c r="K5" s="1020"/>
      <c r="L5" s="1021"/>
      <c r="M5" s="971"/>
      <c r="N5" s="971"/>
      <c r="O5" s="971"/>
      <c r="P5" s="3343"/>
      <c r="Q5" s="3344"/>
      <c r="R5" s="3349"/>
      <c r="S5" s="3350"/>
      <c r="T5" s="3349"/>
      <c r="U5" s="3350"/>
      <c r="V5" s="3331"/>
      <c r="W5" s="3331"/>
      <c r="X5" s="1069"/>
      <c r="Y5" s="3349"/>
      <c r="Z5" s="3350"/>
      <c r="AA5" s="3337"/>
      <c r="AB5" s="3337"/>
      <c r="AC5" s="3337"/>
    </row>
    <row r="6" spans="1:29" ht="15">
      <c r="A6" s="880"/>
      <c r="B6" s="881"/>
      <c r="C6" s="3323" t="s">
        <v>952</v>
      </c>
      <c r="D6" s="3324"/>
      <c r="E6" s="3325" t="s">
        <v>952</v>
      </c>
      <c r="F6" s="3326"/>
      <c r="G6" s="3323" t="s">
        <v>952</v>
      </c>
      <c r="H6" s="3324"/>
      <c r="I6" s="3323" t="s">
        <v>952</v>
      </c>
      <c r="J6" s="3324"/>
      <c r="K6" s="1020" t="s">
        <v>953</v>
      </c>
      <c r="L6" s="1021"/>
      <c r="M6" s="971"/>
      <c r="N6" s="971"/>
      <c r="O6" s="971"/>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887">
        <f>土地!AE5</f>
        <v>45288.000497685185</v>
      </c>
      <c r="F7" s="888">
        <f>SUMIF(69:69,YEAR(E7)&amp;"-"&amp;INT((MONTH(E7)+2)/3),70:70)</f>
        <v>99.4</v>
      </c>
      <c r="G7" s="889">
        <f>土地!AB16</f>
        <v>44608.0004976852</v>
      </c>
      <c r="H7" s="886">
        <f>SUMIF(69:69,YEAR(G7)&amp;"-"&amp;INT((MONTH(G7)+2)/3),70:70)</f>
        <v>98</v>
      </c>
      <c r="I7" s="889">
        <f>土地!AB17</f>
        <v>44608.0004976852</v>
      </c>
      <c r="J7" s="886">
        <f>SUMIF(69:69,YEAR(I7)&amp;"-"&amp;INT((MONTH(I7)+2)/3),70:70)</f>
        <v>98</v>
      </c>
      <c r="K7" s="1025"/>
      <c r="L7" s="1026"/>
      <c r="M7" s="1027"/>
      <c r="N7" s="1027"/>
      <c r="O7" s="1027"/>
      <c r="P7" s="3327" t="s">
        <v>955</v>
      </c>
      <c r="Q7" s="3328"/>
      <c r="R7" s="1070" t="s">
        <v>956</v>
      </c>
      <c r="S7" s="1071">
        <f t="shared" ref="S7:S15" si="0">F7</f>
        <v>99.4</v>
      </c>
      <c r="T7" s="1070" t="s">
        <v>956</v>
      </c>
      <c r="U7" s="1071">
        <f t="shared" ref="U7:U15" si="1">H7</f>
        <v>98</v>
      </c>
      <c r="V7" s="1070" t="s">
        <v>956</v>
      </c>
      <c r="W7" s="1071">
        <f t="shared" ref="W7:W15" si="2">J7</f>
        <v>98</v>
      </c>
      <c r="X7" s="1072"/>
      <c r="Y7" s="3327" t="s">
        <v>955</v>
      </c>
      <c r="Z7" s="3329"/>
      <c r="AA7" s="1082">
        <f>D7/F7</f>
        <v>1.0060362173038229</v>
      </c>
      <c r="AB7" s="1082">
        <f>D7/H7</f>
        <v>1.0204081632653061</v>
      </c>
      <c r="AC7" s="1082">
        <f>D7/J7</f>
        <v>1.0204081632653061</v>
      </c>
    </row>
    <row r="8" spans="1:29" s="855" customFormat="1" ht="15">
      <c r="A8" s="883" t="s">
        <v>957</v>
      </c>
      <c r="B8" s="884"/>
      <c r="C8" s="890" t="s">
        <v>958</v>
      </c>
      <c r="D8" s="886">
        <v>100</v>
      </c>
      <c r="E8" s="890" t="s">
        <v>958</v>
      </c>
      <c r="F8" s="888">
        <f>SUMIF(72:72,E8,73:73)-SUMIF(72:72,C8,73:73)+100</f>
        <v>100</v>
      </c>
      <c r="G8" s="890" t="s">
        <v>958</v>
      </c>
      <c r="H8" s="886">
        <f>SUMIF(72:72,G8,73:73)-SUMIF(72:72,C8,73:73)+100</f>
        <v>100</v>
      </c>
      <c r="I8" s="890" t="s">
        <v>958</v>
      </c>
      <c r="J8" s="886">
        <f>SUMIF(72:72,I8,73:73)-SUMIF(72:72,C8,73:73)+100</f>
        <v>100</v>
      </c>
      <c r="K8" s="1025"/>
      <c r="L8" s="1026"/>
      <c r="M8" s="1027"/>
      <c r="N8" s="1027"/>
      <c r="O8" s="1027"/>
      <c r="P8" s="3327" t="s">
        <v>959</v>
      </c>
      <c r="Q8" s="3329"/>
      <c r="R8" s="1070" t="s">
        <v>956</v>
      </c>
      <c r="S8" s="1071">
        <f t="shared" si="0"/>
        <v>100</v>
      </c>
      <c r="T8" s="1070" t="s">
        <v>956</v>
      </c>
      <c r="U8" s="1071">
        <f t="shared" si="1"/>
        <v>100</v>
      </c>
      <c r="V8" s="1070" t="s">
        <v>956</v>
      </c>
      <c r="W8" s="1071">
        <f t="shared" si="2"/>
        <v>100</v>
      </c>
      <c r="X8" s="1072"/>
      <c r="Y8" s="3327" t="s">
        <v>959</v>
      </c>
      <c r="Z8" s="3329"/>
      <c r="AA8" s="1082">
        <f t="shared" ref="AA8:AA45" si="3">D8/F8</f>
        <v>1</v>
      </c>
      <c r="AB8" s="1082">
        <f t="shared" ref="AB8:AB45" si="4">D8/H8</f>
        <v>1</v>
      </c>
      <c r="AC8" s="1082">
        <f t="shared" ref="AC8:AC45" si="5">D8/J8</f>
        <v>1</v>
      </c>
    </row>
    <row r="9" spans="1:29" s="855" customFormat="1">
      <c r="A9" s="891" t="s">
        <v>960</v>
      </c>
      <c r="B9" s="892" t="s">
        <v>961</v>
      </c>
      <c r="C9" s="893" t="s">
        <v>463</v>
      </c>
      <c r="D9" s="894">
        <v>100</v>
      </c>
      <c r="E9" s="893" t="s">
        <v>463</v>
      </c>
      <c r="F9" s="894">
        <f>SUMIF(74:74,E9,75:75)-SUMIF(74:74,C9,75:75)+100</f>
        <v>100</v>
      </c>
      <c r="G9" s="893" t="s">
        <v>463</v>
      </c>
      <c r="H9" s="894">
        <f>SUMIF(74:74,G9,75:75)-SUMIF(74:74,C9,75:75)+100</f>
        <v>100</v>
      </c>
      <c r="I9" s="893" t="s">
        <v>463</v>
      </c>
      <c r="J9" s="894">
        <f>SUMIF(74:74,I9,75:75)-SUMIF(74:74,C9,75:75)+100</f>
        <v>100</v>
      </c>
      <c r="K9" s="1025"/>
      <c r="L9" s="1026"/>
      <c r="M9" s="1027"/>
      <c r="N9" s="1027"/>
      <c r="O9" s="1029"/>
      <c r="P9" s="333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1900"/>
      <c r="F10" s="898">
        <f>ROUND(100/'数据-取费表'!G16,0)</f>
        <v>102</v>
      </c>
      <c r="G10" s="2110"/>
      <c r="H10" s="898">
        <f>ROUND(100/'数据-取费表'!G16,0)</f>
        <v>102</v>
      </c>
      <c r="I10" s="2110"/>
      <c r="J10" s="898">
        <f>ROUND(100/'数据-取费表'!G16,0)</f>
        <v>102</v>
      </c>
      <c r="K10" s="1030"/>
      <c r="L10" s="1031"/>
      <c r="M10" s="1032"/>
      <c r="N10" s="1032"/>
      <c r="O10" s="1033"/>
      <c r="P10" s="3330"/>
      <c r="Q10" s="795" t="str">
        <f t="shared" si="6"/>
        <v>土地使用年限（年）</v>
      </c>
      <c r="R10" s="1070" t="s">
        <v>956</v>
      </c>
      <c r="S10" s="1071">
        <f t="shared" si="0"/>
        <v>102</v>
      </c>
      <c r="T10" s="1070" t="s">
        <v>956</v>
      </c>
      <c r="U10" s="1071">
        <f t="shared" si="1"/>
        <v>102</v>
      </c>
      <c r="V10" s="1070" t="s">
        <v>956</v>
      </c>
      <c r="W10" s="1071">
        <f t="shared" si="2"/>
        <v>102</v>
      </c>
      <c r="X10" s="1072"/>
      <c r="Y10" s="3306"/>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v>2</v>
      </c>
      <c r="D11" s="898">
        <v>100</v>
      </c>
      <c r="E11" s="900">
        <v>1.7</v>
      </c>
      <c r="F11" s="898">
        <f>LOOKUP(E11,79:79,80:80)-LOOKUP(C11,79:79,80:80)+100</f>
        <v>105</v>
      </c>
      <c r="G11" s="901">
        <v>1.6</v>
      </c>
      <c r="H11" s="898">
        <f>LOOKUP(G11,79:79,80:80)-LOOKUP(C11,79:79,80:80)+100</f>
        <v>105</v>
      </c>
      <c r="I11" s="900">
        <v>2</v>
      </c>
      <c r="J11" s="898">
        <f>LOOKUP(I11,79:79,80:80)-LOOKUP(C11,79:79,80:80)+100</f>
        <v>100</v>
      </c>
      <c r="K11" s="1034">
        <v>5</v>
      </c>
      <c r="L11" s="1035"/>
      <c r="M11" s="971"/>
      <c r="N11" s="971"/>
      <c r="O11" s="1036"/>
      <c r="P11" s="3330"/>
      <c r="Q11" s="795" t="str">
        <f t="shared" si="6"/>
        <v>容积率</v>
      </c>
      <c r="R11" s="1070" t="s">
        <v>956</v>
      </c>
      <c r="S11" s="1071">
        <f t="shared" si="0"/>
        <v>105</v>
      </c>
      <c r="T11" s="1070" t="s">
        <v>956</v>
      </c>
      <c r="U11" s="1071">
        <f t="shared" si="1"/>
        <v>105</v>
      </c>
      <c r="V11" s="1070" t="s">
        <v>956</v>
      </c>
      <c r="W11" s="1071">
        <f t="shared" si="2"/>
        <v>100</v>
      </c>
      <c r="X11" s="1072"/>
      <c r="Y11" s="3306"/>
      <c r="Z11" s="1082" t="str">
        <f t="shared" si="7"/>
        <v>容积率</v>
      </c>
      <c r="AA11" s="1082">
        <f t="shared" si="3"/>
        <v>0.95238095238095233</v>
      </c>
      <c r="AB11" s="1082">
        <f t="shared" si="4"/>
        <v>0.95238095238095233</v>
      </c>
      <c r="AC11" s="1082">
        <f t="shared" si="5"/>
        <v>1</v>
      </c>
    </row>
    <row r="12" spans="1:29" s="855" customFormat="1" ht="15">
      <c r="A12" s="902"/>
      <c r="B12" s="903" t="s">
        <v>966</v>
      </c>
      <c r="C12" s="897"/>
      <c r="D12" s="904">
        <v>100</v>
      </c>
      <c r="E12" s="1900"/>
      <c r="F12" s="898">
        <f>SUMIF(81:81,E12,82:82)-SUMIF(81:81,C12,82:82)+100</f>
        <v>100</v>
      </c>
      <c r="G12" s="2110"/>
      <c r="H12" s="898">
        <f>SUMIF(81:81,G12,82:82)-SUMIF(81:81,C12,82:82)+100</f>
        <v>100</v>
      </c>
      <c r="I12" s="1900"/>
      <c r="J12" s="898">
        <f>SUMIF(81:81,I12,82:82)-SUMIF(81:81,C12,82:82)+100</f>
        <v>100</v>
      </c>
      <c r="K12" s="1030"/>
      <c r="L12" s="1026"/>
      <c r="M12" s="1027"/>
      <c r="N12" s="1027"/>
      <c r="O12" s="1029"/>
      <c r="P12" s="3330"/>
      <c r="Q12" s="795" t="str">
        <f t="shared" si="6"/>
        <v>配建</v>
      </c>
      <c r="R12" s="1070" t="s">
        <v>956</v>
      </c>
      <c r="S12" s="1071">
        <f t="shared" si="0"/>
        <v>100</v>
      </c>
      <c r="T12" s="1070" t="s">
        <v>956</v>
      </c>
      <c r="U12" s="1071">
        <f t="shared" si="1"/>
        <v>100</v>
      </c>
      <c r="V12" s="1070" t="s">
        <v>956</v>
      </c>
      <c r="W12" s="1071">
        <f t="shared" si="2"/>
        <v>100</v>
      </c>
      <c r="X12" s="1072"/>
      <c r="Y12" s="3306"/>
      <c r="Z12" s="1082" t="str">
        <f t="shared" si="7"/>
        <v>配建</v>
      </c>
      <c r="AA12" s="1082">
        <f t="shared" si="3"/>
        <v>1</v>
      </c>
      <c r="AB12" s="1082">
        <f t="shared" si="4"/>
        <v>1</v>
      </c>
      <c r="AC12" s="1082">
        <f t="shared" si="5"/>
        <v>1</v>
      </c>
    </row>
    <row r="13" spans="1:29" ht="15">
      <c r="A13" s="899"/>
      <c r="B13" s="903">
        <v>111</v>
      </c>
      <c r="C13" s="907"/>
      <c r="D13" s="765">
        <v>100</v>
      </c>
      <c r="E13" s="905"/>
      <c r="F13" s="898">
        <f>SUMIF(83:83,E13,84:84)-SUMIF(83:83,C13,84:84)+100</f>
        <v>100</v>
      </c>
      <c r="G13" s="906"/>
      <c r="H13" s="765">
        <f>SUMIF(83:83,G13,84:84)-SUMIF(83:83,C13,84:84)+100</f>
        <v>100</v>
      </c>
      <c r="I13" s="906"/>
      <c r="J13" s="765">
        <f>SUMIF(83:83,I13,84:84)-SUMIF(83:83,C13,84:84)+100</f>
        <v>100</v>
      </c>
      <c r="K13" s="1030"/>
      <c r="L13" s="1037"/>
      <c r="M13" s="971"/>
      <c r="N13" s="971"/>
      <c r="O13" s="1036"/>
      <c r="P13" s="333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08"/>
      <c r="B14" s="909">
        <v>111</v>
      </c>
      <c r="C14" s="910"/>
      <c r="D14" s="911">
        <v>100</v>
      </c>
      <c r="E14" s="905"/>
      <c r="F14" s="911">
        <f>SUMIF(85:85,E14,86:86)-SUMIF(85:85,C14,86:86)+100</f>
        <v>100</v>
      </c>
      <c r="G14" s="906"/>
      <c r="H14" s="911">
        <f>SUMIF(85:85,G14,86:86)-SUMIF(85:85,C14,86:86)+100</f>
        <v>100</v>
      </c>
      <c r="I14" s="906"/>
      <c r="J14" s="911">
        <f>SUMIF(85:85,I14,86:86)-SUMIF(85:85,C14,86:86)+100</f>
        <v>100</v>
      </c>
      <c r="K14" s="1030"/>
      <c r="L14" s="1037"/>
      <c r="M14" s="971"/>
      <c r="N14" s="971"/>
      <c r="O14" s="1036"/>
      <c r="P14" s="333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082">
        <f t="shared" si="5"/>
        <v>1</v>
      </c>
    </row>
    <row r="15" spans="1:29" ht="27" customHeight="1">
      <c r="A15" s="912" t="s">
        <v>967</v>
      </c>
      <c r="B15" s="1209" t="s">
        <v>968</v>
      </c>
      <c r="C15" s="1396" t="str">
        <f>估价对象房地状况!C15</f>
        <v>一般</v>
      </c>
      <c r="D15" s="915">
        <v>100</v>
      </c>
      <c r="E15" s="916"/>
      <c r="F15" s="915">
        <f>SUMIF(87:87,E16,88:88)-SUMIF(87:87,C16,88:88)+100</f>
        <v>105</v>
      </c>
      <c r="G15" s="916"/>
      <c r="H15" s="915">
        <f>SUMIF(87:87,G16,88:88)-SUMIF(87:87,C16,88:88)+100</f>
        <v>105</v>
      </c>
      <c r="I15" s="1038"/>
      <c r="J15" s="915">
        <f>SUMIF(87:87,I16,88:88)-SUMIF(87:87,C16,88:88)+100</f>
        <v>105</v>
      </c>
      <c r="K15" s="1034">
        <v>5</v>
      </c>
      <c r="L15" s="1037"/>
      <c r="M15" s="971"/>
      <c r="N15" s="971"/>
      <c r="O15" s="1036"/>
      <c r="P15" s="3332" t="s">
        <v>969</v>
      </c>
      <c r="Q15" s="641" t="str">
        <f t="shared" si="6"/>
        <v>居住社区成熟度</v>
      </c>
      <c r="R15" s="1074" t="s">
        <v>956</v>
      </c>
      <c r="S15" s="1075">
        <f t="shared" si="0"/>
        <v>105</v>
      </c>
      <c r="T15" s="1074" t="s">
        <v>956</v>
      </c>
      <c r="U15" s="1075">
        <f t="shared" si="1"/>
        <v>105</v>
      </c>
      <c r="V15" s="1074" t="s">
        <v>956</v>
      </c>
      <c r="W15" s="1075">
        <f t="shared" si="2"/>
        <v>105</v>
      </c>
      <c r="X15" s="1069"/>
      <c r="Y15" s="3332" t="s">
        <v>969</v>
      </c>
      <c r="Z15" s="1058" t="str">
        <f t="shared" si="7"/>
        <v>居住社区成熟度</v>
      </c>
      <c r="AA15" s="1058">
        <f t="shared" si="3"/>
        <v>0.95238095238095233</v>
      </c>
      <c r="AB15" s="1058">
        <f t="shared" si="4"/>
        <v>0.95238095238095233</v>
      </c>
      <c r="AC15" s="1058">
        <f t="shared" si="5"/>
        <v>0.95238095238095233</v>
      </c>
    </row>
    <row r="16" spans="1:29" ht="15">
      <c r="A16" s="899"/>
      <c r="B16" s="1011"/>
      <c r="C16" s="918" t="s">
        <v>667</v>
      </c>
      <c r="D16" s="919"/>
      <c r="E16" s="927" t="s">
        <v>970</v>
      </c>
      <c r="F16" s="919"/>
      <c r="G16" s="927" t="s">
        <v>970</v>
      </c>
      <c r="H16" s="921"/>
      <c r="I16" s="927" t="s">
        <v>970</v>
      </c>
      <c r="J16" s="919"/>
      <c r="K16" s="1030"/>
      <c r="L16" s="1037"/>
      <c r="M16" s="971"/>
      <c r="N16" s="971"/>
      <c r="O16" s="1036"/>
      <c r="P16" s="3333"/>
      <c r="Q16" s="641"/>
      <c r="R16" s="1074"/>
      <c r="S16" s="1075"/>
      <c r="T16" s="1074"/>
      <c r="U16" s="1075"/>
      <c r="V16" s="1074"/>
      <c r="W16" s="1075"/>
      <c r="X16" s="1069"/>
      <c r="Y16" s="3333"/>
      <c r="Z16" s="1058"/>
      <c r="AA16" s="1058">
        <v>1</v>
      </c>
      <c r="AB16" s="1058">
        <v>1</v>
      </c>
      <c r="AC16" s="1058">
        <v>1</v>
      </c>
    </row>
    <row r="17" spans="1:29" ht="21.75" customHeight="1">
      <c r="A17" s="899"/>
      <c r="B17" s="1211" t="s">
        <v>971</v>
      </c>
      <c r="C17" s="639" t="str">
        <f>估价对象房地状况!C16</f>
        <v>较差</v>
      </c>
      <c r="D17" s="921">
        <v>100</v>
      </c>
      <c r="E17" s="924"/>
      <c r="F17" s="921">
        <f>SUMIF(89:89,E18,90:90)-SUMIF(89:89,C18,90:90)+100</f>
        <v>103</v>
      </c>
      <c r="G17" s="924"/>
      <c r="H17" s="925">
        <f>SUMIF(89:89,G18,90:90)-SUMIF(89:89,C18,90:90)+100</f>
        <v>103</v>
      </c>
      <c r="I17" s="1040"/>
      <c r="J17" s="925">
        <f>SUMIF(89:89,I18,90:90)-SUMIF(89:89,C18,90:90)+100</f>
        <v>103</v>
      </c>
      <c r="K17" s="1034">
        <v>3</v>
      </c>
      <c r="L17" s="1037"/>
      <c r="M17" s="971"/>
      <c r="N17" s="971"/>
      <c r="O17" s="1036"/>
      <c r="P17" s="3333"/>
      <c r="Q17" s="641" t="str">
        <f>B17</f>
        <v>商业繁华度</v>
      </c>
      <c r="R17" s="1074" t="s">
        <v>956</v>
      </c>
      <c r="S17" s="1075">
        <f>F17</f>
        <v>103</v>
      </c>
      <c r="T17" s="1074" t="s">
        <v>956</v>
      </c>
      <c r="U17" s="1075">
        <f>H17</f>
        <v>103</v>
      </c>
      <c r="V17" s="1074" t="s">
        <v>956</v>
      </c>
      <c r="W17" s="1075">
        <f>J17</f>
        <v>103</v>
      </c>
      <c r="X17" s="1069"/>
      <c r="Y17" s="3333"/>
      <c r="Z17" s="1058" t="str">
        <f>Q17</f>
        <v>商业繁华度</v>
      </c>
      <c r="AA17" s="1058">
        <f t="shared" si="3"/>
        <v>0.970873786407767</v>
      </c>
      <c r="AB17" s="1058">
        <f t="shared" si="4"/>
        <v>0.970873786407767</v>
      </c>
      <c r="AC17" s="1058">
        <f t="shared" si="5"/>
        <v>0.970873786407767</v>
      </c>
    </row>
    <row r="18" spans="1:29" ht="15">
      <c r="A18" s="899"/>
      <c r="B18" s="945"/>
      <c r="C18" s="1214" t="s">
        <v>671</v>
      </c>
      <c r="D18" s="921"/>
      <c r="E18" s="1338" t="s">
        <v>667</v>
      </c>
      <c r="F18" s="921"/>
      <c r="G18" s="1338" t="s">
        <v>667</v>
      </c>
      <c r="H18" s="919"/>
      <c r="I18" s="1338" t="s">
        <v>667</v>
      </c>
      <c r="J18" s="919"/>
      <c r="K18" s="1030"/>
      <c r="L18" s="1037"/>
      <c r="M18" s="971"/>
      <c r="N18" s="971"/>
      <c r="O18" s="1036"/>
      <c r="P18" s="3333"/>
      <c r="Q18" s="641"/>
      <c r="R18" s="1074"/>
      <c r="S18" s="1075"/>
      <c r="T18" s="1074"/>
      <c r="U18" s="1075"/>
      <c r="V18" s="1074"/>
      <c r="W18" s="1075"/>
      <c r="X18" s="1069"/>
      <c r="Y18" s="3333"/>
      <c r="Z18" s="1058"/>
      <c r="AA18" s="1058">
        <v>1</v>
      </c>
      <c r="AB18" s="1058">
        <v>1</v>
      </c>
      <c r="AC18" s="1058">
        <v>1</v>
      </c>
    </row>
    <row r="19" spans="1:29" ht="15" hidden="1">
      <c r="A19" s="899"/>
      <c r="B19" s="1211" t="s">
        <v>972</v>
      </c>
      <c r="C19" s="639">
        <f>估价对象房地状况!C17</f>
        <v>0</v>
      </c>
      <c r="D19" s="925">
        <v>100</v>
      </c>
      <c r="E19" s="1212"/>
      <c r="F19" s="925">
        <f>SUMIF(91:91,E20,92:92)-SUMIF(91:91,C20,92:92)+100</f>
        <v>100</v>
      </c>
      <c r="G19" s="1212"/>
      <c r="H19" s="921">
        <f>SUMIF(91:91,G20,92:92)-SUMIF(91:91,C20,92:92)+100</f>
        <v>100</v>
      </c>
      <c r="I19" s="1213"/>
      <c r="J19" s="921">
        <f>SUMIF(91:91,I20,92:92)-SUMIF(91:91,C20,92:92)+100</f>
        <v>100</v>
      </c>
      <c r="K19" s="1034"/>
      <c r="L19" s="1037"/>
      <c r="M19" s="971"/>
      <c r="N19" s="971"/>
      <c r="O19" s="1036"/>
      <c r="P19" s="3333"/>
      <c r="Q19" s="641" t="str">
        <f>B19</f>
        <v>办公集聚程度</v>
      </c>
      <c r="R19" s="1074" t="s">
        <v>956</v>
      </c>
      <c r="S19" s="1075">
        <f>F19</f>
        <v>100</v>
      </c>
      <c r="T19" s="1074" t="s">
        <v>956</v>
      </c>
      <c r="U19" s="1075">
        <f>H19</f>
        <v>100</v>
      </c>
      <c r="V19" s="1074" t="s">
        <v>956</v>
      </c>
      <c r="W19" s="1075">
        <f>J19</f>
        <v>100</v>
      </c>
      <c r="X19" s="1069"/>
      <c r="Y19" s="3333"/>
      <c r="Z19" s="1058" t="str">
        <f>Q19</f>
        <v>办公集聚程度</v>
      </c>
      <c r="AA19" s="1058">
        <f t="shared" si="3"/>
        <v>1</v>
      </c>
      <c r="AB19" s="1058">
        <f t="shared" si="4"/>
        <v>1</v>
      </c>
      <c r="AC19" s="1058">
        <f t="shared" si="5"/>
        <v>1</v>
      </c>
    </row>
    <row r="20" spans="1:29" ht="15" hidden="1">
      <c r="A20" s="899"/>
      <c r="B20" s="945"/>
      <c r="C20" s="918"/>
      <c r="D20" s="919"/>
      <c r="E20" s="927"/>
      <c r="F20" s="919"/>
      <c r="G20" s="927"/>
      <c r="H20" s="919"/>
      <c r="I20" s="1041"/>
      <c r="J20" s="919"/>
      <c r="K20" s="1030"/>
      <c r="L20" s="1037"/>
      <c r="M20" s="971"/>
      <c r="N20" s="971"/>
      <c r="O20" s="1036"/>
      <c r="P20" s="3333"/>
      <c r="Q20" s="641"/>
      <c r="R20" s="1074"/>
      <c r="S20" s="1075"/>
      <c r="T20" s="1074"/>
      <c r="U20" s="1075"/>
      <c r="V20" s="1074"/>
      <c r="W20" s="1075"/>
      <c r="X20" s="1069"/>
      <c r="Y20" s="3333"/>
      <c r="Z20" s="1058"/>
      <c r="AA20" s="1058">
        <v>1</v>
      </c>
      <c r="AB20" s="1058">
        <v>1</v>
      </c>
      <c r="AC20" s="1058">
        <v>1</v>
      </c>
    </row>
    <row r="21" spans="1:29" ht="26.25" customHeight="1">
      <c r="A21" s="899"/>
      <c r="B21" s="1211" t="s">
        <v>973</v>
      </c>
      <c r="C21" s="923" t="str">
        <f>估价对象房地状况!C18</f>
        <v>一般</v>
      </c>
      <c r="D21" s="921">
        <v>100</v>
      </c>
      <c r="E21" s="924"/>
      <c r="F21" s="925">
        <f>SUMIF(93:93,E22,94:94)-SUMIF(93:93,C22,94:94)+100</f>
        <v>103</v>
      </c>
      <c r="G21" s="924"/>
      <c r="H21" s="921">
        <f>SUMIF(93:93,G22,94:94)-SUMIF(93:93,C22,94:94)+100</f>
        <v>103</v>
      </c>
      <c r="I21" s="1040"/>
      <c r="J21" s="921">
        <f>SUMIF(93:93,I22,94:94)-SUMIF(93:93,C22,94:94)+100</f>
        <v>103</v>
      </c>
      <c r="K21" s="1034">
        <v>3</v>
      </c>
      <c r="L21" s="1037"/>
      <c r="M21" s="971"/>
      <c r="N21" s="971"/>
      <c r="O21" s="1036"/>
      <c r="P21" s="3333"/>
      <c r="Q21" s="641" t="str">
        <f>B21</f>
        <v>交通便捷度</v>
      </c>
      <c r="R21" s="1074" t="s">
        <v>956</v>
      </c>
      <c r="S21" s="1075">
        <f>F21</f>
        <v>103</v>
      </c>
      <c r="T21" s="1074" t="s">
        <v>956</v>
      </c>
      <c r="U21" s="1075">
        <f>H21</f>
        <v>103</v>
      </c>
      <c r="V21" s="1074" t="s">
        <v>956</v>
      </c>
      <c r="W21" s="1075">
        <f>J21</f>
        <v>103</v>
      </c>
      <c r="X21" s="1069"/>
      <c r="Y21" s="3333"/>
      <c r="Z21" s="1058" t="str">
        <f>Q21</f>
        <v>交通便捷度</v>
      </c>
      <c r="AA21" s="1058">
        <f t="shared" si="3"/>
        <v>0.970873786407767</v>
      </c>
      <c r="AB21" s="1058">
        <f t="shared" si="4"/>
        <v>0.970873786407767</v>
      </c>
      <c r="AC21" s="1058">
        <f t="shared" si="5"/>
        <v>0.970873786407767</v>
      </c>
    </row>
    <row r="22" spans="1:29" ht="15">
      <c r="A22" s="899"/>
      <c r="B22" s="1215"/>
      <c r="C22" s="918" t="s">
        <v>667</v>
      </c>
      <c r="D22" s="921"/>
      <c r="E22" s="927" t="s">
        <v>970</v>
      </c>
      <c r="F22" s="919"/>
      <c r="G22" s="927" t="s">
        <v>970</v>
      </c>
      <c r="H22" s="919"/>
      <c r="I22" s="927" t="s">
        <v>970</v>
      </c>
      <c r="J22" s="919"/>
      <c r="K22" s="1030"/>
      <c r="L22" s="1037"/>
      <c r="M22" s="971"/>
      <c r="N22" s="971"/>
      <c r="O22" s="1036"/>
      <c r="P22" s="3333"/>
      <c r="Q22" s="641"/>
      <c r="R22" s="1074"/>
      <c r="S22" s="1075"/>
      <c r="T22" s="1074"/>
      <c r="U22" s="1075"/>
      <c r="V22" s="1074"/>
      <c r="W22" s="1075"/>
      <c r="X22" s="1069"/>
      <c r="Y22" s="3333"/>
      <c r="Z22" s="1058"/>
      <c r="AA22" s="1058">
        <v>1</v>
      </c>
      <c r="AB22" s="1058">
        <v>1</v>
      </c>
      <c r="AC22" s="1058">
        <v>1</v>
      </c>
    </row>
    <row r="23" spans="1:29" ht="15">
      <c r="A23" s="878"/>
      <c r="B23" s="1211" t="s">
        <v>974</v>
      </c>
      <c r="C23" s="935">
        <f>估价对象房地状况!C19</f>
        <v>0</v>
      </c>
      <c r="D23" s="925">
        <v>100</v>
      </c>
      <c r="E23" s="924"/>
      <c r="F23" s="925">
        <f>SUMIF(95:95,E24,96:96)-SUMIF(95:95,C24,96:96)+100</f>
        <v>100</v>
      </c>
      <c r="G23" s="1040"/>
      <c r="H23" s="925">
        <f>SUMIF(95:95,G24,96:96)-SUMIF(95:95,C24,96:96)+100</f>
        <v>100</v>
      </c>
      <c r="I23" s="1040"/>
      <c r="J23" s="925">
        <f>SUMIF(95:95,I24,96:96)-SUMIF(95:95,C24,96:96)+100</f>
        <v>100</v>
      </c>
      <c r="K23" s="1034"/>
      <c r="L23" s="1037"/>
      <c r="M23" s="971"/>
      <c r="N23" s="971"/>
      <c r="O23" s="1036"/>
      <c r="P23" s="3333"/>
      <c r="Q23" s="641" t="str">
        <f t="shared" ref="Q23:Q38" si="8">B23</f>
        <v>区域土地利用方向</v>
      </c>
      <c r="R23" s="1074" t="s">
        <v>956</v>
      </c>
      <c r="S23" s="1075">
        <f>F23</f>
        <v>100</v>
      </c>
      <c r="T23" s="1074" t="s">
        <v>956</v>
      </c>
      <c r="U23" s="1075">
        <f>H23</f>
        <v>100</v>
      </c>
      <c r="V23" s="1074" t="s">
        <v>956</v>
      </c>
      <c r="W23" s="1075">
        <f>J23</f>
        <v>100</v>
      </c>
      <c r="X23" s="1069"/>
      <c r="Y23" s="3333"/>
      <c r="Z23" s="1058" t="str">
        <f>Q23</f>
        <v>区域土地利用方向</v>
      </c>
      <c r="AA23" s="1058">
        <f t="shared" si="3"/>
        <v>1</v>
      </c>
      <c r="AB23" s="1058">
        <f t="shared" si="4"/>
        <v>1</v>
      </c>
      <c r="AC23" s="1058">
        <f t="shared" si="5"/>
        <v>1</v>
      </c>
    </row>
    <row r="24" spans="1:29" ht="15">
      <c r="A24" s="878"/>
      <c r="B24" s="945"/>
      <c r="C24" s="932"/>
      <c r="D24" s="919"/>
      <c r="E24" s="927"/>
      <c r="F24" s="919"/>
      <c r="G24" s="1041"/>
      <c r="H24" s="919"/>
      <c r="I24" s="1041"/>
      <c r="J24" s="919"/>
      <c r="K24" s="1042"/>
      <c r="L24" s="1037"/>
      <c r="M24" s="971"/>
      <c r="N24" s="971"/>
      <c r="O24" s="1036"/>
      <c r="P24" s="3333"/>
      <c r="Q24" s="641"/>
      <c r="R24" s="1074"/>
      <c r="S24" s="1075"/>
      <c r="T24" s="1074"/>
      <c r="U24" s="1075"/>
      <c r="V24" s="1074"/>
      <c r="W24" s="1075"/>
      <c r="X24" s="1069"/>
      <c r="Y24" s="3333"/>
      <c r="Z24" s="1058"/>
      <c r="AA24" s="1058"/>
      <c r="AB24" s="1058"/>
      <c r="AC24" s="1058"/>
    </row>
    <row r="25" spans="1:29" ht="19.5" customHeight="1">
      <c r="A25" s="878"/>
      <c r="B25" s="1215" t="s">
        <v>975</v>
      </c>
      <c r="C25" s="639" t="str">
        <f>估价对象房地状况!C20</f>
        <v>一般</v>
      </c>
      <c r="D25" s="921">
        <v>100</v>
      </c>
      <c r="E25" s="924"/>
      <c r="F25" s="921">
        <f>SUMIF(97:97,E26,98:98)-SUMIF(97:97,C26,98:98)+100</f>
        <v>103</v>
      </c>
      <c r="G25" s="924"/>
      <c r="H25" s="921">
        <f>SUMIF(97:97,G26,98:98)-SUMIF(97:97,C26,98:98)+100</f>
        <v>103</v>
      </c>
      <c r="I25" s="1040"/>
      <c r="J25" s="921">
        <f>SUMIF(97:97,I26,98:98)-SUMIF(97:97,C26,98:98)+100</f>
        <v>103</v>
      </c>
      <c r="K25" s="1034">
        <v>3</v>
      </c>
      <c r="L25" s="1037"/>
      <c r="M25" s="971"/>
      <c r="N25" s="971"/>
      <c r="O25" s="1036"/>
      <c r="P25" s="3333"/>
      <c r="Q25" s="641" t="str">
        <f t="shared" si="8"/>
        <v>自然及人文环境状况</v>
      </c>
      <c r="R25" s="1074" t="s">
        <v>956</v>
      </c>
      <c r="S25" s="1075">
        <f>F25</f>
        <v>103</v>
      </c>
      <c r="T25" s="1074" t="s">
        <v>956</v>
      </c>
      <c r="U25" s="1075">
        <f>H25</f>
        <v>103</v>
      </c>
      <c r="V25" s="1074" t="s">
        <v>956</v>
      </c>
      <c r="W25" s="1075">
        <f>J25</f>
        <v>103</v>
      </c>
      <c r="X25" s="1069"/>
      <c r="Y25" s="3333"/>
      <c r="Z25" s="1058" t="str">
        <f>Q25</f>
        <v>自然及人文环境状况</v>
      </c>
      <c r="AA25" s="1058">
        <f t="shared" si="3"/>
        <v>0.970873786407767</v>
      </c>
      <c r="AB25" s="1058">
        <f t="shared" si="4"/>
        <v>0.970873786407767</v>
      </c>
      <c r="AC25" s="1058">
        <f t="shared" si="5"/>
        <v>0.970873786407767</v>
      </c>
    </row>
    <row r="26" spans="1:29" ht="15">
      <c r="A26" s="878"/>
      <c r="B26" s="945"/>
      <c r="C26" s="918" t="s">
        <v>667</v>
      </c>
      <c r="D26" s="919"/>
      <c r="E26" s="920" t="s">
        <v>970</v>
      </c>
      <c r="F26" s="919"/>
      <c r="G26" s="920" t="s">
        <v>970</v>
      </c>
      <c r="H26" s="919"/>
      <c r="I26" s="920" t="s">
        <v>970</v>
      </c>
      <c r="J26" s="919"/>
      <c r="K26" s="1030"/>
      <c r="L26" s="1037"/>
      <c r="M26" s="971"/>
      <c r="N26" s="971"/>
      <c r="O26" s="1036"/>
      <c r="P26" s="3333"/>
      <c r="Q26" s="641"/>
      <c r="R26" s="1074"/>
      <c r="S26" s="1075"/>
      <c r="T26" s="1074"/>
      <c r="U26" s="1075"/>
      <c r="V26" s="1074"/>
      <c r="W26" s="1075"/>
      <c r="X26" s="1069"/>
      <c r="Y26" s="3333"/>
      <c r="Z26" s="1058"/>
      <c r="AA26" s="1058">
        <v>1</v>
      </c>
      <c r="AB26" s="1058">
        <v>1</v>
      </c>
      <c r="AC26" s="1058">
        <v>1</v>
      </c>
    </row>
    <row r="27" spans="1:29" s="855" customFormat="1" ht="15">
      <c r="A27" s="928"/>
      <c r="B27" s="1215" t="s">
        <v>976</v>
      </c>
      <c r="C27" s="923" t="str">
        <f>估价对象房地状况!C21</f>
        <v>一般</v>
      </c>
      <c r="D27" s="921">
        <v>100</v>
      </c>
      <c r="E27" s="924"/>
      <c r="F27" s="921">
        <f>SUMIF(99:99,E28,100:100)-SUMIF(99:99,C28,100:100)+100</f>
        <v>103</v>
      </c>
      <c r="G27" s="924"/>
      <c r="H27" s="921">
        <f>SUMIF(99:99,G28,100:100)-SUMIF(99:99,C28,100:100)+100</f>
        <v>103</v>
      </c>
      <c r="I27" s="1040"/>
      <c r="J27" s="921">
        <f>SUMIF(99:99,I28,100:100)-SUMIF(99:99,C28,100:100)+100</f>
        <v>103</v>
      </c>
      <c r="K27" s="1034">
        <v>3</v>
      </c>
      <c r="L27" s="1026"/>
      <c r="M27" s="1027"/>
      <c r="N27" s="1027"/>
      <c r="O27" s="1029"/>
      <c r="P27" s="3333"/>
      <c r="Q27" s="795" t="str">
        <f t="shared" si="8"/>
        <v>公共配套设施</v>
      </c>
      <c r="R27" s="1070" t="s">
        <v>956</v>
      </c>
      <c r="S27" s="1071">
        <f>F27</f>
        <v>103</v>
      </c>
      <c r="T27" s="1070" t="s">
        <v>956</v>
      </c>
      <c r="U27" s="1071">
        <f>H27</f>
        <v>103</v>
      </c>
      <c r="V27" s="1070" t="s">
        <v>956</v>
      </c>
      <c r="W27" s="1071">
        <f>J27</f>
        <v>103</v>
      </c>
      <c r="X27" s="1072"/>
      <c r="Y27" s="3333"/>
      <c r="Z27" s="1082" t="str">
        <f>Q27</f>
        <v>公共配套设施</v>
      </c>
      <c r="AA27" s="1058">
        <f>D27/F27</f>
        <v>0.970873786407767</v>
      </c>
      <c r="AB27" s="1058">
        <f>D27/H27</f>
        <v>0.970873786407767</v>
      </c>
      <c r="AC27" s="1058">
        <f>D27/J27</f>
        <v>0.970873786407767</v>
      </c>
    </row>
    <row r="28" spans="1:29" s="855" customFormat="1" ht="15">
      <c r="A28" s="928"/>
      <c r="B28" s="945"/>
      <c r="C28" s="930" t="s">
        <v>667</v>
      </c>
      <c r="D28" s="919"/>
      <c r="E28" s="920" t="s">
        <v>970</v>
      </c>
      <c r="F28" s="919"/>
      <c r="G28" s="920" t="s">
        <v>970</v>
      </c>
      <c r="H28" s="919"/>
      <c r="I28" s="920" t="s">
        <v>970</v>
      </c>
      <c r="J28" s="919"/>
      <c r="K28" s="1030"/>
      <c r="L28" s="1026"/>
      <c r="M28" s="1027"/>
      <c r="N28" s="1027"/>
      <c r="O28" s="1029"/>
      <c r="P28" s="3333"/>
      <c r="Q28" s="795"/>
      <c r="R28" s="1070"/>
      <c r="S28" s="1071"/>
      <c r="T28" s="1070"/>
      <c r="U28" s="1071"/>
      <c r="V28" s="1070"/>
      <c r="W28" s="1071"/>
      <c r="X28" s="1072"/>
      <c r="Y28" s="3333"/>
      <c r="Z28" s="1082"/>
      <c r="AA28" s="1058">
        <v>1</v>
      </c>
      <c r="AB28" s="1058">
        <v>1</v>
      </c>
      <c r="AC28" s="1058">
        <v>1</v>
      </c>
    </row>
    <row r="29" spans="1:29" s="855" customFormat="1" ht="15">
      <c r="A29" s="928"/>
      <c r="B29" s="1215" t="s">
        <v>977</v>
      </c>
      <c r="C29" s="923" t="str">
        <f>估价对象房地状况!C22</f>
        <v>七通</v>
      </c>
      <c r="D29" s="921">
        <v>100</v>
      </c>
      <c r="E29" s="924"/>
      <c r="F29" s="921">
        <f>SUMIF(101:101,E30,102:102)-SUMIF(101:101,C30,102:102)+100</f>
        <v>100</v>
      </c>
      <c r="G29" s="924"/>
      <c r="H29" s="921">
        <f>SUMIF(101:101,G30,102:102)-SUMIF(101:101,C30,102:102)+100</f>
        <v>100</v>
      </c>
      <c r="I29" s="1040"/>
      <c r="J29" s="921">
        <f>SUMIF(101:101,I30,102:102)-SUMIF(101:101,C30,102:102)+100</f>
        <v>100</v>
      </c>
      <c r="K29" s="1034">
        <v>1</v>
      </c>
      <c r="L29" s="1026"/>
      <c r="M29" s="1027"/>
      <c r="N29" s="1027"/>
      <c r="O29" s="1029"/>
      <c r="P29" s="3333"/>
      <c r="Q29" s="795" t="str">
        <f t="shared" ref="Q29" si="9">B29</f>
        <v>基础设施水平</v>
      </c>
      <c r="R29" s="1070" t="s">
        <v>956</v>
      </c>
      <c r="S29" s="1071">
        <f>F29</f>
        <v>100</v>
      </c>
      <c r="T29" s="1070" t="s">
        <v>956</v>
      </c>
      <c r="U29" s="1071">
        <f>H29</f>
        <v>100</v>
      </c>
      <c r="V29" s="1070" t="s">
        <v>956</v>
      </c>
      <c r="W29" s="1071">
        <f>J29</f>
        <v>100</v>
      </c>
      <c r="X29" s="1072"/>
      <c r="Y29" s="3333"/>
      <c r="Z29" s="1082" t="str">
        <f>Q29</f>
        <v>基础设施水平</v>
      </c>
      <c r="AA29" s="1058">
        <f>D29/F29</f>
        <v>1</v>
      </c>
      <c r="AB29" s="1058">
        <f>D29/H29</f>
        <v>1</v>
      </c>
      <c r="AC29" s="1058">
        <f>D29/J29</f>
        <v>1</v>
      </c>
    </row>
    <row r="30" spans="1:29" s="855" customFormat="1" ht="15">
      <c r="A30" s="928"/>
      <c r="B30" s="945"/>
      <c r="C30" s="930" t="s">
        <v>236</v>
      </c>
      <c r="D30" s="919"/>
      <c r="E30" s="930" t="s">
        <v>236</v>
      </c>
      <c r="F30" s="919"/>
      <c r="G30" s="930" t="s">
        <v>236</v>
      </c>
      <c r="H30" s="919"/>
      <c r="I30" s="930" t="s">
        <v>236</v>
      </c>
      <c r="J30" s="919"/>
      <c r="K30" s="1030"/>
      <c r="L30" s="1026"/>
      <c r="M30" s="1027"/>
      <c r="N30" s="1027"/>
      <c r="O30" s="1029"/>
      <c r="P30" s="3333"/>
      <c r="Q30" s="795"/>
      <c r="R30" s="1070"/>
      <c r="S30" s="1071"/>
      <c r="T30" s="1070"/>
      <c r="U30" s="1071"/>
      <c r="V30" s="1070"/>
      <c r="W30" s="1071"/>
      <c r="X30" s="1072"/>
      <c r="Y30" s="3333"/>
      <c r="Z30" s="1082"/>
      <c r="AA30" s="1058">
        <v>1</v>
      </c>
      <c r="AB30" s="1058">
        <v>1</v>
      </c>
      <c r="AC30" s="1058">
        <v>1</v>
      </c>
    </row>
    <row r="31" spans="1:29" ht="15">
      <c r="A31" s="899"/>
      <c r="B31" s="945" t="s">
        <v>978</v>
      </c>
      <c r="C31" s="932" t="s">
        <v>979</v>
      </c>
      <c r="D31" s="765">
        <v>100</v>
      </c>
      <c r="E31" s="933" t="s">
        <v>979</v>
      </c>
      <c r="F31" s="765">
        <f>SUMIF(103:103,E31,104:104)-SUMIF(103:103,C31,104:104)+100</f>
        <v>100</v>
      </c>
      <c r="G31" s="933" t="s">
        <v>979</v>
      </c>
      <c r="H31" s="765">
        <f>SUMIF(103:103,G31,104:104)-SUMIF(103:103,C31,104:104)+100</f>
        <v>100</v>
      </c>
      <c r="I31" s="933" t="s">
        <v>979</v>
      </c>
      <c r="J31" s="765">
        <f>SUMIF(103:103,I31,104:104)-SUMIF(103:103,C31,104:104)+100</f>
        <v>100</v>
      </c>
      <c r="K31" s="1034">
        <v>3</v>
      </c>
      <c r="L31" s="1037"/>
      <c r="M31" s="971"/>
      <c r="N31" s="971"/>
      <c r="O31" s="1036"/>
      <c r="P31" s="3333"/>
      <c r="Q31" s="641" t="str">
        <f t="shared" si="8"/>
        <v>临街状况</v>
      </c>
      <c r="R31" s="1074" t="s">
        <v>956</v>
      </c>
      <c r="S31" s="1075">
        <f t="shared" ref="S31:S45" si="10">F31</f>
        <v>100</v>
      </c>
      <c r="T31" s="1074" t="s">
        <v>956</v>
      </c>
      <c r="U31" s="1075">
        <f t="shared" ref="U31:U45" si="11">H31</f>
        <v>100</v>
      </c>
      <c r="V31" s="1074" t="s">
        <v>956</v>
      </c>
      <c r="W31" s="1075">
        <f t="shared" ref="W31:W45" si="12">J31</f>
        <v>100</v>
      </c>
      <c r="X31" s="1069"/>
      <c r="Y31" s="3333"/>
      <c r="Z31" s="1058" t="str">
        <f t="shared" ref="Z31:Z45" si="13">Q31</f>
        <v>临街状况</v>
      </c>
      <c r="AA31" s="1058">
        <f t="shared" si="3"/>
        <v>1</v>
      </c>
      <c r="AB31" s="1058">
        <f t="shared" si="4"/>
        <v>1</v>
      </c>
      <c r="AC31" s="1058">
        <f t="shared" si="5"/>
        <v>1</v>
      </c>
    </row>
    <row r="32" spans="1:29" ht="27">
      <c r="A32" s="899"/>
      <c r="B32" s="1215" t="s">
        <v>980</v>
      </c>
      <c r="C32" s="1040"/>
      <c r="D32" s="921">
        <v>100</v>
      </c>
      <c r="E32" s="924"/>
      <c r="F32" s="921">
        <f>SUMIF(105:105,E33,106:106)-SUMIF(105:105,C33,106:106)+100</f>
        <v>100</v>
      </c>
      <c r="G32" s="924"/>
      <c r="H32" s="921">
        <f>SUMIF(105:105,G33,106:106)-SUMIF(105:105,C33,106:106)+100</f>
        <v>100</v>
      </c>
      <c r="I32" s="1040"/>
      <c r="J32" s="921">
        <f>SUMIF(105:105,I33,106:106)-SUMIF(105:105,C33,106:106)+100</f>
        <v>100</v>
      </c>
      <c r="K32" s="1034">
        <v>1</v>
      </c>
      <c r="L32" s="1037"/>
      <c r="M32" s="971"/>
      <c r="N32" s="971"/>
      <c r="O32" s="1036"/>
      <c r="P32" s="3333"/>
      <c r="Q32" s="641" t="str">
        <f t="shared" si="8"/>
        <v>毗邻道路的类型与等级</v>
      </c>
      <c r="R32" s="1074" t="s">
        <v>956</v>
      </c>
      <c r="S32" s="1075">
        <f t="shared" si="10"/>
        <v>100</v>
      </c>
      <c r="T32" s="1074" t="s">
        <v>956</v>
      </c>
      <c r="U32" s="1075">
        <f t="shared" si="11"/>
        <v>100</v>
      </c>
      <c r="V32" s="1074" t="s">
        <v>956</v>
      </c>
      <c r="W32" s="1075">
        <f t="shared" si="12"/>
        <v>100</v>
      </c>
      <c r="X32" s="1069"/>
      <c r="Y32" s="3333"/>
      <c r="Z32" s="1058" t="str">
        <f t="shared" si="13"/>
        <v>毗邻道路的类型与等级</v>
      </c>
      <c r="AA32" s="1058">
        <f t="shared" si="3"/>
        <v>1</v>
      </c>
      <c r="AB32" s="1058">
        <f t="shared" si="4"/>
        <v>1</v>
      </c>
      <c r="AC32" s="1058">
        <f t="shared" si="5"/>
        <v>1</v>
      </c>
    </row>
    <row r="33" spans="1:29" ht="15">
      <c r="A33" s="899"/>
      <c r="B33" s="945"/>
      <c r="C33" s="918" t="s">
        <v>682</v>
      </c>
      <c r="D33" s="919"/>
      <c r="E33" s="918" t="s">
        <v>682</v>
      </c>
      <c r="F33" s="919"/>
      <c r="G33" s="918" t="s">
        <v>682</v>
      </c>
      <c r="H33" s="919"/>
      <c r="I33" s="918" t="s">
        <v>682</v>
      </c>
      <c r="J33" s="919"/>
      <c r="K33" s="1043"/>
      <c r="L33" s="1037"/>
      <c r="M33" s="971"/>
      <c r="N33" s="971"/>
      <c r="O33" s="1036"/>
      <c r="P33" s="3333"/>
      <c r="Q33" s="641"/>
      <c r="R33" s="1074"/>
      <c r="S33" s="1075"/>
      <c r="T33" s="1074"/>
      <c r="U33" s="1075"/>
      <c r="V33" s="1074"/>
      <c r="W33" s="1075"/>
      <c r="X33" s="1069"/>
      <c r="Y33" s="3333"/>
      <c r="Z33" s="1058"/>
      <c r="AA33" s="1058">
        <v>1</v>
      </c>
      <c r="AB33" s="1058">
        <v>1</v>
      </c>
      <c r="AC33" s="1058">
        <v>1</v>
      </c>
    </row>
    <row r="34" spans="1:29" ht="15">
      <c r="A34" s="899"/>
      <c r="B34" s="896" t="s">
        <v>981</v>
      </c>
      <c r="C34" s="932"/>
      <c r="D34" s="765">
        <v>100</v>
      </c>
      <c r="E34" s="933"/>
      <c r="F34" s="765">
        <f>SUMIF(107:107,E34,108:108)-SUMIF(107:107,C34,108:108)+100</f>
        <v>100</v>
      </c>
      <c r="G34" s="933"/>
      <c r="H34" s="765">
        <f>SUMIF(107:107,G34,108:108)-SUMIF(107:107,C34,108:108)+100</f>
        <v>100</v>
      </c>
      <c r="I34" s="932"/>
      <c r="J34" s="765">
        <f>SUMIF(107:107,I34,108:108)-SUMIF(107:107,C34,108:108)+100</f>
        <v>100</v>
      </c>
      <c r="K34" s="1044"/>
      <c r="L34" s="1037"/>
      <c r="M34" s="971"/>
      <c r="N34" s="971"/>
      <c r="O34" s="1036"/>
      <c r="P34" s="3333"/>
      <c r="Q34" s="641" t="str">
        <f t="shared" si="8"/>
        <v>土地级别</v>
      </c>
      <c r="R34" s="1074" t="s">
        <v>956</v>
      </c>
      <c r="S34" s="1075">
        <f t="shared" si="10"/>
        <v>100</v>
      </c>
      <c r="T34" s="1074" t="s">
        <v>956</v>
      </c>
      <c r="U34" s="1075">
        <f t="shared" si="11"/>
        <v>100</v>
      </c>
      <c r="V34" s="1074" t="s">
        <v>956</v>
      </c>
      <c r="W34" s="1075">
        <f t="shared" si="12"/>
        <v>100</v>
      </c>
      <c r="X34" s="1069"/>
      <c r="Y34" s="3333"/>
      <c r="Z34" s="1058" t="str">
        <f t="shared" si="13"/>
        <v>土地级别</v>
      </c>
      <c r="AA34" s="1058">
        <f t="shared" si="3"/>
        <v>1</v>
      </c>
      <c r="AB34" s="1058">
        <f t="shared" si="4"/>
        <v>1</v>
      </c>
      <c r="AC34" s="1058">
        <f t="shared" si="5"/>
        <v>1</v>
      </c>
    </row>
    <row r="35" spans="1:29" ht="15">
      <c r="A35" s="878"/>
      <c r="B35" s="1133">
        <v>111</v>
      </c>
      <c r="C35" s="906"/>
      <c r="D35" s="765">
        <v>100</v>
      </c>
      <c r="E35" s="937"/>
      <c r="F35" s="765">
        <f>SUMIF(109:109,E35,110:110)-SUMIF(109:109,C35,110:110)+100</f>
        <v>100</v>
      </c>
      <c r="G35" s="937"/>
      <c r="H35" s="765">
        <f>SUMIF(109:109,G35,110:110)-SUMIF(109:109,C35,110:110)+100</f>
        <v>100</v>
      </c>
      <c r="I35" s="906"/>
      <c r="J35" s="765">
        <f>SUMIF(109:109,I35,110:110)-SUMIF(109:109,C35,110:110)+100</f>
        <v>100</v>
      </c>
      <c r="K35" s="1043"/>
      <c r="L35" s="1037"/>
      <c r="M35" s="971"/>
      <c r="N35" s="971"/>
      <c r="O35" s="1036"/>
      <c r="P35" s="3333"/>
      <c r="Q35" s="641">
        <f t="shared" si="8"/>
        <v>111</v>
      </c>
      <c r="R35" s="1074" t="s">
        <v>956</v>
      </c>
      <c r="S35" s="1075">
        <f t="shared" si="10"/>
        <v>100</v>
      </c>
      <c r="T35" s="1074" t="s">
        <v>956</v>
      </c>
      <c r="U35" s="1075">
        <f t="shared" si="11"/>
        <v>100</v>
      </c>
      <c r="V35" s="1074" t="s">
        <v>956</v>
      </c>
      <c r="W35" s="1075">
        <f t="shared" si="12"/>
        <v>100</v>
      </c>
      <c r="X35" s="1069"/>
      <c r="Y35" s="3333"/>
      <c r="Z35" s="1058">
        <f t="shared" si="13"/>
        <v>111</v>
      </c>
      <c r="AA35" s="1058">
        <f t="shared" si="3"/>
        <v>1</v>
      </c>
      <c r="AB35" s="1058">
        <f t="shared" si="4"/>
        <v>1</v>
      </c>
      <c r="AC35" s="1058">
        <f t="shared" si="5"/>
        <v>1</v>
      </c>
    </row>
    <row r="36" spans="1:29" ht="15">
      <c r="A36" s="938"/>
      <c r="B36" s="951">
        <v>111</v>
      </c>
      <c r="C36" s="906"/>
      <c r="D36" s="765">
        <v>100</v>
      </c>
      <c r="E36" s="937"/>
      <c r="F36" s="765">
        <f>SUMIF(111:111,E37,112:112)-SUMIF(111:111,C37,112:112)+100</f>
        <v>100</v>
      </c>
      <c r="G36" s="937"/>
      <c r="H36" s="765">
        <f>SUMIF(111:111,G36,112:112)-SUMIF(111:111,C36,112:112)+100</f>
        <v>100</v>
      </c>
      <c r="I36" s="906"/>
      <c r="J36" s="765">
        <f>SUMIF(111:111,I36,112:112)-SUMIF(111:111,C36,112:112)+100</f>
        <v>100</v>
      </c>
      <c r="K36" s="1043"/>
      <c r="L36" s="1037"/>
      <c r="M36" s="971"/>
      <c r="N36" s="971"/>
      <c r="O36" s="1036"/>
      <c r="P36" s="3334" t="s">
        <v>982</v>
      </c>
      <c r="Q36" s="641">
        <f t="shared" si="8"/>
        <v>111</v>
      </c>
      <c r="R36" s="1074" t="s">
        <v>956</v>
      </c>
      <c r="S36" s="1075">
        <f t="shared" si="10"/>
        <v>100</v>
      </c>
      <c r="T36" s="1074" t="s">
        <v>956</v>
      </c>
      <c r="U36" s="1075">
        <f t="shared" si="11"/>
        <v>100</v>
      </c>
      <c r="V36" s="1074" t="s">
        <v>956</v>
      </c>
      <c r="W36" s="1075">
        <f t="shared" si="12"/>
        <v>100</v>
      </c>
      <c r="X36" s="1069"/>
      <c r="Y36" s="3335" t="s">
        <v>982</v>
      </c>
      <c r="Z36" s="1058">
        <f t="shared" si="13"/>
        <v>111</v>
      </c>
      <c r="AA36" s="1058">
        <f t="shared" si="3"/>
        <v>1</v>
      </c>
      <c r="AB36" s="1058">
        <f t="shared" si="4"/>
        <v>1</v>
      </c>
      <c r="AC36" s="1058">
        <f t="shared" si="5"/>
        <v>1</v>
      </c>
    </row>
    <row r="37" spans="1:29" s="857" customFormat="1" ht="15">
      <c r="A37" s="940"/>
      <c r="B37" s="2111">
        <v>111</v>
      </c>
      <c r="C37" s="942"/>
      <c r="D37" s="943">
        <v>100</v>
      </c>
      <c r="E37" s="944"/>
      <c r="F37" s="911">
        <f>SUMIF(113:113,E37,114:114)-SUMIF(113:113,C37,114:114)+100</f>
        <v>100</v>
      </c>
      <c r="G37" s="944"/>
      <c r="H37" s="911">
        <f>SUMIF(113:113,G37,114:114)-SUMIF(113:113,C37,114:114)+100</f>
        <v>100</v>
      </c>
      <c r="I37" s="942"/>
      <c r="J37" s="911">
        <f>SUMIF(113:113,I37,114:114)-SUMIF(113:113,C37,114:114)+100</f>
        <v>100</v>
      </c>
      <c r="K37" s="1043"/>
      <c r="L37" s="1035"/>
      <c r="M37" s="1045"/>
      <c r="N37" s="1045"/>
      <c r="O37" s="1046"/>
      <c r="P37" s="3335"/>
      <c r="Q37" s="641">
        <f t="shared" si="8"/>
        <v>111</v>
      </c>
      <c r="R37" s="1076" t="s">
        <v>956</v>
      </c>
      <c r="S37" s="1077">
        <f t="shared" si="10"/>
        <v>100</v>
      </c>
      <c r="T37" s="1076" t="s">
        <v>956</v>
      </c>
      <c r="U37" s="1077">
        <f t="shared" si="11"/>
        <v>100</v>
      </c>
      <c r="V37" s="1076" t="s">
        <v>956</v>
      </c>
      <c r="W37" s="1077">
        <f t="shared" si="12"/>
        <v>100</v>
      </c>
      <c r="X37" s="1078"/>
      <c r="Y37" s="3335"/>
      <c r="Z37" s="1083">
        <f t="shared" si="13"/>
        <v>111</v>
      </c>
      <c r="AA37" s="1058">
        <f t="shared" si="3"/>
        <v>1</v>
      </c>
      <c r="AB37" s="1058">
        <f t="shared" si="4"/>
        <v>1</v>
      </c>
      <c r="AC37" s="1058">
        <f t="shared" si="5"/>
        <v>1</v>
      </c>
    </row>
    <row r="38" spans="1:29" ht="15">
      <c r="A38" s="947" t="s">
        <v>983</v>
      </c>
      <c r="B38" s="945" t="s">
        <v>984</v>
      </c>
      <c r="C38" s="3485">
        <f>'数据-基础表'!A13</f>
        <v>142581.63</v>
      </c>
      <c r="D38" s="876">
        <v>100</v>
      </c>
      <c r="E38" s="946">
        <f>土地!I5</f>
        <v>69893.14</v>
      </c>
      <c r="F38" s="876">
        <f>LOOKUP(E38,116:116,117:117)-LOOKUP(C38,116:116,117:117)+100</f>
        <v>102</v>
      </c>
      <c r="G38" s="946">
        <f>土地!I16</f>
        <v>51409.62</v>
      </c>
      <c r="H38" s="876">
        <f>LOOKUP(G38,116:116,117:117)-LOOKUP(C38,116:116,117:117)+100</f>
        <v>102</v>
      </c>
      <c r="I38" s="1047">
        <f>土地!I17</f>
        <v>40739.620000000003</v>
      </c>
      <c r="J38" s="876">
        <f>LOOKUP(I38,116:116,117:117)-LOOKUP(C38,116:116,117:117)+100</f>
        <v>100</v>
      </c>
      <c r="K38" s="1043"/>
      <c r="L38" s="1037"/>
      <c r="M38" s="971"/>
      <c r="N38" s="971"/>
      <c r="O38" s="1036"/>
      <c r="P38" s="3335"/>
      <c r="Q38" s="641" t="str">
        <f t="shared" si="8"/>
        <v>宗地面积</v>
      </c>
      <c r="R38" s="1074" t="s">
        <v>956</v>
      </c>
      <c r="S38" s="1075">
        <f t="shared" si="10"/>
        <v>102</v>
      </c>
      <c r="T38" s="1074" t="s">
        <v>956</v>
      </c>
      <c r="U38" s="1075">
        <f t="shared" si="11"/>
        <v>102</v>
      </c>
      <c r="V38" s="1074" t="s">
        <v>956</v>
      </c>
      <c r="W38" s="1075">
        <f t="shared" si="12"/>
        <v>100</v>
      </c>
      <c r="X38" s="1069"/>
      <c r="Y38" s="3335"/>
      <c r="Z38" s="1058" t="str">
        <f t="shared" si="13"/>
        <v>宗地面积</v>
      </c>
      <c r="AA38" s="1058">
        <f t="shared" si="3"/>
        <v>0.98039215686274506</v>
      </c>
      <c r="AB38" s="1058">
        <f t="shared" si="4"/>
        <v>0.98039215686274506</v>
      </c>
      <c r="AC38" s="1058">
        <f t="shared" si="5"/>
        <v>1</v>
      </c>
    </row>
    <row r="39" spans="1:29" ht="15">
      <c r="A39" s="947"/>
      <c r="B39" s="896" t="s">
        <v>985</v>
      </c>
      <c r="C39" s="948" t="s">
        <v>986</v>
      </c>
      <c r="D39" s="765">
        <v>100</v>
      </c>
      <c r="E39" s="948" t="s">
        <v>986</v>
      </c>
      <c r="F39" s="765">
        <f>SUMIF(118:118,E39,119:119)-SUMIF(118:118,C39,119:119)+100</f>
        <v>100</v>
      </c>
      <c r="G39" s="948" t="s">
        <v>986</v>
      </c>
      <c r="H39" s="765">
        <f>SUMIF(118:118,G39,119:119)-SUMIF(118:118,C39,119:119)+100</f>
        <v>100</v>
      </c>
      <c r="I39" s="948" t="s">
        <v>986</v>
      </c>
      <c r="J39" s="765">
        <f>SUMIF(118:118,I39,119:119)-SUMIF(118:118,C39,119:119)+100</f>
        <v>100</v>
      </c>
      <c r="K39" s="1044">
        <v>2</v>
      </c>
      <c r="L39" s="1037"/>
      <c r="M39" s="971"/>
      <c r="N39" s="971"/>
      <c r="O39" s="1036"/>
      <c r="P39" s="3335"/>
      <c r="Q39" s="641" t="str">
        <f t="shared" ref="Q39:Q45" si="14">B39</f>
        <v>宗地形状</v>
      </c>
      <c r="R39" s="1074" t="s">
        <v>956</v>
      </c>
      <c r="S39" s="1075">
        <f t="shared" si="10"/>
        <v>100</v>
      </c>
      <c r="T39" s="1074" t="s">
        <v>956</v>
      </c>
      <c r="U39" s="1075">
        <f t="shared" si="11"/>
        <v>100</v>
      </c>
      <c r="V39" s="1074" t="s">
        <v>956</v>
      </c>
      <c r="W39" s="1075">
        <f t="shared" si="12"/>
        <v>100</v>
      </c>
      <c r="X39" s="1069"/>
      <c r="Y39" s="3335"/>
      <c r="Z39" s="1058" t="str">
        <f t="shared" si="13"/>
        <v>宗地形状</v>
      </c>
      <c r="AA39" s="1058">
        <f t="shared" si="3"/>
        <v>1</v>
      </c>
      <c r="AB39" s="1058">
        <f t="shared" si="4"/>
        <v>1</v>
      </c>
      <c r="AC39" s="1058">
        <f t="shared" si="5"/>
        <v>1</v>
      </c>
    </row>
    <row r="40" spans="1:29" ht="15">
      <c r="A40" s="947"/>
      <c r="B40" s="896" t="s">
        <v>987</v>
      </c>
      <c r="C40" s="948" t="s">
        <v>988</v>
      </c>
      <c r="D40" s="765">
        <v>100</v>
      </c>
      <c r="E40" s="948" t="s">
        <v>988</v>
      </c>
      <c r="F40" s="765">
        <f>SUMIF(120:120,E40,121:121)-SUMIF(120:120,C40,121:121)+100</f>
        <v>100</v>
      </c>
      <c r="G40" s="948" t="s">
        <v>988</v>
      </c>
      <c r="H40" s="765">
        <f>SUMIF(120:120,G40,121:121)-SUMIF(120:120,C40,121:121)+100</f>
        <v>100</v>
      </c>
      <c r="I40" s="948" t="s">
        <v>988</v>
      </c>
      <c r="J40" s="765">
        <f>SUMIF(120:120,I40,121:121)-SUMIF(120:120,C40,121:121)+100</f>
        <v>100</v>
      </c>
      <c r="K40" s="1044">
        <v>2</v>
      </c>
      <c r="L40" s="1037"/>
      <c r="M40" s="971"/>
      <c r="N40" s="971"/>
      <c r="O40" s="1036"/>
      <c r="P40" s="3335"/>
      <c r="Q40" s="641" t="str">
        <f t="shared" si="14"/>
        <v>临街宽度及深度</v>
      </c>
      <c r="R40" s="1074" t="s">
        <v>956</v>
      </c>
      <c r="S40" s="1075">
        <f t="shared" si="10"/>
        <v>100</v>
      </c>
      <c r="T40" s="1074" t="s">
        <v>956</v>
      </c>
      <c r="U40" s="1075">
        <f t="shared" si="11"/>
        <v>100</v>
      </c>
      <c r="V40" s="1074" t="s">
        <v>956</v>
      </c>
      <c r="W40" s="1075">
        <f t="shared" si="12"/>
        <v>100</v>
      </c>
      <c r="X40" s="1069"/>
      <c r="Y40" s="3335"/>
      <c r="Z40" s="1058" t="str">
        <f t="shared" si="13"/>
        <v>临街宽度及深度</v>
      </c>
      <c r="AA40" s="1058">
        <f t="shared" si="3"/>
        <v>1</v>
      </c>
      <c r="AB40" s="1058">
        <f t="shared" si="4"/>
        <v>1</v>
      </c>
      <c r="AC40" s="1058">
        <f t="shared" si="5"/>
        <v>1</v>
      </c>
    </row>
    <row r="41" spans="1:29" s="855" customFormat="1" ht="15">
      <c r="A41" s="949"/>
      <c r="B41" s="896" t="s">
        <v>989</v>
      </c>
      <c r="C41" s="950" t="s">
        <v>246</v>
      </c>
      <c r="D41" s="898">
        <v>100</v>
      </c>
      <c r="E41" s="950" t="s">
        <v>246</v>
      </c>
      <c r="F41" s="765">
        <f>SUMIF(122:122,E41,123:123)-SUMIF(122:122,C41,123:123)+100</f>
        <v>100</v>
      </c>
      <c r="G41" s="950" t="s">
        <v>246</v>
      </c>
      <c r="H41" s="765">
        <f>SUMIF(122:122,G41,123:123)-SUMIF(122:122,C41,123:123)+100</f>
        <v>100</v>
      </c>
      <c r="I41" s="950" t="s">
        <v>263</v>
      </c>
      <c r="J41" s="765">
        <f>SUMIF(122:122,I41,123:123)-SUMIF(122:122,C41,123:123)+100</f>
        <v>98</v>
      </c>
      <c r="K41" s="1044">
        <v>1</v>
      </c>
      <c r="L41" s="1026"/>
      <c r="M41" s="1027"/>
      <c r="N41" s="1027"/>
      <c r="O41" s="1029"/>
      <c r="P41" s="3335"/>
      <c r="Q41" s="641" t="str">
        <f t="shared" si="14"/>
        <v>宗地开发程度</v>
      </c>
      <c r="R41" s="1070" t="s">
        <v>956</v>
      </c>
      <c r="S41" s="1071">
        <f t="shared" si="10"/>
        <v>100</v>
      </c>
      <c r="T41" s="1070" t="s">
        <v>956</v>
      </c>
      <c r="U41" s="1071">
        <f t="shared" si="11"/>
        <v>100</v>
      </c>
      <c r="V41" s="1070" t="s">
        <v>956</v>
      </c>
      <c r="W41" s="1071">
        <f t="shared" si="12"/>
        <v>98</v>
      </c>
      <c r="X41" s="1072"/>
      <c r="Y41" s="3335"/>
      <c r="Z41" s="1082" t="str">
        <f t="shared" si="13"/>
        <v>宗地开发程度</v>
      </c>
      <c r="AA41" s="1082">
        <f t="shared" si="3"/>
        <v>1</v>
      </c>
      <c r="AB41" s="1082">
        <f t="shared" si="4"/>
        <v>1</v>
      </c>
      <c r="AC41" s="1082">
        <f t="shared" si="5"/>
        <v>1.0204081632653061</v>
      </c>
    </row>
    <row r="42" spans="1:29" ht="15">
      <c r="A42" s="947"/>
      <c r="B42" s="896" t="s">
        <v>990</v>
      </c>
      <c r="C42" s="948" t="s">
        <v>970</v>
      </c>
      <c r="D42" s="765">
        <v>100</v>
      </c>
      <c r="E42" s="948" t="s">
        <v>970</v>
      </c>
      <c r="F42" s="765">
        <f>SUMIF(124:124,E42,125:125)-SUMIF(124:124,C42,125:125)+100</f>
        <v>100</v>
      </c>
      <c r="G42" s="948" t="s">
        <v>970</v>
      </c>
      <c r="H42" s="765">
        <f>SUMIF(124:124,G42,125:125)-SUMIF(124:124,C42,125:125)+100</f>
        <v>100</v>
      </c>
      <c r="I42" s="948" t="s">
        <v>970</v>
      </c>
      <c r="J42" s="765">
        <f>SUMIF(124:124,I42,125:125)-SUMIF(124:124,C42,125:125)+100</f>
        <v>100</v>
      </c>
      <c r="K42" s="1044">
        <v>2</v>
      </c>
      <c r="L42" s="1037"/>
      <c r="M42" s="971"/>
      <c r="N42" s="971"/>
      <c r="O42" s="1036"/>
      <c r="P42" s="3335" t="s">
        <v>982</v>
      </c>
      <c r="Q42" s="641" t="str">
        <f t="shared" si="14"/>
        <v>工程地质条件</v>
      </c>
      <c r="R42" s="1074" t="s">
        <v>956</v>
      </c>
      <c r="S42" s="1075">
        <f t="shared" si="10"/>
        <v>100</v>
      </c>
      <c r="T42" s="1074" t="s">
        <v>956</v>
      </c>
      <c r="U42" s="1075">
        <f t="shared" si="11"/>
        <v>100</v>
      </c>
      <c r="V42" s="1074" t="s">
        <v>956</v>
      </c>
      <c r="W42" s="1075">
        <f t="shared" si="12"/>
        <v>100</v>
      </c>
      <c r="X42" s="1069"/>
      <c r="Y42" s="3335" t="s">
        <v>982</v>
      </c>
      <c r="Z42" s="1058" t="str">
        <f t="shared" si="13"/>
        <v>工程地质条件</v>
      </c>
      <c r="AA42" s="1058">
        <f t="shared" si="3"/>
        <v>1</v>
      </c>
      <c r="AB42" s="1058">
        <f t="shared" si="4"/>
        <v>1</v>
      </c>
      <c r="AC42" s="1058">
        <f t="shared" si="5"/>
        <v>1</v>
      </c>
    </row>
    <row r="43" spans="1:29" ht="15">
      <c r="A43" s="947"/>
      <c r="B43" s="951">
        <v>111</v>
      </c>
      <c r="C43" s="906"/>
      <c r="D43" s="765">
        <v>100</v>
      </c>
      <c r="E43" s="906"/>
      <c r="F43" s="765">
        <f>SUMIF(126:126,E43,127:127)-SUMIF(126:126,C43,127:127)+100</f>
        <v>100</v>
      </c>
      <c r="G43" s="906"/>
      <c r="H43" s="765">
        <f>SUMIF(126:126,G43,127:127)-SUMIF(126:126,C43,127:127)+100</f>
        <v>100</v>
      </c>
      <c r="I43" s="905"/>
      <c r="J43" s="765">
        <f>SUMIF(126:126,I43,127:127)-SUMIF(126:126,C43,127:127)+100</f>
        <v>100</v>
      </c>
      <c r="K43" s="1043"/>
      <c r="L43" s="1037"/>
      <c r="M43" s="971"/>
      <c r="N43" s="971"/>
      <c r="O43" s="1036"/>
      <c r="P43" s="3335"/>
      <c r="Q43" s="641">
        <f t="shared" si="14"/>
        <v>111</v>
      </c>
      <c r="R43" s="1074" t="s">
        <v>956</v>
      </c>
      <c r="S43" s="1075">
        <f t="shared" si="10"/>
        <v>100</v>
      </c>
      <c r="T43" s="1074" t="s">
        <v>956</v>
      </c>
      <c r="U43" s="1075">
        <f t="shared" si="11"/>
        <v>100</v>
      </c>
      <c r="V43" s="1074" t="s">
        <v>956</v>
      </c>
      <c r="W43" s="1075">
        <f t="shared" si="12"/>
        <v>100</v>
      </c>
      <c r="X43" s="1069"/>
      <c r="Y43" s="3335"/>
      <c r="Z43" s="1058">
        <f t="shared" si="13"/>
        <v>111</v>
      </c>
      <c r="AA43" s="1058">
        <f t="shared" si="3"/>
        <v>1</v>
      </c>
      <c r="AB43" s="1058">
        <f t="shared" si="4"/>
        <v>1</v>
      </c>
      <c r="AC43" s="1058">
        <f t="shared" si="5"/>
        <v>1</v>
      </c>
    </row>
    <row r="44" spans="1:29" ht="15">
      <c r="A44" s="947"/>
      <c r="B44" s="951">
        <v>111</v>
      </c>
      <c r="C44" s="906"/>
      <c r="D44" s="765">
        <v>100</v>
      </c>
      <c r="E44" s="906"/>
      <c r="F44" s="765">
        <f>SUMIF(128:128,E44,129:129)-SUMIF(128:128,C44,129:129)+100</f>
        <v>100</v>
      </c>
      <c r="G44" s="906"/>
      <c r="H44" s="765">
        <f>SUMIF(128:128,G44,129:129)-SUMIF(128:128,C44,129:129)+100</f>
        <v>100</v>
      </c>
      <c r="I44" s="905"/>
      <c r="J44" s="765">
        <f>SUMIF(128:128,I44,129:129)-SUMIF(128:128,C44,129:129)+100</f>
        <v>100</v>
      </c>
      <c r="K44" s="1043"/>
      <c r="L44" s="1037"/>
      <c r="M44" s="971"/>
      <c r="N44" s="971"/>
      <c r="O44" s="1036"/>
      <c r="P44" s="3335"/>
      <c r="Q44" s="641">
        <f t="shared" si="14"/>
        <v>111</v>
      </c>
      <c r="R44" s="1074" t="s">
        <v>956</v>
      </c>
      <c r="S44" s="1075">
        <f t="shared" si="10"/>
        <v>100</v>
      </c>
      <c r="T44" s="1074" t="s">
        <v>956</v>
      </c>
      <c r="U44" s="1075">
        <f t="shared" si="11"/>
        <v>100</v>
      </c>
      <c r="V44" s="1074" t="s">
        <v>956</v>
      </c>
      <c r="W44" s="1075">
        <f t="shared" si="12"/>
        <v>100</v>
      </c>
      <c r="X44" s="1069"/>
      <c r="Y44" s="3335"/>
      <c r="Z44" s="1058">
        <f t="shared" si="13"/>
        <v>111</v>
      </c>
      <c r="AA44" s="1058">
        <f t="shared" si="3"/>
        <v>1</v>
      </c>
      <c r="AB44" s="1058">
        <f t="shared" si="4"/>
        <v>1</v>
      </c>
      <c r="AC44" s="1058">
        <f t="shared" si="5"/>
        <v>1</v>
      </c>
    </row>
    <row r="45" spans="1:29" s="857" customFormat="1" ht="15">
      <c r="A45" s="952"/>
      <c r="B45" s="951">
        <v>111</v>
      </c>
      <c r="C45" s="953"/>
      <c r="D45" s="2112">
        <v>100</v>
      </c>
      <c r="E45" s="906"/>
      <c r="F45" s="911">
        <f>SUMIF(130:130,E45,131:131)-SUMIF(130:130,C45,131:131)+100</f>
        <v>100</v>
      </c>
      <c r="G45" s="906"/>
      <c r="H45" s="911">
        <f>SUMIF(130:130,G45,131:131)-SUMIF(130:130,C45,131:131)+100</f>
        <v>100</v>
      </c>
      <c r="I45" s="906"/>
      <c r="J45" s="911">
        <f>SUMIF(130:130,I45,131:131)-SUMIF(130:130,C45,131:131)+100</f>
        <v>100</v>
      </c>
      <c r="K45" s="1048"/>
      <c r="L45" s="1035"/>
      <c r="M45" s="1045"/>
      <c r="N45" s="1045"/>
      <c r="O45" s="1046"/>
      <c r="P45" s="3335"/>
      <c r="Q45" s="641">
        <f t="shared" si="14"/>
        <v>111</v>
      </c>
      <c r="R45" s="1076" t="s">
        <v>956</v>
      </c>
      <c r="S45" s="1077">
        <f t="shared" si="10"/>
        <v>100</v>
      </c>
      <c r="T45" s="1076" t="s">
        <v>956</v>
      </c>
      <c r="U45" s="1077">
        <f t="shared" si="11"/>
        <v>100</v>
      </c>
      <c r="V45" s="1076" t="s">
        <v>956</v>
      </c>
      <c r="W45" s="1077">
        <f t="shared" si="12"/>
        <v>100</v>
      </c>
      <c r="X45" s="1078"/>
      <c r="Y45" s="3335"/>
      <c r="Z45" s="1083">
        <f t="shared" si="13"/>
        <v>111</v>
      </c>
      <c r="AA45" s="1058">
        <f t="shared" si="3"/>
        <v>1</v>
      </c>
      <c r="AB45" s="1058">
        <f t="shared" si="4"/>
        <v>1</v>
      </c>
      <c r="AC45" s="1058">
        <f t="shared" si="5"/>
        <v>1</v>
      </c>
    </row>
    <row r="46" spans="1:29" ht="15">
      <c r="A46" s="954" t="s">
        <v>991</v>
      </c>
      <c r="B46" s="955" t="s">
        <v>992</v>
      </c>
      <c r="C46" s="956" t="s">
        <v>124</v>
      </c>
      <c r="D46" s="957"/>
      <c r="E46" s="958">
        <f>土地!AU5</f>
        <v>18524</v>
      </c>
      <c r="F46" s="959"/>
      <c r="G46" s="960">
        <f>土地!AO16</f>
        <v>19858</v>
      </c>
      <c r="H46" s="961"/>
      <c r="I46" s="958">
        <f>土地!AO17</f>
        <v>18671</v>
      </c>
      <c r="J46" s="961"/>
      <c r="K46" s="1049"/>
      <c r="L46" s="1050"/>
      <c r="M46" s="971"/>
      <c r="N46" s="971"/>
      <c r="O46" s="971"/>
      <c r="P46" s="3330" t="str">
        <f>A46</f>
        <v>成交单价</v>
      </c>
      <c r="Q46" s="3330"/>
      <c r="R46" s="3331">
        <f>E46</f>
        <v>18524</v>
      </c>
      <c r="S46" s="3331"/>
      <c r="T46" s="3331">
        <f>G46</f>
        <v>19858</v>
      </c>
      <c r="U46" s="3331"/>
      <c r="V46" s="3331">
        <f>I46</f>
        <v>18671</v>
      </c>
      <c r="W46" s="3331"/>
      <c r="X46" s="1011"/>
      <c r="Y46" s="1084"/>
      <c r="Z46" s="1011"/>
      <c r="AA46" s="1011"/>
      <c r="AB46" s="1011"/>
      <c r="AC46" s="1011"/>
    </row>
    <row r="47" spans="1:29" ht="15">
      <c r="A47" s="962" t="s">
        <v>993</v>
      </c>
      <c r="B47" s="963"/>
      <c r="C47" s="964">
        <f>R48</f>
        <v>15420</v>
      </c>
      <c r="D47" s="965" t="s">
        <v>994</v>
      </c>
      <c r="E47" s="964">
        <f>R47</f>
        <v>14435</v>
      </c>
      <c r="F47" s="966"/>
      <c r="G47" s="967">
        <f>T47</f>
        <v>15696</v>
      </c>
      <c r="H47" s="966"/>
      <c r="I47" s="964">
        <f>V47</f>
        <v>16128</v>
      </c>
      <c r="J47" s="966"/>
      <c r="K47" s="1051">
        <f>F47+H47+J47</f>
        <v>0</v>
      </c>
      <c r="L47" s="1050"/>
      <c r="M47" s="971"/>
      <c r="N47" s="971"/>
      <c r="O47" s="971"/>
      <c r="P47" s="3330" t="str">
        <f>A47</f>
        <v>比较价值（元/平方米）</v>
      </c>
      <c r="Q47" s="3330"/>
      <c r="R47" s="3353">
        <f>ROUND(PRODUCT(R46,AA7:AA45),0)</f>
        <v>14435</v>
      </c>
      <c r="S47" s="3353"/>
      <c r="T47" s="3353">
        <f>ROUND(PRODUCT(T46,AB7:AB45),0)</f>
        <v>15696</v>
      </c>
      <c r="U47" s="3353"/>
      <c r="V47" s="3353">
        <f>ROUND(PRODUCT(V46,AC7:AC45),0)</f>
        <v>16128</v>
      </c>
      <c r="W47" s="3353"/>
      <c r="X47" s="1011"/>
      <c r="Y47" s="1011"/>
      <c r="Z47" s="1011"/>
      <c r="AA47" s="1011"/>
      <c r="AB47" s="1011"/>
      <c r="AC47" s="1011"/>
    </row>
    <row r="48" spans="1:29" ht="15">
      <c r="A48" s="968" t="s">
        <v>995</v>
      </c>
      <c r="B48" s="969"/>
      <c r="C48" s="970">
        <f>R48</f>
        <v>15420</v>
      </c>
      <c r="D48" s="970"/>
      <c r="E48" s="970"/>
      <c r="F48" s="970"/>
      <c r="G48" s="970"/>
      <c r="H48" s="970"/>
      <c r="I48" s="970"/>
      <c r="J48" s="970"/>
      <c r="K48" s="1052"/>
      <c r="L48" s="1050"/>
      <c r="M48" s="971"/>
      <c r="N48" s="971"/>
      <c r="O48" s="971"/>
      <c r="P48" s="3354" t="str">
        <f>A48</f>
        <v>估价对象XX用房的比较价值（楼面单价，元/平方米）</v>
      </c>
      <c r="Q48" s="3355"/>
      <c r="R48" s="3356">
        <f>ROUND(IF(D47="简单平均",AVERAGE(R47:W47),R47*F47+T47*H47+V47*J47),0)</f>
        <v>15420</v>
      </c>
      <c r="S48" s="3356"/>
      <c r="T48" s="3356"/>
      <c r="U48" s="3356"/>
      <c r="V48" s="3356"/>
      <c r="W48" s="3356"/>
      <c r="X48" s="1011"/>
      <c r="Y48" s="1011"/>
      <c r="Z48" s="1011"/>
      <c r="AA48" s="1011"/>
      <c r="AB48" s="1011"/>
      <c r="AC48" s="1011"/>
    </row>
    <row r="49" spans="1:29">
      <c r="A49" s="971"/>
      <c r="B49" s="971"/>
      <c r="C49" s="971"/>
      <c r="D49" s="971"/>
      <c r="E49" s="971"/>
      <c r="F49" s="971"/>
      <c r="G49" s="972"/>
      <c r="H49" s="971"/>
      <c r="I49" s="971"/>
      <c r="J49" s="971"/>
      <c r="K49" s="1054"/>
      <c r="L49" s="1055"/>
      <c r="M49" s="971"/>
      <c r="N49" s="971"/>
      <c r="O49" s="971"/>
      <c r="P49" s="971"/>
      <c r="Q49" s="971"/>
      <c r="R49" s="971"/>
      <c r="S49" s="971"/>
      <c r="T49" s="971"/>
      <c r="U49" s="971"/>
      <c r="V49" s="971"/>
      <c r="W49" s="971"/>
      <c r="X49" s="971"/>
      <c r="Y49" s="971"/>
      <c r="Z49" s="971"/>
      <c r="AA49" s="971"/>
      <c r="AB49" s="971"/>
      <c r="AC49" s="971"/>
    </row>
    <row r="50" spans="1:29">
      <c r="A50" s="971"/>
      <c r="B50" s="971"/>
      <c r="C50" s="971"/>
      <c r="D50" s="971"/>
      <c r="E50" s="971"/>
      <c r="F50" s="971"/>
      <c r="G50" s="971"/>
      <c r="H50" s="971"/>
      <c r="I50" s="971"/>
      <c r="J50" s="971"/>
      <c r="K50" s="1054"/>
      <c r="L50" s="1055"/>
      <c r="M50" s="971"/>
      <c r="N50" s="971"/>
      <c r="O50" s="971"/>
      <c r="P50" s="971"/>
      <c r="Q50" s="971"/>
      <c r="R50" s="971"/>
      <c r="S50" s="971"/>
      <c r="T50" s="971"/>
      <c r="U50" s="971"/>
      <c r="V50" s="971"/>
      <c r="W50" s="971"/>
      <c r="X50" s="971"/>
      <c r="Y50" s="971"/>
      <c r="Z50" s="971"/>
      <c r="AA50" s="971"/>
      <c r="AB50" s="971"/>
      <c r="AC50" s="971"/>
    </row>
    <row r="51" spans="1:29" ht="13.5" customHeight="1">
      <c r="A51" s="971"/>
      <c r="B51" s="971"/>
      <c r="C51" s="973" t="s">
        <v>996</v>
      </c>
      <c r="D51" s="683"/>
      <c r="E51" s="974">
        <f>IF(E46&lt;E47,E47/E46-1,E46/E47-1)</f>
        <v>0.2832698302736405</v>
      </c>
      <c r="F51" s="975" t="str">
        <f>IF(OR(E51&gt;=0.3,E51&lt;=-0.3),"超过30%","")</f>
        <v/>
      </c>
      <c r="G51" s="974">
        <f>IF(G46&lt;G47,G47/G46-1,G46/G47-1)</f>
        <v>0.26516309887869527</v>
      </c>
      <c r="H51" s="975" t="str">
        <f>IF(OR(G51&gt;=0.3,G51&lt;=-0.3),"超过30%","")</f>
        <v/>
      </c>
      <c r="I51" s="974">
        <f>IF(I46&lt;I47,I47/I46-1,I46/I47-1)</f>
        <v>0.15767609126984117</v>
      </c>
      <c r="J51" s="975" t="str">
        <f>IF(OR(I51&gt;=0.3,I51&lt;=-0.3),"超过30%","")</f>
        <v/>
      </c>
      <c r="K51" s="1054"/>
      <c r="L51" s="1055"/>
      <c r="M51" s="971"/>
      <c r="N51" s="971"/>
      <c r="O51" s="971"/>
      <c r="P51" s="971"/>
      <c r="Q51" s="971"/>
      <c r="R51" s="971"/>
      <c r="S51" s="971"/>
      <c r="T51" s="971"/>
      <c r="U51" s="971"/>
      <c r="V51" s="971"/>
      <c r="W51" s="971"/>
      <c r="X51" s="971"/>
      <c r="Y51" s="971"/>
      <c r="Z51" s="971"/>
      <c r="AA51" s="971"/>
      <c r="AB51" s="971"/>
      <c r="AC51" s="971"/>
    </row>
    <row r="52" spans="1:29" ht="13.5" customHeight="1">
      <c r="A52" s="971"/>
      <c r="B52" s="971"/>
      <c r="C52" s="973" t="s">
        <v>997</v>
      </c>
      <c r="D52" s="682"/>
      <c r="E52" s="974">
        <f>IF(E47&lt;G47,G47/E47-1,E47/G47-1)</f>
        <v>8.7357118115691135E-2</v>
      </c>
      <c r="F52" s="975" t="str">
        <f>IF(OR(E52&gt;=0.2,E52&lt;=-0.2),"超过20%","")</f>
        <v/>
      </c>
      <c r="G52" s="974">
        <f>IF(G47&lt;I47,I47/G47-1,G47/I47-1)</f>
        <v>2.7522935779816571E-2</v>
      </c>
      <c r="H52" s="975" t="str">
        <f>IF(OR(G52&gt;=0.2,G52&lt;=-0.2),"超过20%","")</f>
        <v/>
      </c>
      <c r="I52" s="974">
        <f>IF(I47&lt;E47,E47/I47-1,I47/E47-1)</f>
        <v>0.11728437824731563</v>
      </c>
      <c r="J52" s="975" t="str">
        <f>IF(OR(I52&gt;=0.2,I52&lt;=-0.2),"超过20%","")</f>
        <v/>
      </c>
      <c r="K52" s="1054"/>
      <c r="L52" s="1055"/>
      <c r="M52" s="971"/>
      <c r="N52" s="971"/>
      <c r="O52" s="971"/>
      <c r="P52" s="971"/>
      <c r="Q52" s="971"/>
      <c r="R52" s="971"/>
      <c r="S52" s="971"/>
      <c r="T52" s="971"/>
      <c r="U52" s="971"/>
      <c r="V52" s="971"/>
      <c r="W52" s="971"/>
      <c r="X52" s="971"/>
      <c r="Y52" s="971"/>
      <c r="Z52" s="971"/>
      <c r="AA52" s="971"/>
      <c r="AB52" s="971"/>
      <c r="AC52" s="971"/>
    </row>
    <row r="53" spans="1:29" s="858" customFormat="1" ht="13.5" customHeight="1">
      <c r="A53" s="976"/>
      <c r="B53" s="976"/>
      <c r="C53" s="973" t="s">
        <v>998</v>
      </c>
      <c r="D53" s="682"/>
      <c r="E53" s="974">
        <f>IF(E46&lt;G46,G46/E46-1,E46/G46-1)</f>
        <v>7.2014683653638611E-2</v>
      </c>
      <c r="F53" s="975" t="str">
        <f>IF(OR(E53&gt;=0.3,E53&lt;=-0.3),"超过30%","")</f>
        <v/>
      </c>
      <c r="G53" s="974">
        <f>IF(G46&lt;I46,I46/G46-1,G46/I46-1)</f>
        <v>6.3574527341867082E-2</v>
      </c>
      <c r="H53" s="975" t="str">
        <f>IF(OR(G53&gt;=0.3,G53&lt;=-0.3),"超过30%","")</f>
        <v/>
      </c>
      <c r="I53" s="974">
        <f>IF(I46&lt;E46,E46/I46-1,I46/E46-1)</f>
        <v>7.9356510472901043E-3</v>
      </c>
      <c r="J53" s="975" t="str">
        <f>IF(OR(I53&gt;=0.3,I53&lt;=-0.3),"超过30%","")</f>
        <v/>
      </c>
      <c r="K53" s="1056"/>
      <c r="L53" s="1057"/>
      <c r="M53" s="976"/>
      <c r="N53" s="976"/>
      <c r="O53" s="976"/>
      <c r="P53" s="976"/>
      <c r="Q53" s="976"/>
      <c r="R53" s="976"/>
      <c r="S53" s="976"/>
      <c r="T53" s="976"/>
      <c r="U53" s="976"/>
      <c r="V53" s="976"/>
      <c r="W53" s="976"/>
      <c r="X53" s="976"/>
      <c r="Y53" s="976"/>
      <c r="Z53" s="976"/>
      <c r="AA53" s="976"/>
      <c r="AB53" s="976"/>
      <c r="AC53" s="976"/>
    </row>
    <row r="54" spans="1:29" s="858" customFormat="1">
      <c r="A54" s="976"/>
      <c r="B54" s="977"/>
      <c r="C54" s="978"/>
      <c r="D54" s="979"/>
      <c r="E54" s="979"/>
      <c r="F54" s="979"/>
      <c r="G54" s="979"/>
      <c r="H54" s="979"/>
      <c r="I54" s="979"/>
      <c r="J54" s="979"/>
      <c r="K54" s="1056"/>
      <c r="L54" s="1057"/>
      <c r="M54" s="976"/>
      <c r="N54" s="976"/>
      <c r="O54" s="976"/>
      <c r="P54" s="976"/>
      <c r="Q54" s="976"/>
      <c r="R54" s="976"/>
      <c r="S54" s="976"/>
      <c r="T54" s="976"/>
      <c r="U54" s="976"/>
      <c r="V54" s="976"/>
      <c r="W54" s="976"/>
      <c r="X54" s="976"/>
      <c r="Y54" s="976"/>
      <c r="Z54" s="976"/>
      <c r="AA54" s="976"/>
      <c r="AB54" s="976"/>
      <c r="AC54" s="976"/>
    </row>
    <row r="55" spans="1:29" ht="27" customHeight="1">
      <c r="A55" s="980" t="s">
        <v>999</v>
      </c>
      <c r="B55" s="981" t="s">
        <v>1000</v>
      </c>
      <c r="C55" s="982" t="s">
        <v>1001</v>
      </c>
      <c r="D55" s="983" t="s">
        <v>1002</v>
      </c>
      <c r="E55" s="984" t="s">
        <v>1003</v>
      </c>
      <c r="F55" s="2113" t="s">
        <v>1004</v>
      </c>
      <c r="G55" s="3315" t="s">
        <v>1005</v>
      </c>
      <c r="H55" s="3339"/>
      <c r="I55" s="2115" t="s">
        <v>1006</v>
      </c>
      <c r="J55" s="2116">
        <f>项目基本情况!F35</f>
        <v>0</v>
      </c>
      <c r="K55" s="1059" t="s">
        <v>1007</v>
      </c>
      <c r="L55" s="1055"/>
      <c r="M55" s="971"/>
      <c r="N55" s="971"/>
      <c r="O55" s="971"/>
      <c r="P55" s="971"/>
      <c r="Q55" s="971"/>
      <c r="R55" s="971"/>
      <c r="S55" s="971"/>
      <c r="T55" s="971"/>
      <c r="U55" s="971"/>
      <c r="V55" s="971"/>
      <c r="W55" s="971"/>
      <c r="X55" s="971"/>
      <c r="Y55" s="971"/>
      <c r="Z55" s="971"/>
      <c r="AA55" s="971"/>
      <c r="AB55" s="971"/>
      <c r="AC55" s="971"/>
    </row>
    <row r="56" spans="1:29" s="859" customFormat="1">
      <c r="A56" s="986" t="s">
        <v>1008</v>
      </c>
      <c r="B56" s="987">
        <f>C48</f>
        <v>15420</v>
      </c>
      <c r="C56" s="988">
        <v>1</v>
      </c>
      <c r="D56" s="989">
        <v>1</v>
      </c>
      <c r="E56" s="988">
        <f>'数据-汇总表'!E8+'数据-汇总表'!E9</f>
        <v>58697.66</v>
      </c>
      <c r="F56" s="2114">
        <f t="shared" ref="F56:F64" si="15">ROUND(B56*E56/10000,0)</f>
        <v>90512</v>
      </c>
      <c r="G56" s="3340"/>
      <c r="H56" s="3330"/>
      <c r="I56" s="2117">
        <v>1</v>
      </c>
      <c r="J56" s="2118">
        <v>1</v>
      </c>
      <c r="K56" s="976"/>
      <c r="L56" s="1060"/>
      <c r="M56" s="1060"/>
      <c r="N56" s="1060"/>
      <c r="O56" s="1060"/>
      <c r="P56" s="1060"/>
      <c r="Q56" s="1060"/>
      <c r="R56" s="1060"/>
      <c r="S56" s="1060"/>
      <c r="T56" s="1060"/>
      <c r="U56" s="1060"/>
      <c r="V56" s="1060"/>
      <c r="W56" s="1060"/>
      <c r="X56" s="1060"/>
      <c r="Y56" s="1060"/>
      <c r="Z56" s="1060"/>
      <c r="AA56" s="1060"/>
      <c r="AB56" s="1060"/>
      <c r="AC56" s="1060"/>
    </row>
    <row r="57" spans="1:29" s="859" customFormat="1">
      <c r="A57" s="991" t="s">
        <v>1009</v>
      </c>
      <c r="B57" s="165">
        <f>ROUND($C$48*C57*D57,0)</f>
        <v>1928</v>
      </c>
      <c r="C57" s="562">
        <f t="shared" ref="C57:C64" si="16">IF($C$55="北京市系数",I57,J57)</f>
        <v>0.5</v>
      </c>
      <c r="D57" s="992">
        <v>0.25</v>
      </c>
      <c r="E57" s="993"/>
      <c r="F57" s="2114">
        <f t="shared" si="15"/>
        <v>0</v>
      </c>
      <c r="G57" s="994" t="s">
        <v>1010</v>
      </c>
      <c r="H57" s="995" t="str">
        <f>项目基本情况!B37</f>
        <v>九级</v>
      </c>
      <c r="I57" s="2117">
        <f>SUMIF(修正!A57:A68,H57,修正!B57:B68)</f>
        <v>0.5</v>
      </c>
      <c r="J57" s="2119"/>
      <c r="K57" s="971"/>
      <c r="L57" s="1060"/>
      <c r="M57" s="1060"/>
      <c r="N57" s="1060"/>
      <c r="O57" s="1060"/>
      <c r="P57" s="1060"/>
      <c r="Q57" s="1060"/>
      <c r="R57" s="1060"/>
      <c r="S57" s="1060"/>
      <c r="T57" s="1060"/>
      <c r="U57" s="1060"/>
      <c r="V57" s="1060"/>
      <c r="W57" s="1060"/>
      <c r="X57" s="1060"/>
      <c r="Y57" s="1060"/>
      <c r="Z57" s="1060"/>
      <c r="AA57" s="1060"/>
      <c r="AB57" s="1060"/>
      <c r="AC57" s="1060"/>
    </row>
    <row r="58" spans="1:29" s="859" customFormat="1">
      <c r="A58" s="991" t="s">
        <v>1011</v>
      </c>
      <c r="B58" s="165">
        <f t="shared" ref="B58:B64" si="17">ROUND($C$48*C58*D58,0)</f>
        <v>771</v>
      </c>
      <c r="C58" s="562">
        <f t="shared" si="16"/>
        <v>0.2</v>
      </c>
      <c r="D58" s="992">
        <v>0.25</v>
      </c>
      <c r="E58" s="993"/>
      <c r="F58" s="2114">
        <f t="shared" si="15"/>
        <v>0</v>
      </c>
      <c r="G58" s="996"/>
      <c r="H58" s="995" t="str">
        <f>项目基本情况!B37</f>
        <v>九级</v>
      </c>
      <c r="I58" s="2117">
        <f>SUMIF(修正!A57:A68,H58,修正!C57:C68)</f>
        <v>0.2</v>
      </c>
      <c r="J58" s="2119"/>
      <c r="K58" s="976"/>
      <c r="L58" s="1060"/>
      <c r="M58" s="1060"/>
      <c r="N58" s="1060"/>
      <c r="O58" s="1060"/>
      <c r="P58" s="1060"/>
      <c r="Q58" s="1060"/>
      <c r="R58" s="1060"/>
      <c r="S58" s="1060"/>
      <c r="T58" s="1060"/>
      <c r="U58" s="1060"/>
      <c r="V58" s="1060"/>
      <c r="W58" s="1060"/>
      <c r="X58" s="1060"/>
      <c r="Y58" s="1060"/>
      <c r="Z58" s="1060"/>
      <c r="AA58" s="1060"/>
      <c r="AB58" s="1060"/>
      <c r="AC58" s="1060"/>
    </row>
    <row r="59" spans="1:29" s="859" customFormat="1">
      <c r="A59" s="991" t="s">
        <v>1012</v>
      </c>
      <c r="B59" s="165">
        <f t="shared" si="17"/>
        <v>771</v>
      </c>
      <c r="C59" s="562">
        <f t="shared" si="16"/>
        <v>0.2</v>
      </c>
      <c r="D59" s="992">
        <v>0.25</v>
      </c>
      <c r="E59" s="993"/>
      <c r="F59" s="2114">
        <f t="shared" si="15"/>
        <v>0</v>
      </c>
      <c r="G59" s="996"/>
      <c r="H59" s="995" t="str">
        <f>项目基本情况!B37</f>
        <v>九级</v>
      </c>
      <c r="I59" s="2117">
        <f>SUMIF(修正!A57:A68,H59,修正!D57:D68)</f>
        <v>0.2</v>
      </c>
      <c r="J59" s="2119"/>
      <c r="K59" s="971"/>
      <c r="L59" s="1060"/>
      <c r="M59" s="1060"/>
      <c r="N59" s="1060"/>
      <c r="O59" s="1060"/>
      <c r="P59" s="1060"/>
      <c r="Q59" s="1060"/>
      <c r="R59" s="1060"/>
      <c r="S59" s="1060"/>
      <c r="T59" s="1060"/>
      <c r="U59" s="1060"/>
      <c r="V59" s="1060"/>
      <c r="W59" s="1060"/>
      <c r="X59" s="1060"/>
      <c r="Y59" s="1060"/>
      <c r="Z59" s="1060"/>
      <c r="AA59" s="1060"/>
      <c r="AB59" s="1060"/>
      <c r="AC59" s="1060"/>
    </row>
    <row r="60" spans="1:29" s="859" customFormat="1">
      <c r="A60" s="991" t="s">
        <v>1013</v>
      </c>
      <c r="B60" s="165">
        <f t="shared" si="17"/>
        <v>771</v>
      </c>
      <c r="C60" s="562">
        <f t="shared" si="16"/>
        <v>0.2</v>
      </c>
      <c r="D60" s="992">
        <v>0.25</v>
      </c>
      <c r="E60" s="164">
        <f>'数据-汇总表'!E11</f>
        <v>0</v>
      </c>
      <c r="F60" s="2114">
        <f t="shared" si="15"/>
        <v>0</v>
      </c>
      <c r="G60" s="998" t="s">
        <v>1014</v>
      </c>
      <c r="H60" s="995" t="str">
        <f>项目基本情况!C37</f>
        <v>九级</v>
      </c>
      <c r="I60" s="2117">
        <f>SUMIF(修正!A57:A68,H60,修正!E57:E68)</f>
        <v>0.2</v>
      </c>
      <c r="J60" s="2119"/>
      <c r="K60" s="971"/>
      <c r="L60" s="1060"/>
      <c r="M60" s="1060"/>
      <c r="N60" s="1060"/>
      <c r="O60" s="1060"/>
      <c r="P60" s="1060"/>
      <c r="Q60" s="1060"/>
      <c r="R60" s="1060"/>
      <c r="S60" s="1060"/>
      <c r="T60" s="1060"/>
      <c r="U60" s="1060"/>
      <c r="V60" s="1060"/>
      <c r="W60" s="1060"/>
      <c r="X60" s="1060"/>
      <c r="Y60" s="1060"/>
      <c r="Z60" s="1060"/>
      <c r="AA60" s="1060"/>
      <c r="AB60" s="1060"/>
      <c r="AC60" s="1060"/>
    </row>
    <row r="61" spans="1:29" s="859" customFormat="1">
      <c r="A61" s="991" t="s">
        <v>1015</v>
      </c>
      <c r="B61" s="165">
        <f t="shared" si="17"/>
        <v>771</v>
      </c>
      <c r="C61" s="562">
        <f t="shared" si="16"/>
        <v>0.2</v>
      </c>
      <c r="D61" s="992">
        <v>0.25</v>
      </c>
      <c r="E61" s="164">
        <f>'数据-汇总表'!E12</f>
        <v>0</v>
      </c>
      <c r="F61" s="2114">
        <f t="shared" si="15"/>
        <v>0</v>
      </c>
      <c r="G61" s="999" t="s">
        <v>1016</v>
      </c>
      <c r="H61" s="995" t="str">
        <f>IF(G61="商业",项目基本情况!B37,IF(G61="办公",项目基本情况!C37,IF(G61="住宅",项目基本情况!D37,项目基本情况!E37)))</f>
        <v>九级</v>
      </c>
      <c r="I61" s="2117">
        <f>SUMIF(修正!A57:A68,H61,修正!F57:F68)</f>
        <v>0.2</v>
      </c>
      <c r="J61" s="2119"/>
      <c r="K61" s="976"/>
      <c r="L61" s="1060"/>
      <c r="M61" s="1060"/>
      <c r="N61" s="1060"/>
      <c r="O61" s="1060"/>
      <c r="P61" s="1060"/>
      <c r="Q61" s="1060"/>
      <c r="R61" s="1060"/>
      <c r="S61" s="1060"/>
      <c r="T61" s="1060"/>
      <c r="U61" s="1060"/>
      <c r="V61" s="1060"/>
      <c r="W61" s="1060"/>
      <c r="X61" s="1060"/>
      <c r="Y61" s="1060"/>
      <c r="Z61" s="1060"/>
      <c r="AA61" s="1060"/>
      <c r="AB61" s="1060"/>
      <c r="AC61" s="1060"/>
    </row>
    <row r="62" spans="1:29" s="859" customFormat="1">
      <c r="A62" s="991" t="s">
        <v>1017</v>
      </c>
      <c r="B62" s="165">
        <f t="shared" si="17"/>
        <v>386</v>
      </c>
      <c r="C62" s="562">
        <f t="shared" si="16"/>
        <v>0.1</v>
      </c>
      <c r="D62" s="992">
        <v>0.25</v>
      </c>
      <c r="E62" s="164">
        <f>'数据-汇总表'!E13</f>
        <v>13611.27</v>
      </c>
      <c r="F62" s="2114">
        <f t="shared" si="15"/>
        <v>525</v>
      </c>
      <c r="G62" s="999" t="s">
        <v>1018</v>
      </c>
      <c r="H62" s="995" t="str">
        <f>IF(G62="商业",项目基本情况!B37,IF(G62="办公",项目基本情况!C37,IF(G62="住宅",项目基本情况!D37,项目基本情况!E37)))</f>
        <v>九级</v>
      </c>
      <c r="I62" s="2117">
        <f>SUMIF(修正!A57:A68,H62,修正!G57:G68)</f>
        <v>0.1</v>
      </c>
      <c r="J62" s="2119"/>
      <c r="K62" s="971"/>
      <c r="L62" s="1060"/>
      <c r="M62" s="1060"/>
      <c r="N62" s="1060"/>
      <c r="O62" s="1060"/>
      <c r="P62" s="1060"/>
      <c r="Q62" s="1060"/>
      <c r="R62" s="1060"/>
      <c r="S62" s="1060"/>
      <c r="T62" s="1060"/>
      <c r="U62" s="1060"/>
      <c r="V62" s="1060"/>
      <c r="W62" s="1060"/>
      <c r="X62" s="1060"/>
      <c r="Y62" s="1060"/>
      <c r="Z62" s="1060"/>
      <c r="AA62" s="1060"/>
      <c r="AB62" s="1060"/>
      <c r="AC62" s="1060"/>
    </row>
    <row r="63" spans="1:29" s="859" customFormat="1">
      <c r="A63" s="991" t="s">
        <v>1019</v>
      </c>
      <c r="B63" s="165">
        <f t="shared" si="17"/>
        <v>386</v>
      </c>
      <c r="C63" s="562">
        <f t="shared" si="16"/>
        <v>0.1</v>
      </c>
      <c r="D63" s="992">
        <v>0.25</v>
      </c>
      <c r="E63" s="164">
        <f>'数据-汇总表'!E14</f>
        <v>0</v>
      </c>
      <c r="F63" s="2114">
        <f t="shared" si="15"/>
        <v>0</v>
      </c>
      <c r="G63" s="998" t="s">
        <v>1010</v>
      </c>
      <c r="H63" s="995" t="str">
        <f>项目基本情况!B37</f>
        <v>九级</v>
      </c>
      <c r="I63" s="2117">
        <f>SUMIF(修正!A57:A68,H63,修正!G57:G68)</f>
        <v>0.1</v>
      </c>
      <c r="J63" s="2119"/>
      <c r="K63" s="976"/>
      <c r="L63" s="1060"/>
      <c r="M63" s="1060"/>
      <c r="N63" s="1060"/>
      <c r="O63" s="1060"/>
      <c r="P63" s="1060"/>
      <c r="Q63" s="1060"/>
      <c r="R63" s="1060"/>
      <c r="S63" s="1060"/>
      <c r="T63" s="1060"/>
      <c r="U63" s="1060"/>
      <c r="V63" s="1060"/>
      <c r="W63" s="1060"/>
      <c r="X63" s="1060"/>
      <c r="Y63" s="1060"/>
      <c r="Z63" s="1060"/>
      <c r="AA63" s="1060"/>
      <c r="AB63" s="1060"/>
      <c r="AC63" s="1060"/>
    </row>
    <row r="64" spans="1:29" s="859" customFormat="1">
      <c r="A64" s="991" t="s">
        <v>1020</v>
      </c>
      <c r="B64" s="165">
        <f t="shared" si="17"/>
        <v>386</v>
      </c>
      <c r="C64" s="562">
        <f t="shared" si="16"/>
        <v>0.1</v>
      </c>
      <c r="D64" s="992">
        <v>0.25</v>
      </c>
      <c r="E64" s="164">
        <f>'数据-汇总表'!E15</f>
        <v>0</v>
      </c>
      <c r="F64" s="2114">
        <f t="shared" si="15"/>
        <v>0</v>
      </c>
      <c r="G64" s="1000" t="s">
        <v>1014</v>
      </c>
      <c r="H64" s="1001" t="str">
        <f>项目基本情况!C37</f>
        <v>九级</v>
      </c>
      <c r="I64" s="2120">
        <f>SUMIF(修正!A57:A68,H64,修正!G57:G68)</f>
        <v>0.1</v>
      </c>
      <c r="J64" s="2121"/>
      <c r="K64" s="971"/>
      <c r="L64" s="1060"/>
      <c r="M64" s="1060"/>
      <c r="N64" s="1060"/>
      <c r="O64" s="1060"/>
      <c r="P64" s="1060"/>
      <c r="Q64" s="1060"/>
      <c r="R64" s="1060"/>
      <c r="S64" s="1060"/>
      <c r="T64" s="1060"/>
      <c r="U64" s="1060"/>
      <c r="V64" s="1060"/>
      <c r="W64" s="1060"/>
      <c r="X64" s="1060"/>
      <c r="Y64" s="1060"/>
      <c r="Z64" s="1060"/>
      <c r="AA64" s="1060"/>
      <c r="AB64" s="1060"/>
      <c r="AC64" s="1060"/>
    </row>
    <row r="65" spans="1:29" s="859" customFormat="1" ht="12.75">
      <c r="A65" s="1002" t="s">
        <v>1021</v>
      </c>
      <c r="B65" s="1003" t="s">
        <v>1022</v>
      </c>
      <c r="C65" s="1003" t="s">
        <v>1022</v>
      </c>
      <c r="D65" s="1003" t="s">
        <v>1022</v>
      </c>
      <c r="E65" s="1003">
        <f>IF(B46="楼面地价",SUM(E56:E64),'数据-汇总表'!D3)</f>
        <v>72308.930000000008</v>
      </c>
      <c r="F65" s="1004">
        <f>IF(B46="楼面地价",SUM(F56:F64),ROUND(C48*E65/10000,0))</f>
        <v>91037</v>
      </c>
      <c r="G65" s="2122"/>
      <c r="H65" s="2122"/>
      <c r="I65" s="2122"/>
      <c r="J65" s="2122"/>
      <c r="K65" s="2127"/>
      <c r="L65" s="1060"/>
      <c r="M65" s="1060"/>
      <c r="N65" s="1060"/>
      <c r="O65" s="1060"/>
      <c r="P65" s="1060"/>
      <c r="Q65" s="1060"/>
      <c r="R65" s="1060"/>
      <c r="S65" s="1060"/>
      <c r="T65" s="1060"/>
      <c r="U65" s="1060"/>
      <c r="V65" s="1060"/>
      <c r="W65" s="1060"/>
      <c r="X65" s="1060"/>
      <c r="Y65" s="1060"/>
      <c r="Z65" s="1060"/>
      <c r="AA65" s="1060"/>
      <c r="AB65" s="1060"/>
      <c r="AC65" s="1060"/>
    </row>
    <row r="66" spans="1:29">
      <c r="A66" s="1011"/>
      <c r="B66" s="1009"/>
      <c r="C66" s="978"/>
      <c r="D66" s="1011"/>
      <c r="E66" s="1011"/>
      <c r="F66" s="1011"/>
      <c r="G66" s="1011"/>
      <c r="H66" s="1011"/>
      <c r="I66" s="1011"/>
      <c r="J66" s="1006"/>
      <c r="K66" s="1062"/>
      <c r="L66" s="1063"/>
      <c r="M66" s="1006"/>
      <c r="N66" s="1006"/>
      <c r="O66" s="1006"/>
      <c r="P66" s="971"/>
      <c r="Q66" s="971"/>
      <c r="R66" s="971"/>
      <c r="S66" s="971"/>
      <c r="T66" s="971"/>
      <c r="U66" s="971"/>
      <c r="V66" s="971"/>
      <c r="W66" s="971"/>
      <c r="X66" s="971"/>
      <c r="Y66" s="971"/>
      <c r="Z66" s="971"/>
      <c r="AA66" s="971"/>
      <c r="AB66" s="971"/>
      <c r="AC66" s="971"/>
    </row>
    <row r="67" spans="1:29">
      <c r="A67" s="1011"/>
      <c r="B67" s="1009"/>
      <c r="C67" s="1009" t="str">
        <f>YEAR(C7)&amp;"-"&amp;MONTH(C7)&amp;"-1"</f>
        <v>2024-7-1</v>
      </c>
      <c r="D67" s="1009">
        <f>EDATE(C67,-3)</f>
        <v>45383</v>
      </c>
      <c r="E67" s="1009">
        <f>EDATE(D67,-3)</f>
        <v>45292</v>
      </c>
      <c r="F67" s="1009">
        <f t="shared" ref="F67:O67" si="18">EDATE(E67,-3)</f>
        <v>45200</v>
      </c>
      <c r="G67" s="1009">
        <f t="shared" si="18"/>
        <v>45108</v>
      </c>
      <c r="H67" s="1009">
        <f t="shared" si="18"/>
        <v>45017</v>
      </c>
      <c r="I67" s="1009">
        <f t="shared" si="18"/>
        <v>44927</v>
      </c>
      <c r="J67" s="1009">
        <f t="shared" si="18"/>
        <v>44835</v>
      </c>
      <c r="K67" s="1009">
        <f t="shared" si="18"/>
        <v>44743</v>
      </c>
      <c r="L67" s="1009">
        <f t="shared" si="18"/>
        <v>44652</v>
      </c>
      <c r="M67" s="1009">
        <f t="shared" si="18"/>
        <v>44562</v>
      </c>
      <c r="N67" s="1009">
        <f t="shared" si="18"/>
        <v>44470</v>
      </c>
      <c r="O67" s="1009">
        <f t="shared" si="18"/>
        <v>44378</v>
      </c>
      <c r="P67" s="971"/>
      <c r="Q67" s="971"/>
      <c r="R67" s="971"/>
      <c r="S67" s="971"/>
      <c r="T67" s="971"/>
      <c r="U67" s="971"/>
      <c r="V67" s="971"/>
      <c r="W67" s="971"/>
      <c r="X67" s="971"/>
      <c r="Y67" s="971"/>
      <c r="Z67" s="971"/>
      <c r="AA67" s="971"/>
      <c r="AB67" s="971"/>
      <c r="AC67" s="971"/>
    </row>
    <row r="68" spans="1:29" ht="21">
      <c r="A68" s="1010" t="s">
        <v>1023</v>
      </c>
      <c r="B68" s="1011"/>
      <c r="C68" s="1012"/>
      <c r="D68" s="1012"/>
      <c r="E68" s="1012"/>
      <c r="F68" s="1013"/>
      <c r="G68" s="1013"/>
      <c r="H68" s="1012"/>
      <c r="I68" s="1012"/>
      <c r="J68" s="1066"/>
      <c r="K68" s="1306"/>
      <c r="L68" s="1307"/>
      <c r="M68" s="1066"/>
      <c r="N68" s="1067"/>
      <c r="O68" s="1067"/>
      <c r="P68" s="1067"/>
      <c r="Q68" s="1079"/>
      <c r="R68" s="971"/>
      <c r="S68" s="971"/>
      <c r="T68" s="971"/>
      <c r="U68" s="971"/>
      <c r="V68" s="971"/>
      <c r="W68" s="971"/>
      <c r="X68" s="971"/>
      <c r="Y68" s="971"/>
      <c r="Z68" s="971"/>
      <c r="AA68" s="971"/>
      <c r="AB68" s="971"/>
      <c r="AC68" s="971"/>
    </row>
    <row r="69" spans="1:29" s="860" customFormat="1" ht="15">
      <c r="A69" s="1085" t="s">
        <v>1024</v>
      </c>
      <c r="B69" s="1086"/>
      <c r="C69" s="1087" t="str">
        <f>YEAR(C67)&amp;"-"&amp;ROUNDUP(MONTH(C67)/3,0)</f>
        <v>2024-3</v>
      </c>
      <c r="D69" s="1087" t="str">
        <f>YEAR(D67)&amp;"-"&amp;ROUNDUP(MONTH(D67)/3,0)</f>
        <v>2024-2</v>
      </c>
      <c r="E69" s="1087" t="str">
        <f t="shared" ref="E69:O69" si="19">YEAR(E67)&amp;"-"&amp;ROUNDUP(MONTH(E67)/3,0)</f>
        <v>2024-1</v>
      </c>
      <c r="F69" s="1087" t="str">
        <f t="shared" si="19"/>
        <v>2023-4</v>
      </c>
      <c r="G69" s="1087" t="str">
        <f t="shared" si="19"/>
        <v>2023-3</v>
      </c>
      <c r="H69" s="1087" t="str">
        <f t="shared" si="19"/>
        <v>2023-2</v>
      </c>
      <c r="I69" s="1087" t="str">
        <f t="shared" si="19"/>
        <v>2023-1</v>
      </c>
      <c r="J69" s="1087" t="str">
        <f t="shared" si="19"/>
        <v>2022-4</v>
      </c>
      <c r="K69" s="1087" t="str">
        <f t="shared" si="19"/>
        <v>2022-3</v>
      </c>
      <c r="L69" s="1087" t="str">
        <f t="shared" si="19"/>
        <v>2022-2</v>
      </c>
      <c r="M69" s="1087" t="str">
        <f t="shared" si="19"/>
        <v>2022-1</v>
      </c>
      <c r="N69" s="1087" t="str">
        <f t="shared" si="19"/>
        <v>2021-4</v>
      </c>
      <c r="O69" s="1087" t="str">
        <f t="shared" si="19"/>
        <v>2021-3</v>
      </c>
      <c r="P69" s="1132"/>
      <c r="Q69" s="1132"/>
      <c r="R69" s="1132"/>
      <c r="S69" s="1132"/>
      <c r="T69" s="1132"/>
      <c r="U69" s="1132"/>
      <c r="V69" s="1132"/>
      <c r="W69" s="1132"/>
      <c r="X69" s="1132"/>
      <c r="Y69" s="1132"/>
      <c r="Z69" s="1132"/>
      <c r="AA69" s="1132"/>
      <c r="AB69" s="1132"/>
      <c r="AC69" s="1132"/>
    </row>
    <row r="70" spans="1:29" s="855" customFormat="1" ht="30" customHeight="1">
      <c r="A70" s="2123" t="s">
        <v>1025</v>
      </c>
      <c r="B70" s="1089" t="str">
        <f>"北京市平均增长率"&amp;TEXT(SUMIF(基准地价修正!N21:N25,A70,基准地价修正!P21:P25),"0.00%")</f>
        <v>北京市平均增长率0.00%</v>
      </c>
      <c r="C70" s="795">
        <v>100</v>
      </c>
      <c r="D70" s="1090">
        <f>C70-0.2</f>
        <v>99.8</v>
      </c>
      <c r="E70" s="1090">
        <f t="shared" ref="E70:M70" si="20">D70-0.2</f>
        <v>99.6</v>
      </c>
      <c r="F70" s="1090">
        <f t="shared" si="20"/>
        <v>99.4</v>
      </c>
      <c r="G70" s="1090">
        <f t="shared" si="20"/>
        <v>99.2</v>
      </c>
      <c r="H70" s="1090">
        <f t="shared" si="20"/>
        <v>99</v>
      </c>
      <c r="I70" s="1090">
        <f t="shared" si="20"/>
        <v>98.8</v>
      </c>
      <c r="J70" s="1090">
        <f t="shared" si="20"/>
        <v>98.6</v>
      </c>
      <c r="K70" s="1090">
        <f t="shared" si="20"/>
        <v>98.4</v>
      </c>
      <c r="L70" s="1090">
        <f t="shared" si="20"/>
        <v>98.2</v>
      </c>
      <c r="M70" s="1090">
        <f t="shared" si="20"/>
        <v>98</v>
      </c>
      <c r="N70" s="1090">
        <f t="shared" ref="N70" si="21">M70-0.2</f>
        <v>97.8</v>
      </c>
      <c r="O70" s="1090">
        <f t="shared" ref="O70" si="22">N70-0.2</f>
        <v>97.6</v>
      </c>
      <c r="P70" s="1079"/>
      <c r="Q70" s="1027"/>
      <c r="R70" s="1027"/>
      <c r="S70" s="1027"/>
      <c r="T70" s="1027"/>
      <c r="U70" s="1027"/>
      <c r="V70" s="1027"/>
      <c r="W70" s="1027"/>
      <c r="X70" s="1027"/>
      <c r="Y70" s="1027"/>
      <c r="Z70" s="1027"/>
      <c r="AA70" s="1027"/>
      <c r="AB70" s="1027"/>
      <c r="AC70" s="1027"/>
    </row>
    <row r="71" spans="1:29" s="855" customFormat="1" ht="15">
      <c r="A71" s="1091" t="s">
        <v>1026</v>
      </c>
      <c r="B71" s="1092"/>
      <c r="C71" s="1093"/>
      <c r="D71" s="1094"/>
      <c r="E71" s="1094"/>
      <c r="F71" s="1094"/>
      <c r="G71" s="1094"/>
      <c r="H71" s="1094"/>
      <c r="I71" s="1094"/>
      <c r="J71" s="1094"/>
      <c r="K71" s="1094"/>
      <c r="L71" s="1094"/>
      <c r="M71" s="1134"/>
      <c r="N71" s="1094"/>
      <c r="O71" s="2128"/>
      <c r="P71" s="1079"/>
      <c r="Q71" s="1079"/>
      <c r="R71" s="1027"/>
      <c r="S71" s="1027"/>
      <c r="T71" s="1027"/>
      <c r="U71" s="1027"/>
      <c r="V71" s="1027"/>
      <c r="W71" s="1027"/>
      <c r="X71" s="1027"/>
      <c r="Y71" s="1027"/>
      <c r="Z71" s="1027"/>
      <c r="AA71" s="1027"/>
      <c r="AB71" s="1027"/>
      <c r="AC71" s="1027"/>
    </row>
    <row r="72" spans="1:29" s="855" customFormat="1" ht="15">
      <c r="A72" s="1095" t="s">
        <v>957</v>
      </c>
      <c r="B72" s="1096"/>
      <c r="C72" s="1097" t="s">
        <v>958</v>
      </c>
      <c r="D72" s="1098"/>
      <c r="E72" s="1098"/>
      <c r="F72" s="1098"/>
      <c r="G72" s="1098"/>
      <c r="H72" s="1098"/>
      <c r="I72" s="1098"/>
      <c r="J72" s="1098"/>
      <c r="K72" s="1098"/>
      <c r="L72" s="1136"/>
      <c r="M72" s="1137"/>
      <c r="N72" s="1138"/>
      <c r="O72" s="1138"/>
      <c r="P72" s="466"/>
      <c r="Q72" s="1079"/>
      <c r="R72" s="1027"/>
      <c r="S72" s="1027"/>
      <c r="T72" s="1027"/>
      <c r="U72" s="1027"/>
      <c r="V72" s="1027"/>
      <c r="W72" s="1027"/>
      <c r="X72" s="1027"/>
      <c r="Y72" s="1027"/>
      <c r="Z72" s="1027"/>
      <c r="AA72" s="1027"/>
      <c r="AB72" s="1027"/>
      <c r="AC72" s="1027"/>
    </row>
    <row r="73" spans="1:29" s="855" customFormat="1" ht="15">
      <c r="A73" s="1095"/>
      <c r="B73" s="1096"/>
      <c r="C73" s="1099">
        <v>100</v>
      </c>
      <c r="D73" s="1100"/>
      <c r="E73" s="1100"/>
      <c r="F73" s="1100"/>
      <c r="G73" s="1100"/>
      <c r="H73" s="1100"/>
      <c r="I73" s="1100"/>
      <c r="J73" s="1100"/>
      <c r="K73" s="1100"/>
      <c r="L73" s="1100"/>
      <c r="M73" s="1139"/>
      <c r="N73" s="1138"/>
      <c r="O73" s="1138"/>
      <c r="P73" s="1079"/>
      <c r="Q73" s="1079"/>
      <c r="R73" s="1027"/>
      <c r="S73" s="1027"/>
      <c r="T73" s="1027"/>
      <c r="U73" s="1027"/>
      <c r="V73" s="1027"/>
      <c r="W73" s="1027"/>
      <c r="X73" s="1027"/>
      <c r="Y73" s="1027"/>
      <c r="Z73" s="1027"/>
      <c r="AA73" s="1027"/>
      <c r="AB73" s="1027"/>
      <c r="AC73" s="1027"/>
    </row>
    <row r="74" spans="1:29">
      <c r="A74" s="912" t="s">
        <v>1027</v>
      </c>
      <c r="B74" s="1101" t="s">
        <v>961</v>
      </c>
      <c r="C74" s="2124" t="s">
        <v>463</v>
      </c>
      <c r="D74" s="1047"/>
      <c r="E74" s="1047"/>
      <c r="F74" s="1047"/>
      <c r="G74" s="1047"/>
      <c r="H74" s="1047"/>
      <c r="I74" s="1047"/>
      <c r="J74" s="1047"/>
      <c r="K74" s="1140"/>
      <c r="L74" s="1141"/>
      <c r="M74" s="1142"/>
      <c r="N74" s="1143"/>
      <c r="O74" s="1143"/>
      <c r="P74" s="1138"/>
      <c r="Q74" s="1079"/>
      <c r="R74" s="971"/>
      <c r="S74" s="971"/>
      <c r="T74" s="971"/>
      <c r="U74" s="971"/>
      <c r="V74" s="971"/>
      <c r="W74" s="971"/>
      <c r="X74" s="971"/>
      <c r="Y74" s="971"/>
      <c r="Z74" s="971"/>
      <c r="AA74" s="971"/>
      <c r="AB74" s="971"/>
      <c r="AC74" s="971"/>
    </row>
    <row r="75" spans="1:29" ht="15">
      <c r="A75" s="899"/>
      <c r="B75" s="1102"/>
      <c r="C75" s="1103">
        <v>100</v>
      </c>
      <c r="D75" s="1103"/>
      <c r="E75" s="1103"/>
      <c r="F75" s="1103"/>
      <c r="G75" s="1103"/>
      <c r="H75" s="1103"/>
      <c r="I75" s="1103"/>
      <c r="J75" s="1103"/>
      <c r="K75" s="1103"/>
      <c r="L75" s="1103"/>
      <c r="M75" s="1144"/>
      <c r="N75" s="1145"/>
      <c r="O75" s="1145"/>
      <c r="P75" s="1138"/>
      <c r="Q75" s="1079"/>
      <c r="R75" s="971"/>
      <c r="S75" s="971"/>
      <c r="T75" s="971"/>
      <c r="U75" s="971"/>
      <c r="V75" s="971"/>
      <c r="W75" s="971"/>
      <c r="X75" s="971"/>
      <c r="Y75" s="971"/>
      <c r="Z75" s="971"/>
      <c r="AA75" s="971"/>
      <c r="AB75" s="971"/>
      <c r="AC75" s="971"/>
    </row>
    <row r="76" spans="1:29" ht="27">
      <c r="A76" s="899"/>
      <c r="B76" s="1104" t="s">
        <v>964</v>
      </c>
      <c r="C76" s="1105"/>
      <c r="D76" s="1105"/>
      <c r="E76" s="1105"/>
      <c r="F76" s="1105"/>
      <c r="G76" s="1105"/>
      <c r="H76" s="1105"/>
      <c r="I76" s="1105"/>
      <c r="J76" s="1105"/>
      <c r="K76" s="1146"/>
      <c r="L76" s="1147"/>
      <c r="M76" s="1148"/>
      <c r="N76" s="1143"/>
      <c r="O76" s="1143"/>
      <c r="P76" s="1138"/>
      <c r="Q76" s="1079"/>
      <c r="R76" s="971"/>
      <c r="S76" s="971"/>
      <c r="T76" s="971"/>
      <c r="U76" s="971"/>
      <c r="V76" s="971"/>
      <c r="W76" s="971"/>
      <c r="X76" s="971"/>
      <c r="Y76" s="971"/>
      <c r="Z76" s="971"/>
      <c r="AA76" s="971"/>
      <c r="AB76" s="971"/>
      <c r="AC76" s="971"/>
    </row>
    <row r="77" spans="1:29" ht="15">
      <c r="A77" s="899"/>
      <c r="B77" s="1106"/>
      <c r="C77" s="1107"/>
      <c r="D77" s="1107"/>
      <c r="E77" s="1107"/>
      <c r="F77" s="1107"/>
      <c r="G77" s="1107"/>
      <c r="H77" s="1107"/>
      <c r="I77" s="1107"/>
      <c r="J77" s="1107"/>
      <c r="K77" s="1107"/>
      <c r="L77" s="1107"/>
      <c r="M77" s="1149"/>
      <c r="N77" s="1145"/>
      <c r="O77" s="1145"/>
      <c r="P77" s="1138"/>
      <c r="Q77" s="1079"/>
      <c r="R77" s="971"/>
      <c r="S77" s="971"/>
      <c r="T77" s="971"/>
      <c r="U77" s="971"/>
      <c r="V77" s="971"/>
      <c r="W77" s="971"/>
      <c r="X77" s="971"/>
      <c r="Y77" s="971"/>
      <c r="Z77" s="971"/>
      <c r="AA77" s="971"/>
      <c r="AB77" s="971"/>
      <c r="AC77" s="971"/>
    </row>
    <row r="78" spans="1:29" ht="15">
      <c r="A78" s="899"/>
      <c r="B78" s="1108" t="s">
        <v>965</v>
      </c>
      <c r="C78" s="1109" t="str">
        <f>C79&amp;"（含）"&amp;"-"&amp;D79</f>
        <v>0（含）-1</v>
      </c>
      <c r="D78" s="1109" t="str">
        <f t="shared" ref="D78:L78" si="23">D79&amp;"（含）"&amp;"-"&amp;E79</f>
        <v>1（含）-2</v>
      </c>
      <c r="E78" s="1109" t="str">
        <f t="shared" si="23"/>
        <v>2（含）-3</v>
      </c>
      <c r="F78" s="1109" t="str">
        <f t="shared" si="23"/>
        <v>3（含）-4</v>
      </c>
      <c r="G78" s="1109" t="str">
        <f t="shared" si="23"/>
        <v>4（含）-5</v>
      </c>
      <c r="H78" s="1109" t="str">
        <f t="shared" si="23"/>
        <v>5（含）-6</v>
      </c>
      <c r="I78" s="1109" t="str">
        <f t="shared" si="23"/>
        <v>6（含）-</v>
      </c>
      <c r="J78" s="1109" t="str">
        <f t="shared" si="23"/>
        <v>（含）-</v>
      </c>
      <c r="K78" s="1109" t="str">
        <f t="shared" si="23"/>
        <v>（含）-</v>
      </c>
      <c r="L78" s="1109" t="str">
        <f t="shared" si="23"/>
        <v>（含）-</v>
      </c>
      <c r="M78" s="919" t="str">
        <f>M79&amp;"（含）"&amp;"-"&amp;P79</f>
        <v>（含）-</v>
      </c>
      <c r="N78" s="1145"/>
      <c r="O78" s="1145"/>
      <c r="P78" s="1138"/>
      <c r="Q78" s="1079"/>
      <c r="R78" s="971"/>
      <c r="S78" s="971"/>
      <c r="T78" s="971"/>
      <c r="U78" s="971"/>
      <c r="V78" s="971"/>
      <c r="W78" s="971"/>
      <c r="X78" s="971"/>
      <c r="Y78" s="971"/>
      <c r="Z78" s="971"/>
      <c r="AA78" s="971"/>
      <c r="AB78" s="971"/>
      <c r="AC78" s="971"/>
    </row>
    <row r="79" spans="1:29" ht="15">
      <c r="A79" s="899"/>
      <c r="B79" s="1110"/>
      <c r="C79" s="905">
        <v>0</v>
      </c>
      <c r="D79" s="905">
        <v>1</v>
      </c>
      <c r="E79" s="905">
        <v>2</v>
      </c>
      <c r="F79" s="905">
        <v>3</v>
      </c>
      <c r="G79" s="905">
        <v>4</v>
      </c>
      <c r="H79" s="905">
        <v>5</v>
      </c>
      <c r="I79" s="905">
        <v>6</v>
      </c>
      <c r="J79" s="905"/>
      <c r="K79" s="1150"/>
      <c r="L79" s="1151"/>
      <c r="M79" s="1152"/>
      <c r="N79" s="1143"/>
      <c r="O79" s="1143"/>
      <c r="P79" s="1138"/>
      <c r="Q79" s="1079"/>
      <c r="R79" s="971"/>
      <c r="S79" s="971"/>
      <c r="T79" s="971"/>
      <c r="U79" s="971"/>
      <c r="V79" s="971"/>
      <c r="W79" s="971"/>
      <c r="X79" s="971"/>
      <c r="Y79" s="971"/>
      <c r="Z79" s="971"/>
      <c r="AA79" s="971"/>
      <c r="AB79" s="971"/>
      <c r="AC79" s="971"/>
    </row>
    <row r="80" spans="1:29" ht="15">
      <c r="A80" s="899"/>
      <c r="B80" s="1102"/>
      <c r="C80" s="1107">
        <v>100</v>
      </c>
      <c r="D80" s="1107">
        <f t="shared" ref="D80:M80" si="24">IF($B$46="单位面积地价",C80+$K11,C80-$K11)</f>
        <v>95</v>
      </c>
      <c r="E80" s="1107">
        <f t="shared" si="24"/>
        <v>90</v>
      </c>
      <c r="F80" s="1107">
        <f t="shared" si="24"/>
        <v>85</v>
      </c>
      <c r="G80" s="1107">
        <f t="shared" si="24"/>
        <v>80</v>
      </c>
      <c r="H80" s="1107">
        <f t="shared" si="24"/>
        <v>75</v>
      </c>
      <c r="I80" s="1107">
        <f t="shared" si="24"/>
        <v>70</v>
      </c>
      <c r="J80" s="1107">
        <f t="shared" si="24"/>
        <v>65</v>
      </c>
      <c r="K80" s="1107">
        <f t="shared" si="24"/>
        <v>60</v>
      </c>
      <c r="L80" s="1107">
        <f t="shared" si="24"/>
        <v>55</v>
      </c>
      <c r="M80" s="1107">
        <f t="shared" si="24"/>
        <v>50</v>
      </c>
      <c r="N80" s="1145"/>
      <c r="O80" s="1145"/>
      <c r="P80" s="1138"/>
      <c r="Q80" s="1079"/>
      <c r="R80" s="971"/>
      <c r="S80" s="971"/>
      <c r="T80" s="971"/>
      <c r="U80" s="971"/>
      <c r="V80" s="971"/>
      <c r="W80" s="971"/>
      <c r="X80" s="971"/>
      <c r="Y80" s="971"/>
      <c r="Z80" s="971"/>
      <c r="AA80" s="971"/>
      <c r="AB80" s="971"/>
      <c r="AC80" s="971"/>
    </row>
    <row r="81" spans="1:29" s="857" customFormat="1" ht="15">
      <c r="A81" s="1111"/>
      <c r="B81" s="1104" t="str">
        <f>B12</f>
        <v>配建</v>
      </c>
      <c r="C81" s="1112"/>
      <c r="D81" s="1112"/>
      <c r="E81" s="1112"/>
      <c r="F81" s="1112"/>
      <c r="G81" s="1112"/>
      <c r="H81" s="1113"/>
      <c r="I81" s="1113"/>
      <c r="J81" s="1113"/>
      <c r="K81" s="1113"/>
      <c r="L81" s="1153"/>
      <c r="M81" s="1154"/>
      <c r="N81" s="1155"/>
      <c r="O81" s="1155"/>
      <c r="P81" s="1155"/>
      <c r="Q81" s="1183"/>
      <c r="R81" s="1045"/>
      <c r="S81" s="1045"/>
      <c r="T81" s="1045"/>
      <c r="U81" s="1045"/>
      <c r="V81" s="1045"/>
      <c r="W81" s="1045"/>
      <c r="X81" s="1045"/>
      <c r="Y81" s="1045"/>
      <c r="Z81" s="1045"/>
      <c r="AA81" s="1045"/>
      <c r="AB81" s="1045"/>
      <c r="AC81" s="1045"/>
    </row>
    <row r="82" spans="1:29" s="857" customFormat="1" ht="15">
      <c r="A82" s="1111"/>
      <c r="B82" s="1106"/>
      <c r="C82" s="1114"/>
      <c r="D82" s="1103"/>
      <c r="E82" s="1103"/>
      <c r="F82" s="1103"/>
      <c r="G82" s="1103"/>
      <c r="H82" s="1103"/>
      <c r="I82" s="1103"/>
      <c r="J82" s="1103"/>
      <c r="K82" s="1103"/>
      <c r="L82" s="1103"/>
      <c r="M82" s="1144"/>
      <c r="N82" s="1145"/>
      <c r="O82" s="1145"/>
      <c r="P82" s="1155"/>
      <c r="Q82" s="1183"/>
      <c r="R82" s="1045"/>
      <c r="S82" s="1045"/>
      <c r="T82" s="1045"/>
      <c r="U82" s="1045"/>
      <c r="V82" s="1045"/>
      <c r="W82" s="1045"/>
      <c r="X82" s="1045"/>
      <c r="Y82" s="1045"/>
      <c r="Z82" s="1045"/>
      <c r="AA82" s="1045"/>
      <c r="AB82" s="1045"/>
      <c r="AC82" s="1045"/>
    </row>
    <row r="83" spans="1:29" s="857" customFormat="1" ht="15">
      <c r="A83" s="1111"/>
      <c r="B83" s="1104">
        <f>B13</f>
        <v>111</v>
      </c>
      <c r="C83" s="1112"/>
      <c r="D83" s="1112"/>
      <c r="E83" s="1112"/>
      <c r="F83" s="1112"/>
      <c r="G83" s="1112"/>
      <c r="H83" s="1113"/>
      <c r="I83" s="1113"/>
      <c r="J83" s="1113"/>
      <c r="K83" s="1113"/>
      <c r="L83" s="1153"/>
      <c r="M83" s="1154"/>
      <c r="N83" s="1155"/>
      <c r="O83" s="1155"/>
      <c r="P83" s="1045"/>
      <c r="Q83" s="1184"/>
      <c r="R83" s="1045"/>
      <c r="S83" s="1045"/>
      <c r="T83" s="1045"/>
      <c r="U83" s="1045"/>
      <c r="V83" s="1045"/>
      <c r="W83" s="1045"/>
      <c r="X83" s="1045"/>
      <c r="Y83" s="1045"/>
      <c r="Z83" s="1045"/>
      <c r="AA83" s="1045"/>
      <c r="AB83" s="1045"/>
      <c r="AC83" s="1045"/>
    </row>
    <row r="84" spans="1:29" s="857" customFormat="1" ht="15">
      <c r="A84" s="1111"/>
      <c r="B84" s="1106"/>
      <c r="C84" s="1114"/>
      <c r="D84" s="1114"/>
      <c r="E84" s="1114"/>
      <c r="F84" s="1114"/>
      <c r="G84" s="1114"/>
      <c r="H84" s="1115"/>
      <c r="I84" s="1115"/>
      <c r="J84" s="1115"/>
      <c r="K84" s="1115"/>
      <c r="L84" s="1115"/>
      <c r="M84" s="1156"/>
      <c r="N84" s="1155"/>
      <c r="O84" s="1155"/>
      <c r="P84" s="1155"/>
      <c r="Q84" s="1183"/>
      <c r="R84" s="1045"/>
      <c r="S84" s="1045"/>
      <c r="T84" s="1045"/>
      <c r="U84" s="1045"/>
      <c r="V84" s="1045"/>
      <c r="W84" s="1045"/>
      <c r="X84" s="1045"/>
      <c r="Y84" s="1045"/>
      <c r="Z84" s="1045"/>
      <c r="AA84" s="1045"/>
      <c r="AB84" s="1045"/>
      <c r="AC84" s="1045"/>
    </row>
    <row r="85" spans="1:29" s="857" customFormat="1" ht="15">
      <c r="A85" s="1111"/>
      <c r="B85" s="1108">
        <f>B14</f>
        <v>111</v>
      </c>
      <c r="C85" s="1098"/>
      <c r="D85" s="1098"/>
      <c r="E85" s="1098"/>
      <c r="F85" s="1098"/>
      <c r="G85" s="1098"/>
      <c r="H85" s="1116"/>
      <c r="I85" s="1116"/>
      <c r="J85" s="1116"/>
      <c r="K85" s="1116"/>
      <c r="L85" s="1157"/>
      <c r="M85" s="1158"/>
      <c r="N85" s="1155"/>
      <c r="O85" s="1155"/>
      <c r="P85" s="1159"/>
      <c r="Q85" s="1183"/>
      <c r="R85" s="1045"/>
      <c r="S85" s="1045"/>
      <c r="T85" s="1045"/>
      <c r="U85" s="1045"/>
      <c r="V85" s="1045"/>
      <c r="W85" s="1045"/>
      <c r="X85" s="1045"/>
      <c r="Y85" s="1045"/>
      <c r="Z85" s="1045"/>
      <c r="AA85" s="1045"/>
      <c r="AB85" s="1045"/>
      <c r="AC85" s="1045"/>
    </row>
    <row r="86" spans="1:29" s="857" customFormat="1" ht="15">
      <c r="A86" s="1117"/>
      <c r="B86" s="1118"/>
      <c r="C86" s="1119"/>
      <c r="D86" s="1119"/>
      <c r="E86" s="1119"/>
      <c r="F86" s="1119"/>
      <c r="G86" s="1119"/>
      <c r="H86" s="1120"/>
      <c r="I86" s="1120"/>
      <c r="J86" s="1120"/>
      <c r="K86" s="1120"/>
      <c r="L86" s="1120"/>
      <c r="M86" s="1160"/>
      <c r="N86" s="1155"/>
      <c r="O86" s="1155"/>
      <c r="P86" s="1155"/>
      <c r="Q86" s="1183"/>
      <c r="R86" s="1045"/>
      <c r="S86" s="1045"/>
      <c r="T86" s="1045"/>
      <c r="U86" s="1045"/>
      <c r="V86" s="1045"/>
      <c r="W86" s="1045"/>
      <c r="X86" s="1045"/>
      <c r="Y86" s="1045"/>
      <c r="Z86" s="1045"/>
      <c r="AA86" s="1045"/>
      <c r="AB86" s="1045"/>
      <c r="AC86" s="1045"/>
    </row>
    <row r="87" spans="1:29">
      <c r="A87" s="912" t="s">
        <v>967</v>
      </c>
      <c r="B87" s="1101" t="s">
        <v>968</v>
      </c>
      <c r="C87" s="1121" t="s">
        <v>1028</v>
      </c>
      <c r="D87" s="1121" t="s">
        <v>1029</v>
      </c>
      <c r="E87" s="1121" t="s">
        <v>1030</v>
      </c>
      <c r="F87" s="1121" t="s">
        <v>1031</v>
      </c>
      <c r="G87" s="1121" t="s">
        <v>1032</v>
      </c>
      <c r="H87" s="637"/>
      <c r="I87" s="637"/>
      <c r="J87" s="637"/>
      <c r="K87" s="1161"/>
      <c r="L87" s="1162"/>
      <c r="M87" s="1163"/>
      <c r="N87" s="1143"/>
      <c r="O87" s="1143"/>
      <c r="P87" s="1164"/>
      <c r="Q87" s="1079"/>
      <c r="R87" s="971"/>
      <c r="S87" s="971"/>
      <c r="T87" s="971"/>
      <c r="U87" s="971"/>
      <c r="V87" s="971"/>
      <c r="W87" s="971"/>
      <c r="X87" s="971"/>
      <c r="Y87" s="971"/>
      <c r="Z87" s="971"/>
      <c r="AA87" s="971"/>
      <c r="AB87" s="971"/>
      <c r="AC87" s="971"/>
    </row>
    <row r="88" spans="1:29" ht="15">
      <c r="A88" s="899"/>
      <c r="B88" s="1106"/>
      <c r="C88" s="1107">
        <v>100</v>
      </c>
      <c r="D88" s="1107">
        <f>C88-$K15</f>
        <v>95</v>
      </c>
      <c r="E88" s="1107">
        <f>D88-$K15</f>
        <v>90</v>
      </c>
      <c r="F88" s="1107">
        <f>E88-$K15</f>
        <v>85</v>
      </c>
      <c r="G88" s="1107">
        <f>F88-$K15</f>
        <v>80</v>
      </c>
      <c r="H88" s="1107"/>
      <c r="I88" s="1107"/>
      <c r="J88" s="1107"/>
      <c r="K88" s="1107"/>
      <c r="L88" s="1107"/>
      <c r="M88" s="1149"/>
      <c r="N88" s="1145"/>
      <c r="O88" s="1145"/>
      <c r="P88" s="1138"/>
      <c r="Q88" s="1079"/>
      <c r="R88" s="971"/>
      <c r="S88" s="971"/>
      <c r="T88" s="971"/>
      <c r="U88" s="971"/>
      <c r="V88" s="971"/>
      <c r="W88" s="971"/>
      <c r="X88" s="971"/>
      <c r="Y88" s="971"/>
      <c r="Z88" s="971"/>
      <c r="AA88" s="971"/>
      <c r="AB88" s="971"/>
      <c r="AC88" s="971"/>
    </row>
    <row r="89" spans="1:29" ht="15">
      <c r="A89" s="899"/>
      <c r="B89" s="1104" t="s">
        <v>971</v>
      </c>
      <c r="C89" s="1122" t="s">
        <v>1028</v>
      </c>
      <c r="D89" s="1122" t="s">
        <v>1029</v>
      </c>
      <c r="E89" s="1122" t="s">
        <v>1030</v>
      </c>
      <c r="F89" s="1122" t="s">
        <v>1031</v>
      </c>
      <c r="G89" s="1122" t="s">
        <v>1032</v>
      </c>
      <c r="H89" s="1105"/>
      <c r="I89" s="1105"/>
      <c r="J89" s="1105"/>
      <c r="K89" s="1146"/>
      <c r="L89" s="1147"/>
      <c r="M89" s="1148"/>
      <c r="N89" s="1143"/>
      <c r="O89" s="1143"/>
      <c r="P89" s="1138"/>
      <c r="Q89" s="1079"/>
      <c r="R89" s="971"/>
      <c r="S89" s="971"/>
      <c r="T89" s="971"/>
      <c r="U89" s="971"/>
      <c r="V89" s="971"/>
      <c r="W89" s="971"/>
      <c r="X89" s="971"/>
      <c r="Y89" s="971"/>
      <c r="Z89" s="971"/>
      <c r="AA89" s="971"/>
      <c r="AB89" s="971"/>
      <c r="AC89" s="971"/>
    </row>
    <row r="90" spans="1:29" ht="15">
      <c r="A90" s="899"/>
      <c r="B90" s="1106"/>
      <c r="C90" s="1107">
        <v>100</v>
      </c>
      <c r="D90" s="1107">
        <f>C90-$K17</f>
        <v>97</v>
      </c>
      <c r="E90" s="1107">
        <f>D90-$K17</f>
        <v>94</v>
      </c>
      <c r="F90" s="1107">
        <f>E90-$K17</f>
        <v>91</v>
      </c>
      <c r="G90" s="1107">
        <f>F90-$K17</f>
        <v>88</v>
      </c>
      <c r="H90" s="1107"/>
      <c r="I90" s="1107"/>
      <c r="J90" s="1107"/>
      <c r="K90" s="1107"/>
      <c r="L90" s="1107"/>
      <c r="M90" s="1149"/>
      <c r="N90" s="1145"/>
      <c r="O90" s="1145"/>
      <c r="P90" s="1138"/>
      <c r="Q90" s="1079"/>
      <c r="R90" s="971"/>
      <c r="S90" s="971"/>
      <c r="T90" s="971"/>
      <c r="U90" s="971"/>
      <c r="V90" s="971"/>
      <c r="W90" s="971"/>
      <c r="X90" s="971"/>
      <c r="Y90" s="971"/>
      <c r="Z90" s="971"/>
      <c r="AA90" s="971"/>
      <c r="AB90" s="971"/>
      <c r="AC90" s="971"/>
    </row>
    <row r="91" spans="1:29" ht="15">
      <c r="A91" s="899"/>
      <c r="B91" s="1104" t="s">
        <v>972</v>
      </c>
      <c r="C91" s="1122" t="s">
        <v>1028</v>
      </c>
      <c r="D91" s="1122" t="s">
        <v>1029</v>
      </c>
      <c r="E91" s="1122" t="s">
        <v>1030</v>
      </c>
      <c r="F91" s="1122" t="s">
        <v>1031</v>
      </c>
      <c r="G91" s="1122" t="s">
        <v>1032</v>
      </c>
      <c r="H91" s="1105"/>
      <c r="I91" s="1105"/>
      <c r="J91" s="1105"/>
      <c r="K91" s="1146"/>
      <c r="L91" s="1147"/>
      <c r="M91" s="1148"/>
      <c r="N91" s="1143"/>
      <c r="O91" s="1143"/>
      <c r="P91" s="1138"/>
      <c r="Q91" s="1079"/>
      <c r="R91" s="971"/>
      <c r="S91" s="971"/>
      <c r="T91" s="971"/>
      <c r="U91" s="971"/>
      <c r="V91" s="971"/>
      <c r="W91" s="971"/>
      <c r="X91" s="971"/>
      <c r="Y91" s="971"/>
      <c r="Z91" s="971"/>
      <c r="AA91" s="971"/>
      <c r="AB91" s="971"/>
      <c r="AC91" s="971"/>
    </row>
    <row r="92" spans="1:29" ht="15">
      <c r="A92" s="899"/>
      <c r="B92" s="1106"/>
      <c r="C92" s="1107">
        <v>100</v>
      </c>
      <c r="D92" s="1107">
        <f>C92-$K19</f>
        <v>100</v>
      </c>
      <c r="E92" s="1107">
        <f>D92-$K19</f>
        <v>100</v>
      </c>
      <c r="F92" s="1107">
        <f>E92-$K19</f>
        <v>100</v>
      </c>
      <c r="G92" s="1107">
        <f>F92-$K19</f>
        <v>100</v>
      </c>
      <c r="H92" s="1107"/>
      <c r="I92" s="1107"/>
      <c r="J92" s="1107"/>
      <c r="K92" s="1107"/>
      <c r="L92" s="1107"/>
      <c r="M92" s="1149"/>
      <c r="N92" s="1145"/>
      <c r="O92" s="1145"/>
      <c r="P92" s="1138"/>
      <c r="Q92" s="1079"/>
      <c r="R92" s="971"/>
      <c r="S92" s="971"/>
      <c r="T92" s="971"/>
      <c r="U92" s="971"/>
      <c r="V92" s="971"/>
      <c r="W92" s="971"/>
      <c r="X92" s="971"/>
      <c r="Y92" s="971"/>
      <c r="Z92" s="971"/>
      <c r="AA92" s="971"/>
      <c r="AB92" s="971"/>
      <c r="AC92" s="971"/>
    </row>
    <row r="93" spans="1:29" ht="15">
      <c r="A93" s="899"/>
      <c r="B93" s="1104" t="s">
        <v>973</v>
      </c>
      <c r="C93" s="1122" t="s">
        <v>1028</v>
      </c>
      <c r="D93" s="1122" t="s">
        <v>1029</v>
      </c>
      <c r="E93" s="1122" t="s">
        <v>1030</v>
      </c>
      <c r="F93" s="1122" t="s">
        <v>1031</v>
      </c>
      <c r="G93" s="1122" t="s">
        <v>1032</v>
      </c>
      <c r="H93" s="1105"/>
      <c r="I93" s="1105"/>
      <c r="J93" s="1105"/>
      <c r="K93" s="1146"/>
      <c r="L93" s="1147"/>
      <c r="M93" s="1148"/>
      <c r="N93" s="1143"/>
      <c r="O93" s="1143"/>
      <c r="P93" s="1138"/>
      <c r="Q93" s="1079"/>
      <c r="R93" s="971"/>
      <c r="S93" s="971"/>
      <c r="T93" s="971"/>
      <c r="U93" s="971"/>
      <c r="V93" s="971"/>
      <c r="W93" s="971"/>
      <c r="X93" s="971"/>
      <c r="Y93" s="971"/>
      <c r="Z93" s="971"/>
      <c r="AA93" s="971"/>
      <c r="AB93" s="971"/>
      <c r="AC93" s="971"/>
    </row>
    <row r="94" spans="1:29" ht="15">
      <c r="A94" s="899"/>
      <c r="B94" s="1106"/>
      <c r="C94" s="1107">
        <v>100</v>
      </c>
      <c r="D94" s="1107">
        <f>C94-$K21</f>
        <v>97</v>
      </c>
      <c r="E94" s="1107">
        <f>D94-$K21</f>
        <v>94</v>
      </c>
      <c r="F94" s="1107">
        <f>E94-$K21</f>
        <v>91</v>
      </c>
      <c r="G94" s="1107">
        <f>F94-$K21</f>
        <v>88</v>
      </c>
      <c r="H94" s="1107"/>
      <c r="I94" s="1107"/>
      <c r="J94" s="1107"/>
      <c r="K94" s="1107"/>
      <c r="L94" s="1107"/>
      <c r="M94" s="1149"/>
      <c r="N94" s="1145"/>
      <c r="O94" s="1145"/>
      <c r="P94" s="1138"/>
      <c r="Q94" s="1079"/>
      <c r="R94" s="971"/>
      <c r="S94" s="971"/>
      <c r="T94" s="971"/>
      <c r="U94" s="971"/>
      <c r="V94" s="971"/>
      <c r="W94" s="971"/>
      <c r="X94" s="971"/>
      <c r="Y94" s="971"/>
      <c r="Z94" s="971"/>
      <c r="AA94" s="971"/>
      <c r="AB94" s="971"/>
      <c r="AC94" s="971"/>
    </row>
    <row r="95" spans="1:29" s="855" customFormat="1" ht="15">
      <c r="A95" s="902"/>
      <c r="B95" s="1104" t="s">
        <v>974</v>
      </c>
      <c r="C95" s="1122" t="s">
        <v>1028</v>
      </c>
      <c r="D95" s="1122" t="s">
        <v>1029</v>
      </c>
      <c r="E95" s="1122" t="s">
        <v>1030</v>
      </c>
      <c r="F95" s="1122" t="s">
        <v>1031</v>
      </c>
      <c r="G95" s="1122" t="s">
        <v>1032</v>
      </c>
      <c r="H95" s="1122"/>
      <c r="I95" s="1122"/>
      <c r="J95" s="1122"/>
      <c r="K95" s="1122"/>
      <c r="L95" s="1165"/>
      <c r="M95" s="1166"/>
      <c r="N95" s="1138"/>
      <c r="O95" s="1138"/>
      <c r="P95" s="1138"/>
      <c r="Q95" s="1079"/>
      <c r="R95" s="1027"/>
      <c r="S95" s="1027"/>
      <c r="T95" s="1027"/>
      <c r="U95" s="1027"/>
      <c r="V95" s="1027"/>
      <c r="W95" s="1027"/>
      <c r="X95" s="1027"/>
      <c r="Y95" s="1027"/>
      <c r="Z95" s="1027"/>
      <c r="AA95" s="1027"/>
      <c r="AB95" s="1027"/>
      <c r="AC95" s="1027"/>
    </row>
    <row r="96" spans="1:29" s="855" customFormat="1" ht="15">
      <c r="A96" s="902"/>
      <c r="B96" s="1106"/>
      <c r="C96" s="1123">
        <v>100</v>
      </c>
      <c r="D96" s="1107">
        <f>C96-$K23</f>
        <v>100</v>
      </c>
      <c r="E96" s="1107">
        <f>D96-$K23</f>
        <v>100</v>
      </c>
      <c r="F96" s="1107">
        <f>E96-$K23</f>
        <v>100</v>
      </c>
      <c r="G96" s="1107">
        <f>F96-$K23</f>
        <v>100</v>
      </c>
      <c r="H96" s="1107"/>
      <c r="I96" s="1107"/>
      <c r="J96" s="1107"/>
      <c r="K96" s="1107"/>
      <c r="L96" s="1107"/>
      <c r="M96" s="1149"/>
      <c r="N96" s="1145"/>
      <c r="O96" s="1145"/>
      <c r="P96" s="1138"/>
      <c r="Q96" s="1079"/>
      <c r="R96" s="1027"/>
      <c r="S96" s="1027"/>
      <c r="T96" s="1027"/>
      <c r="U96" s="1027"/>
      <c r="V96" s="1027"/>
      <c r="W96" s="1027"/>
      <c r="X96" s="1027"/>
      <c r="Y96" s="1027"/>
      <c r="Z96" s="1027"/>
      <c r="AA96" s="1027"/>
      <c r="AB96" s="1027"/>
      <c r="AC96" s="1027"/>
    </row>
    <row r="97" spans="1:29" s="855" customFormat="1" ht="27">
      <c r="A97" s="902"/>
      <c r="B97" s="1104" t="s">
        <v>975</v>
      </c>
      <c r="C97" s="1121" t="s">
        <v>1028</v>
      </c>
      <c r="D97" s="1121" t="s">
        <v>1029</v>
      </c>
      <c r="E97" s="1121" t="s">
        <v>1030</v>
      </c>
      <c r="F97" s="1121" t="s">
        <v>1031</v>
      </c>
      <c r="G97" s="1121" t="s">
        <v>1032</v>
      </c>
      <c r="H97" s="1122"/>
      <c r="I97" s="1122"/>
      <c r="J97" s="1122"/>
      <c r="K97" s="1122"/>
      <c r="L97" s="1122"/>
      <c r="M97" s="1166"/>
      <c r="N97" s="1138"/>
      <c r="O97" s="1138"/>
      <c r="P97" s="1138"/>
      <c r="Q97" s="1079"/>
      <c r="R97" s="1027"/>
      <c r="S97" s="1027"/>
      <c r="T97" s="1027"/>
      <c r="U97" s="1027"/>
      <c r="V97" s="1027"/>
      <c r="W97" s="1027"/>
      <c r="X97" s="1027"/>
      <c r="Y97" s="1027"/>
      <c r="Z97" s="1027"/>
      <c r="AA97" s="1027"/>
      <c r="AB97" s="1027"/>
      <c r="AC97" s="1027"/>
    </row>
    <row r="98" spans="1:29" s="855" customFormat="1" ht="15">
      <c r="A98" s="902"/>
      <c r="B98" s="1106"/>
      <c r="C98" s="1107">
        <v>100</v>
      </c>
      <c r="D98" s="1107">
        <f>C98-$K25</f>
        <v>97</v>
      </c>
      <c r="E98" s="1107">
        <f>D98-$K25</f>
        <v>94</v>
      </c>
      <c r="F98" s="1107">
        <f>E98-$K25</f>
        <v>91</v>
      </c>
      <c r="G98" s="1107">
        <f>F98-$K25</f>
        <v>88</v>
      </c>
      <c r="H98" s="1107"/>
      <c r="I98" s="1107"/>
      <c r="J98" s="1107"/>
      <c r="K98" s="1107"/>
      <c r="L98" s="1107"/>
      <c r="M98" s="1149"/>
      <c r="N98" s="1145"/>
      <c r="O98" s="1145"/>
      <c r="P98" s="1138"/>
      <c r="Q98" s="1079"/>
      <c r="R98" s="1027"/>
      <c r="S98" s="1027"/>
      <c r="T98" s="1027"/>
      <c r="U98" s="1027"/>
      <c r="V98" s="1027"/>
      <c r="W98" s="1027"/>
      <c r="X98" s="1027"/>
      <c r="Y98" s="1027"/>
      <c r="Z98" s="1027"/>
      <c r="AA98" s="1027"/>
      <c r="AB98" s="1027"/>
      <c r="AC98" s="1027"/>
    </row>
    <row r="99" spans="1:29" s="857" customFormat="1" ht="15">
      <c r="A99" s="1111"/>
      <c r="B99" s="1104" t="s">
        <v>976</v>
      </c>
      <c r="C99" s="1121" t="s">
        <v>1028</v>
      </c>
      <c r="D99" s="1121" t="s">
        <v>1029</v>
      </c>
      <c r="E99" s="1121" t="s">
        <v>1030</v>
      </c>
      <c r="F99" s="1121" t="s">
        <v>1031</v>
      </c>
      <c r="G99" s="1121" t="s">
        <v>1032</v>
      </c>
      <c r="H99" s="1124"/>
      <c r="I99" s="1124"/>
      <c r="J99" s="1124"/>
      <c r="K99" s="1124"/>
      <c r="L99" s="1167"/>
      <c r="M99" s="1168"/>
      <c r="N99" s="1155"/>
      <c r="O99" s="1155"/>
      <c r="P99" s="1155"/>
      <c r="Q99" s="1183"/>
      <c r="R99" s="1045"/>
      <c r="S99" s="1045"/>
      <c r="T99" s="1045"/>
      <c r="U99" s="1045"/>
      <c r="V99" s="1045"/>
      <c r="W99" s="1045"/>
      <c r="X99" s="1045"/>
      <c r="Y99" s="1045"/>
      <c r="Z99" s="1045"/>
      <c r="AA99" s="1045"/>
      <c r="AB99" s="1045"/>
      <c r="AC99" s="1045"/>
    </row>
    <row r="100" spans="1:29" s="857" customFormat="1" ht="15">
      <c r="A100" s="1111"/>
      <c r="B100" s="1106"/>
      <c r="C100" s="1107">
        <v>100</v>
      </c>
      <c r="D100" s="1107">
        <f>C100-$K27</f>
        <v>97</v>
      </c>
      <c r="E100" s="1107">
        <f>D100-$K27</f>
        <v>94</v>
      </c>
      <c r="F100" s="1107">
        <f>E100-$K27</f>
        <v>91</v>
      </c>
      <c r="G100" s="1107">
        <f>F100-$K27</f>
        <v>88</v>
      </c>
      <c r="H100" s="1125"/>
      <c r="I100" s="1125"/>
      <c r="J100" s="1125"/>
      <c r="K100" s="1125"/>
      <c r="L100" s="1125"/>
      <c r="M100" s="1169"/>
      <c r="N100" s="1155"/>
      <c r="O100" s="1155"/>
      <c r="P100" s="1155"/>
      <c r="Q100" s="1183"/>
      <c r="R100" s="1045"/>
      <c r="S100" s="1045"/>
      <c r="T100" s="1045"/>
      <c r="U100" s="1045"/>
      <c r="V100" s="1045"/>
      <c r="W100" s="1045"/>
      <c r="X100" s="1045"/>
      <c r="Y100" s="1045"/>
      <c r="Z100" s="1045"/>
      <c r="AA100" s="1045"/>
      <c r="AB100" s="1045"/>
      <c r="AC100" s="1045"/>
    </row>
    <row r="101" spans="1:29" s="857" customFormat="1" ht="15">
      <c r="A101" s="1111"/>
      <c r="B101" s="1108" t="s">
        <v>977</v>
      </c>
      <c r="C101" s="1039" t="s">
        <v>1033</v>
      </c>
      <c r="D101" s="1039" t="s">
        <v>1034</v>
      </c>
      <c r="E101" s="1039" t="s">
        <v>1035</v>
      </c>
      <c r="F101" s="1039" t="s">
        <v>1036</v>
      </c>
      <c r="G101" s="1039" t="s">
        <v>1037</v>
      </c>
      <c r="H101" s="1124"/>
      <c r="I101" s="1124"/>
      <c r="J101" s="1124"/>
      <c r="K101" s="1124"/>
      <c r="L101" s="1124"/>
      <c r="M101" s="1170"/>
      <c r="N101" s="1155"/>
      <c r="O101" s="1155"/>
      <c r="P101" s="1155"/>
      <c r="Q101" s="1183"/>
      <c r="R101" s="1045"/>
      <c r="S101" s="1045"/>
      <c r="T101" s="1045"/>
      <c r="U101" s="1045"/>
      <c r="V101" s="1045"/>
      <c r="W101" s="1045"/>
      <c r="X101" s="1045"/>
      <c r="Y101" s="1045"/>
      <c r="Z101" s="1045"/>
      <c r="AA101" s="1045"/>
      <c r="AB101" s="1045"/>
      <c r="AC101" s="1045"/>
    </row>
    <row r="102" spans="1:29" s="857" customFormat="1" ht="15">
      <c r="A102" s="1111"/>
      <c r="B102" s="1108"/>
      <c r="C102" s="1107">
        <v>100</v>
      </c>
      <c r="D102" s="1107">
        <f>C102-$K29</f>
        <v>99</v>
      </c>
      <c r="E102" s="1107">
        <f>D102-$K29</f>
        <v>98</v>
      </c>
      <c r="F102" s="1107">
        <f>E102-$K29</f>
        <v>97</v>
      </c>
      <c r="G102" s="1107">
        <f>F102-$K29</f>
        <v>96</v>
      </c>
      <c r="H102" s="1110"/>
      <c r="I102" s="1110"/>
      <c r="J102" s="1110"/>
      <c r="K102" s="1110"/>
      <c r="L102" s="1110"/>
      <c r="M102" s="1170"/>
      <c r="N102" s="1155"/>
      <c r="O102" s="1155"/>
      <c r="P102" s="1155"/>
      <c r="Q102" s="1183"/>
      <c r="R102" s="1045"/>
      <c r="S102" s="1045"/>
      <c r="T102" s="1045"/>
      <c r="U102" s="1045"/>
      <c r="V102" s="1045"/>
      <c r="W102" s="1045"/>
      <c r="X102" s="1045"/>
      <c r="Y102" s="1045"/>
      <c r="Z102" s="1045"/>
      <c r="AA102" s="1045"/>
      <c r="AB102" s="1045"/>
      <c r="AC102" s="1045"/>
    </row>
    <row r="103" spans="1:29" ht="15">
      <c r="A103" s="899"/>
      <c r="B103" s="1104" t="str">
        <f>B31</f>
        <v>临街状况</v>
      </c>
      <c r="C103" s="1105" t="s">
        <v>1038</v>
      </c>
      <c r="D103" s="1105" t="s">
        <v>1039</v>
      </c>
      <c r="E103" s="1105" t="s">
        <v>1040</v>
      </c>
      <c r="F103" s="1105" t="s">
        <v>1041</v>
      </c>
      <c r="G103" s="1105"/>
      <c r="H103" s="1105"/>
      <c r="I103" s="1105"/>
      <c r="J103" s="1105"/>
      <c r="K103" s="1146"/>
      <c r="L103" s="1147"/>
      <c r="M103" s="1148"/>
      <c r="N103" s="1143"/>
      <c r="O103" s="1143"/>
      <c r="P103" s="1138"/>
      <c r="Q103" s="1079"/>
      <c r="R103" s="971"/>
      <c r="S103" s="971"/>
      <c r="T103" s="971"/>
      <c r="U103" s="971"/>
      <c r="V103" s="971"/>
      <c r="W103" s="971"/>
      <c r="X103" s="971"/>
      <c r="Y103" s="971"/>
      <c r="Z103" s="971"/>
      <c r="AA103" s="971"/>
      <c r="AB103" s="971"/>
      <c r="AC103" s="971"/>
    </row>
    <row r="104" spans="1:29" ht="15">
      <c r="A104" s="899"/>
      <c r="B104" s="1106"/>
      <c r="C104" s="1107">
        <v>100</v>
      </c>
      <c r="D104" s="1107">
        <f t="shared" ref="D104:M104" si="25">C104-$K31</f>
        <v>97</v>
      </c>
      <c r="E104" s="1107">
        <f t="shared" si="25"/>
        <v>94</v>
      </c>
      <c r="F104" s="1107">
        <f t="shared" si="25"/>
        <v>91</v>
      </c>
      <c r="G104" s="1107">
        <f t="shared" si="25"/>
        <v>88</v>
      </c>
      <c r="H104" s="1107">
        <f t="shared" si="25"/>
        <v>85</v>
      </c>
      <c r="I104" s="1107">
        <f t="shared" si="25"/>
        <v>82</v>
      </c>
      <c r="J104" s="1107">
        <f t="shared" si="25"/>
        <v>79</v>
      </c>
      <c r="K104" s="1107">
        <f t="shared" si="25"/>
        <v>76</v>
      </c>
      <c r="L104" s="1107">
        <f t="shared" si="25"/>
        <v>73</v>
      </c>
      <c r="M104" s="1107">
        <f t="shared" si="25"/>
        <v>70</v>
      </c>
      <c r="N104" s="1145"/>
      <c r="O104" s="1145"/>
      <c r="P104" s="1138"/>
      <c r="Q104" s="1079"/>
      <c r="R104" s="971"/>
      <c r="S104" s="971"/>
      <c r="T104" s="971"/>
      <c r="U104" s="971"/>
      <c r="V104" s="971"/>
      <c r="W104" s="971"/>
      <c r="X104" s="971"/>
      <c r="Y104" s="971"/>
      <c r="Z104" s="971"/>
      <c r="AA104" s="971"/>
      <c r="AB104" s="971"/>
      <c r="AC104" s="971"/>
    </row>
    <row r="105" spans="1:29" ht="27">
      <c r="A105" s="899"/>
      <c r="B105" s="1104" t="s">
        <v>980</v>
      </c>
      <c r="C105" s="1316" t="s">
        <v>1042</v>
      </c>
      <c r="D105" s="1316" t="s">
        <v>1043</v>
      </c>
      <c r="E105" s="1316" t="s">
        <v>1044</v>
      </c>
      <c r="F105" s="1316" t="s">
        <v>682</v>
      </c>
      <c r="G105" s="1316" t="s">
        <v>1045</v>
      </c>
      <c r="H105" s="1126"/>
      <c r="I105" s="1126"/>
      <c r="J105" s="1126"/>
      <c r="K105" s="1171"/>
      <c r="L105" s="1172"/>
      <c r="M105" s="1173"/>
      <c r="N105" s="1143"/>
      <c r="O105" s="1143"/>
      <c r="P105" s="1138"/>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6">C106-$K32</f>
        <v>99</v>
      </c>
      <c r="E106" s="1107">
        <f t="shared" si="26"/>
        <v>98</v>
      </c>
      <c r="F106" s="1107">
        <f t="shared" si="26"/>
        <v>97</v>
      </c>
      <c r="G106" s="1107">
        <f t="shared" si="26"/>
        <v>96</v>
      </c>
      <c r="H106" s="1107">
        <f t="shared" si="26"/>
        <v>95</v>
      </c>
      <c r="I106" s="1107">
        <f t="shared" si="26"/>
        <v>94</v>
      </c>
      <c r="J106" s="1107">
        <f t="shared" si="26"/>
        <v>93</v>
      </c>
      <c r="K106" s="1107">
        <f t="shared" si="26"/>
        <v>92</v>
      </c>
      <c r="L106" s="1107">
        <f t="shared" si="26"/>
        <v>91</v>
      </c>
      <c r="M106" s="1107">
        <f t="shared" si="26"/>
        <v>90</v>
      </c>
      <c r="N106" s="1145"/>
      <c r="O106" s="1145"/>
      <c r="P106" s="1138"/>
      <c r="Q106" s="1079"/>
      <c r="R106" s="971"/>
      <c r="S106" s="971"/>
      <c r="T106" s="971"/>
      <c r="U106" s="971"/>
      <c r="V106" s="971"/>
      <c r="W106" s="971"/>
      <c r="X106" s="971"/>
      <c r="Y106" s="971"/>
      <c r="Z106" s="971"/>
      <c r="AA106" s="971"/>
      <c r="AB106" s="971"/>
      <c r="AC106" s="971"/>
    </row>
    <row r="107" spans="1:29" ht="15">
      <c r="A107" s="899"/>
      <c r="B107" s="1104" t="s">
        <v>981</v>
      </c>
      <c r="C107" s="1126"/>
      <c r="D107" s="1126"/>
      <c r="E107" s="1126"/>
      <c r="F107" s="1126"/>
      <c r="G107" s="1126"/>
      <c r="H107" s="1126"/>
      <c r="I107" s="1126"/>
      <c r="J107" s="1126"/>
      <c r="K107" s="1171"/>
      <c r="L107" s="1172"/>
      <c r="M107" s="1173"/>
      <c r="N107" s="1143"/>
      <c r="O107" s="1143"/>
      <c r="P107" s="1138"/>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7">C108-$K34</f>
        <v>100</v>
      </c>
      <c r="E108" s="1107">
        <f t="shared" si="27"/>
        <v>100</v>
      </c>
      <c r="F108" s="1107">
        <f t="shared" si="27"/>
        <v>100</v>
      </c>
      <c r="G108" s="1107">
        <f t="shared" si="27"/>
        <v>100</v>
      </c>
      <c r="H108" s="1107">
        <f t="shared" si="27"/>
        <v>100</v>
      </c>
      <c r="I108" s="1107">
        <f t="shared" si="27"/>
        <v>100</v>
      </c>
      <c r="J108" s="1107">
        <f t="shared" si="27"/>
        <v>100</v>
      </c>
      <c r="K108" s="1107">
        <f t="shared" si="27"/>
        <v>100</v>
      </c>
      <c r="L108" s="1107">
        <f t="shared" si="27"/>
        <v>100</v>
      </c>
      <c r="M108" s="1107">
        <f t="shared" si="27"/>
        <v>100</v>
      </c>
      <c r="N108" s="1145"/>
      <c r="O108" s="1145"/>
      <c r="P108" s="1138"/>
      <c r="Q108" s="1079"/>
      <c r="R108" s="971"/>
      <c r="S108" s="971"/>
      <c r="T108" s="971"/>
      <c r="U108" s="971"/>
      <c r="V108" s="971"/>
      <c r="W108" s="971"/>
      <c r="X108" s="971"/>
      <c r="Y108" s="971"/>
      <c r="Z108" s="971"/>
      <c r="AA108" s="971"/>
      <c r="AB108" s="971"/>
      <c r="AC108" s="971"/>
    </row>
    <row r="109" spans="1:29" ht="15">
      <c r="A109" s="899"/>
      <c r="B109" s="1108">
        <f>B35</f>
        <v>111</v>
      </c>
      <c r="C109" s="1112"/>
      <c r="D109" s="1112"/>
      <c r="E109" s="1112"/>
      <c r="F109" s="1112"/>
      <c r="G109" s="1127"/>
      <c r="H109" s="1127"/>
      <c r="I109" s="1127"/>
      <c r="J109" s="1127"/>
      <c r="K109" s="1174"/>
      <c r="L109" s="1175"/>
      <c r="M109" s="1176"/>
      <c r="N109" s="1143"/>
      <c r="O109" s="1143"/>
      <c r="P109" s="1138"/>
      <c r="Q109" s="1079"/>
      <c r="R109" s="971"/>
      <c r="S109" s="971"/>
      <c r="T109" s="971"/>
      <c r="U109" s="971"/>
      <c r="V109" s="971"/>
      <c r="W109" s="971"/>
      <c r="X109" s="971"/>
      <c r="Y109" s="971"/>
      <c r="Z109" s="971"/>
      <c r="AA109" s="971"/>
      <c r="AB109" s="971"/>
      <c r="AC109" s="971"/>
    </row>
    <row r="110" spans="1:29" ht="15">
      <c r="A110" s="899"/>
      <c r="B110" s="1118"/>
      <c r="C110" s="1114"/>
      <c r="D110" s="1114"/>
      <c r="E110" s="1114"/>
      <c r="F110" s="1114"/>
      <c r="G110" s="1128"/>
      <c r="H110" s="1128"/>
      <c r="I110" s="1128"/>
      <c r="J110" s="1128"/>
      <c r="K110" s="1128"/>
      <c r="L110" s="1128"/>
      <c r="M110" s="1177"/>
      <c r="N110" s="1145"/>
      <c r="O110" s="1145"/>
      <c r="P110" s="1138"/>
      <c r="Q110" s="1079"/>
      <c r="R110" s="971"/>
      <c r="S110" s="971"/>
      <c r="T110" s="971"/>
      <c r="U110" s="971"/>
      <c r="V110" s="971"/>
      <c r="W110" s="971"/>
      <c r="X110" s="971"/>
      <c r="Y110" s="971"/>
      <c r="Z110" s="971"/>
      <c r="AA110" s="971"/>
      <c r="AB110" s="971"/>
      <c r="AC110" s="971"/>
    </row>
    <row r="111" spans="1:29">
      <c r="A111" s="938"/>
      <c r="B111" s="1104">
        <f>B36</f>
        <v>111</v>
      </c>
      <c r="C111" s="1098"/>
      <c r="D111" s="1098"/>
      <c r="E111" s="1098"/>
      <c r="F111" s="1098"/>
      <c r="G111" s="1126"/>
      <c r="H111" s="1126"/>
      <c r="I111" s="1126"/>
      <c r="J111" s="1126"/>
      <c r="K111" s="1171"/>
      <c r="L111" s="1172"/>
      <c r="M111" s="1173"/>
      <c r="N111" s="1143"/>
      <c r="O111" s="1143"/>
      <c r="P111" s="1138"/>
      <c r="Q111" s="1079"/>
      <c r="R111" s="971"/>
      <c r="S111" s="971"/>
      <c r="T111" s="971"/>
      <c r="U111" s="971"/>
      <c r="V111" s="971"/>
      <c r="W111" s="971"/>
      <c r="X111" s="971"/>
      <c r="Y111" s="971"/>
      <c r="Z111" s="971"/>
      <c r="AA111" s="971"/>
      <c r="AB111" s="971"/>
      <c r="AC111" s="971"/>
    </row>
    <row r="112" spans="1:29" ht="15">
      <c r="A112" s="899"/>
      <c r="B112" s="1106"/>
      <c r="C112" s="1119"/>
      <c r="D112" s="1119"/>
      <c r="E112" s="1119"/>
      <c r="F112" s="1119"/>
      <c r="G112" s="1103"/>
      <c r="H112" s="1103"/>
      <c r="I112" s="1103"/>
      <c r="J112" s="1103"/>
      <c r="K112" s="1103"/>
      <c r="L112" s="1103"/>
      <c r="M112" s="1144"/>
      <c r="N112" s="1145"/>
      <c r="O112" s="1145"/>
      <c r="P112" s="1138"/>
      <c r="Q112" s="1079"/>
      <c r="R112" s="971"/>
      <c r="S112" s="971"/>
      <c r="T112" s="971"/>
      <c r="U112" s="971"/>
      <c r="V112" s="971"/>
      <c r="W112" s="971"/>
      <c r="X112" s="971"/>
      <c r="Y112" s="971"/>
      <c r="Z112" s="971"/>
      <c r="AA112" s="971"/>
      <c r="AB112" s="971"/>
      <c r="AC112" s="971"/>
    </row>
    <row r="113" spans="1:29" s="857" customFormat="1">
      <c r="A113" s="952"/>
      <c r="B113" s="1129">
        <f>B37</f>
        <v>111</v>
      </c>
      <c r="C113" s="1090"/>
      <c r="D113" s="1090"/>
      <c r="E113" s="1090"/>
      <c r="F113" s="1090"/>
      <c r="G113" s="1090"/>
      <c r="H113" s="1090"/>
      <c r="I113" s="1090"/>
      <c r="J113" s="1178"/>
      <c r="K113" s="1178"/>
      <c r="L113" s="1179"/>
      <c r="M113" s="1180"/>
      <c r="N113" s="1155"/>
      <c r="O113" s="1155"/>
      <c r="P113" s="1155"/>
      <c r="Q113" s="1183"/>
      <c r="R113" s="1045"/>
      <c r="S113" s="1045"/>
      <c r="T113" s="1045"/>
      <c r="U113" s="1045"/>
      <c r="V113" s="1045"/>
      <c r="W113" s="1045"/>
      <c r="X113" s="1045"/>
      <c r="Y113" s="1045"/>
      <c r="Z113" s="1045"/>
      <c r="AA113" s="1045"/>
      <c r="AB113" s="1045"/>
      <c r="AC113" s="1045"/>
    </row>
    <row r="114" spans="1:29" s="857" customFormat="1" ht="15">
      <c r="A114" s="1111"/>
      <c r="B114" s="1108"/>
      <c r="C114" s="1100"/>
      <c r="D114" s="1130"/>
      <c r="E114" s="1130"/>
      <c r="F114" s="1130"/>
      <c r="G114" s="1130"/>
      <c r="H114" s="1130"/>
      <c r="I114" s="1130"/>
      <c r="J114" s="1130"/>
      <c r="K114" s="1130"/>
      <c r="L114" s="1130"/>
      <c r="M114" s="882"/>
      <c r="N114" s="1145"/>
      <c r="O114" s="1145"/>
      <c r="P114" s="1155"/>
      <c r="Q114" s="1183"/>
      <c r="R114" s="1045"/>
      <c r="S114" s="1045"/>
      <c r="T114" s="1045"/>
      <c r="U114" s="1045"/>
      <c r="V114" s="1045"/>
      <c r="W114" s="1045"/>
      <c r="X114" s="1045"/>
      <c r="Y114" s="1045"/>
      <c r="Z114" s="1045"/>
      <c r="AA114" s="1045"/>
      <c r="AB114" s="1045"/>
      <c r="AC114" s="1045"/>
    </row>
    <row r="115" spans="1:29" ht="28.5">
      <c r="A115" s="912" t="s">
        <v>983</v>
      </c>
      <c r="B115" s="1101" t="s">
        <v>984</v>
      </c>
      <c r="C115" s="637" t="str">
        <f>C116&amp;"(含)"&amp;"-"&amp;D116</f>
        <v>0(含)-50000</v>
      </c>
      <c r="D115" s="637" t="str">
        <f t="shared" ref="D115:M115" si="28">D116&amp;"(含)"&amp;"-"&amp;E116</f>
        <v>50000(含)-100000</v>
      </c>
      <c r="E115" s="637" t="str">
        <f t="shared" si="28"/>
        <v>100000(含)-150000</v>
      </c>
      <c r="F115" s="637" t="str">
        <f t="shared" si="28"/>
        <v>150000(含)-200000</v>
      </c>
      <c r="G115" s="637" t="str">
        <f t="shared" si="28"/>
        <v>200000(含)-</v>
      </c>
      <c r="H115" s="637" t="str">
        <f t="shared" si="28"/>
        <v>(含)-</v>
      </c>
      <c r="I115" s="637" t="str">
        <f t="shared" si="28"/>
        <v>(含)-</v>
      </c>
      <c r="J115" s="637" t="str">
        <f t="shared" si="28"/>
        <v>(含)-</v>
      </c>
      <c r="K115" s="637" t="str">
        <f t="shared" si="28"/>
        <v>(含)-</v>
      </c>
      <c r="L115" s="637" t="str">
        <f t="shared" si="28"/>
        <v>(含)-</v>
      </c>
      <c r="M115" s="637" t="str">
        <f t="shared" si="28"/>
        <v>(含)-</v>
      </c>
      <c r="N115" s="1143"/>
      <c r="O115" s="1143"/>
      <c r="P115" s="1138"/>
      <c r="Q115" s="1079"/>
      <c r="R115" s="971"/>
      <c r="S115" s="971"/>
      <c r="T115" s="971"/>
      <c r="U115" s="971"/>
      <c r="V115" s="971"/>
      <c r="W115" s="971"/>
      <c r="X115" s="971"/>
      <c r="Y115" s="971"/>
      <c r="Z115" s="971"/>
      <c r="AA115" s="971"/>
      <c r="AB115" s="971"/>
      <c r="AC115" s="971"/>
    </row>
    <row r="116" spans="1:29" ht="15">
      <c r="A116" s="899"/>
      <c r="B116" s="1108"/>
      <c r="C116" s="1090">
        <v>0</v>
      </c>
      <c r="D116" s="1090">
        <v>50000</v>
      </c>
      <c r="E116" s="1090">
        <v>100000</v>
      </c>
      <c r="F116" s="1090">
        <v>150000</v>
      </c>
      <c r="G116" s="1090">
        <v>200000</v>
      </c>
      <c r="H116" s="1090"/>
      <c r="I116" s="1090"/>
      <c r="J116" s="1178"/>
      <c r="K116" s="1178"/>
      <c r="L116" s="1179"/>
      <c r="M116" s="1180"/>
      <c r="N116" s="1143"/>
      <c r="O116" s="1143"/>
      <c r="P116" s="1138"/>
      <c r="Q116" s="1079"/>
      <c r="R116" s="971"/>
      <c r="S116" s="971"/>
      <c r="T116" s="971"/>
      <c r="U116" s="971"/>
      <c r="V116" s="971"/>
      <c r="W116" s="971"/>
      <c r="X116" s="971"/>
      <c r="Y116" s="971"/>
      <c r="Z116" s="971"/>
      <c r="AA116" s="971"/>
      <c r="AB116" s="971"/>
      <c r="AC116" s="971"/>
    </row>
    <row r="117" spans="1:29" ht="15">
      <c r="A117" s="899"/>
      <c r="B117" s="1106"/>
      <c r="C117" s="1119">
        <v>98</v>
      </c>
      <c r="D117" s="1128">
        <v>100</v>
      </c>
      <c r="E117" s="1128">
        <f>D117-2</f>
        <v>98</v>
      </c>
      <c r="F117" s="1128">
        <f t="shared" ref="F117:G117" si="29">E117-2</f>
        <v>96</v>
      </c>
      <c r="G117" s="1128">
        <f t="shared" si="29"/>
        <v>94</v>
      </c>
      <c r="H117" s="1128"/>
      <c r="I117" s="1128"/>
      <c r="J117" s="1128"/>
      <c r="K117" s="1128"/>
      <c r="L117" s="1128"/>
      <c r="M117" s="1177"/>
      <c r="N117" s="1145"/>
      <c r="O117" s="1145"/>
      <c r="P117" s="1138"/>
      <c r="Q117" s="1079"/>
      <c r="R117" s="971"/>
      <c r="S117" s="971"/>
      <c r="T117" s="971"/>
      <c r="U117" s="971"/>
      <c r="V117" s="971"/>
      <c r="W117" s="971"/>
      <c r="X117" s="971"/>
      <c r="Y117" s="971"/>
      <c r="Z117" s="971"/>
      <c r="AA117" s="971"/>
      <c r="AB117" s="971"/>
      <c r="AC117" s="971"/>
    </row>
    <row r="118" spans="1:29">
      <c r="A118" s="947"/>
      <c r="B118" s="1104" t="s">
        <v>985</v>
      </c>
      <c r="C118" s="2125" t="s">
        <v>1046</v>
      </c>
      <c r="D118" s="2125" t="s">
        <v>986</v>
      </c>
      <c r="E118" s="2125" t="s">
        <v>1047</v>
      </c>
      <c r="F118" s="2125" t="s">
        <v>1048</v>
      </c>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row>
    <row r="119" spans="1:29" ht="15">
      <c r="A119" s="899"/>
      <c r="B119" s="1106"/>
      <c r="C119" s="1107">
        <v>100</v>
      </c>
      <c r="D119" s="1107">
        <f t="shared" ref="D119:M119" si="30">C119-$K39</f>
        <v>98</v>
      </c>
      <c r="E119" s="1107">
        <f t="shared" si="30"/>
        <v>96</v>
      </c>
      <c r="F119" s="1107">
        <f t="shared" si="30"/>
        <v>94</v>
      </c>
      <c r="G119" s="1107">
        <f t="shared" si="30"/>
        <v>92</v>
      </c>
      <c r="H119" s="1107">
        <f t="shared" si="30"/>
        <v>90</v>
      </c>
      <c r="I119" s="1107">
        <f t="shared" si="30"/>
        <v>88</v>
      </c>
      <c r="J119" s="1107">
        <f t="shared" si="30"/>
        <v>86</v>
      </c>
      <c r="K119" s="1107">
        <f t="shared" si="30"/>
        <v>84</v>
      </c>
      <c r="L119" s="1107">
        <f t="shared" si="30"/>
        <v>82</v>
      </c>
      <c r="M119" s="1149">
        <f t="shared" si="30"/>
        <v>80</v>
      </c>
      <c r="N119" s="1145"/>
      <c r="O119" s="1145"/>
      <c r="P119" s="1138"/>
      <c r="Q119" s="1079"/>
      <c r="R119" s="971"/>
      <c r="S119" s="971"/>
      <c r="T119" s="971"/>
      <c r="U119" s="971"/>
      <c r="V119" s="971"/>
      <c r="W119" s="971"/>
      <c r="X119" s="971"/>
      <c r="Y119" s="971"/>
      <c r="Z119" s="971"/>
      <c r="AA119" s="971"/>
      <c r="AB119" s="971"/>
      <c r="AC119" s="971"/>
    </row>
    <row r="120" spans="1:29">
      <c r="A120" s="947"/>
      <c r="B120" s="1104" t="s">
        <v>987</v>
      </c>
      <c r="C120" s="1316" t="s">
        <v>1049</v>
      </c>
      <c r="D120" s="1316" t="s">
        <v>988</v>
      </c>
      <c r="E120" s="1316" t="s">
        <v>1050</v>
      </c>
      <c r="F120" s="2125" t="s">
        <v>1051</v>
      </c>
      <c r="G120" s="2125" t="s">
        <v>1052</v>
      </c>
      <c r="H120" s="1126"/>
      <c r="I120" s="1126"/>
      <c r="J120" s="1126"/>
      <c r="K120" s="1171"/>
      <c r="L120" s="1172"/>
      <c r="M120" s="1173"/>
      <c r="N120" s="1143"/>
      <c r="O120" s="1143"/>
      <c r="P120" s="1138"/>
      <c r="Q120" s="1079"/>
      <c r="R120" s="971"/>
      <c r="S120" s="971"/>
      <c r="T120" s="971"/>
      <c r="U120" s="971"/>
      <c r="V120" s="971"/>
      <c r="W120" s="971"/>
      <c r="X120" s="971"/>
      <c r="Y120" s="971"/>
      <c r="Z120" s="971"/>
      <c r="AA120" s="971"/>
      <c r="AB120" s="971"/>
      <c r="AC120" s="971"/>
    </row>
    <row r="121" spans="1:29" ht="15">
      <c r="A121" s="899"/>
      <c r="B121" s="1106"/>
      <c r="C121" s="1107">
        <v>100</v>
      </c>
      <c r="D121" s="1107">
        <f t="shared" ref="D121:M121" si="31">C121-$K40</f>
        <v>98</v>
      </c>
      <c r="E121" s="1107">
        <f t="shared" si="31"/>
        <v>96</v>
      </c>
      <c r="F121" s="1107">
        <f t="shared" si="31"/>
        <v>94</v>
      </c>
      <c r="G121" s="1107">
        <f t="shared" si="31"/>
        <v>92</v>
      </c>
      <c r="H121" s="1107">
        <f t="shared" si="31"/>
        <v>90</v>
      </c>
      <c r="I121" s="1107">
        <f t="shared" si="31"/>
        <v>88</v>
      </c>
      <c r="J121" s="1107">
        <f t="shared" si="31"/>
        <v>86</v>
      </c>
      <c r="K121" s="1107">
        <f t="shared" si="31"/>
        <v>84</v>
      </c>
      <c r="L121" s="1107">
        <f t="shared" si="31"/>
        <v>82</v>
      </c>
      <c r="M121" s="1149">
        <f t="shared" si="31"/>
        <v>80</v>
      </c>
      <c r="N121" s="1145"/>
      <c r="O121" s="1145"/>
      <c r="P121" s="1138"/>
      <c r="Q121" s="1079"/>
      <c r="R121" s="971"/>
      <c r="S121" s="971"/>
      <c r="T121" s="971"/>
      <c r="U121" s="971"/>
      <c r="V121" s="971"/>
      <c r="W121" s="971"/>
      <c r="X121" s="971"/>
      <c r="Y121" s="971"/>
      <c r="Z121" s="971"/>
      <c r="AA121" s="971"/>
      <c r="AB121" s="971"/>
      <c r="AC121" s="971"/>
    </row>
    <row r="122" spans="1:29" s="857" customFormat="1">
      <c r="A122" s="952"/>
      <c r="B122" s="1104" t="s">
        <v>989</v>
      </c>
      <c r="C122" s="2126" t="s">
        <v>236</v>
      </c>
      <c r="D122" s="2126" t="s">
        <v>246</v>
      </c>
      <c r="E122" s="2126" t="s">
        <v>255</v>
      </c>
      <c r="F122" s="2126" t="s">
        <v>263</v>
      </c>
      <c r="G122" s="2126" t="s">
        <v>270</v>
      </c>
      <c r="H122" s="1126"/>
      <c r="I122" s="1126"/>
      <c r="J122" s="1126"/>
      <c r="K122" s="1171"/>
      <c r="L122" s="1172"/>
      <c r="M122" s="1173"/>
      <c r="N122" s="1155"/>
      <c r="O122" s="1155"/>
      <c r="P122" s="1155"/>
      <c r="Q122" s="1183"/>
      <c r="R122" s="1045"/>
      <c r="S122" s="1045"/>
      <c r="T122" s="1045"/>
      <c r="U122" s="1045"/>
      <c r="V122" s="1045"/>
      <c r="W122" s="1045"/>
      <c r="X122" s="1045"/>
      <c r="Y122" s="1045"/>
      <c r="Z122" s="1045"/>
      <c r="AA122" s="1045"/>
      <c r="AB122" s="1045"/>
      <c r="AC122" s="1045"/>
    </row>
    <row r="123" spans="1:29" s="857" customFormat="1" ht="15">
      <c r="A123" s="1111"/>
      <c r="B123" s="1106"/>
      <c r="C123" s="1107">
        <v>100</v>
      </c>
      <c r="D123" s="1107">
        <f t="shared" ref="D123:M123" si="32">C123-$K41</f>
        <v>99</v>
      </c>
      <c r="E123" s="1107">
        <f t="shared" si="32"/>
        <v>98</v>
      </c>
      <c r="F123" s="1107">
        <f t="shared" si="32"/>
        <v>97</v>
      </c>
      <c r="G123" s="1107">
        <f t="shared" si="32"/>
        <v>96</v>
      </c>
      <c r="H123" s="1107">
        <f t="shared" si="32"/>
        <v>95</v>
      </c>
      <c r="I123" s="1107">
        <f t="shared" si="32"/>
        <v>94</v>
      </c>
      <c r="J123" s="1107">
        <f t="shared" si="32"/>
        <v>93</v>
      </c>
      <c r="K123" s="1107">
        <f t="shared" si="32"/>
        <v>92</v>
      </c>
      <c r="L123" s="1107">
        <f t="shared" si="32"/>
        <v>91</v>
      </c>
      <c r="M123" s="1149">
        <f t="shared" si="32"/>
        <v>90</v>
      </c>
      <c r="N123" s="1155"/>
      <c r="O123" s="1155"/>
      <c r="P123" s="1155"/>
      <c r="Q123" s="1183"/>
      <c r="R123" s="1045"/>
      <c r="S123" s="1045"/>
      <c r="T123" s="1045"/>
      <c r="U123" s="1045"/>
      <c r="V123" s="1045"/>
      <c r="W123" s="1045"/>
      <c r="X123" s="1045"/>
      <c r="Y123" s="1045"/>
      <c r="Z123" s="1045"/>
      <c r="AA123" s="1045"/>
      <c r="AB123" s="1045"/>
      <c r="AC123" s="1045"/>
    </row>
    <row r="124" spans="1:29">
      <c r="A124" s="947"/>
      <c r="B124" s="1104" t="s">
        <v>990</v>
      </c>
      <c r="C124" s="1112" t="s">
        <v>1053</v>
      </c>
      <c r="D124" s="1112" t="s">
        <v>970</v>
      </c>
      <c r="E124" s="1126" t="s">
        <v>667</v>
      </c>
      <c r="F124" s="1126" t="s">
        <v>671</v>
      </c>
      <c r="G124" s="1126" t="s">
        <v>1054</v>
      </c>
      <c r="H124" s="1126"/>
      <c r="I124" s="1126"/>
      <c r="J124" s="1126"/>
      <c r="K124" s="1171"/>
      <c r="L124" s="1172"/>
      <c r="M124" s="1173"/>
      <c r="N124" s="1143"/>
      <c r="O124" s="1143"/>
      <c r="P124" s="1138"/>
      <c r="Q124" s="1079"/>
      <c r="R124" s="971"/>
      <c r="S124" s="971"/>
      <c r="T124" s="971"/>
      <c r="U124" s="971"/>
      <c r="V124" s="971"/>
      <c r="W124" s="971"/>
      <c r="X124" s="971"/>
      <c r="Y124" s="971"/>
      <c r="Z124" s="971"/>
      <c r="AA124" s="971"/>
      <c r="AB124" s="971"/>
      <c r="AC124" s="971"/>
    </row>
    <row r="125" spans="1:29" ht="15">
      <c r="A125" s="899"/>
      <c r="B125" s="1106"/>
      <c r="C125" s="1107">
        <v>100</v>
      </c>
      <c r="D125" s="1107">
        <f t="shared" ref="D125:M125" si="33">C125-$K42</f>
        <v>98</v>
      </c>
      <c r="E125" s="1107">
        <f t="shared" si="33"/>
        <v>96</v>
      </c>
      <c r="F125" s="1107">
        <f t="shared" si="33"/>
        <v>94</v>
      </c>
      <c r="G125" s="1107">
        <f t="shared" si="33"/>
        <v>92</v>
      </c>
      <c r="H125" s="1107">
        <f t="shared" si="33"/>
        <v>90</v>
      </c>
      <c r="I125" s="1107">
        <f t="shared" si="33"/>
        <v>88</v>
      </c>
      <c r="J125" s="1107">
        <f t="shared" si="33"/>
        <v>86</v>
      </c>
      <c r="K125" s="1107">
        <f t="shared" si="33"/>
        <v>84</v>
      </c>
      <c r="L125" s="1107">
        <f t="shared" si="33"/>
        <v>82</v>
      </c>
      <c r="M125" s="1149">
        <f t="shared" si="33"/>
        <v>80</v>
      </c>
      <c r="N125" s="1145"/>
      <c r="O125" s="1145"/>
      <c r="P125" s="1138"/>
      <c r="Q125" s="1079"/>
      <c r="R125" s="971"/>
      <c r="S125" s="971"/>
      <c r="T125" s="971"/>
      <c r="U125" s="971"/>
      <c r="V125" s="971"/>
      <c r="W125" s="971"/>
      <c r="X125" s="971"/>
      <c r="Y125" s="971"/>
      <c r="Z125" s="971"/>
      <c r="AA125" s="971"/>
      <c r="AB125" s="971"/>
      <c r="AC125" s="971"/>
    </row>
    <row r="126" spans="1:29">
      <c r="A126" s="947"/>
      <c r="B126" s="1104">
        <f>B43</f>
        <v>111</v>
      </c>
      <c r="C126" s="1112"/>
      <c r="D126" s="1112"/>
      <c r="E126" s="1112"/>
      <c r="F126" s="1112"/>
      <c r="G126" s="1112"/>
      <c r="H126" s="1126"/>
      <c r="I126" s="1126"/>
      <c r="J126" s="1126"/>
      <c r="K126" s="1171"/>
      <c r="L126" s="1172"/>
      <c r="M126" s="1173"/>
      <c r="N126" s="1143"/>
      <c r="O126" s="1143"/>
      <c r="P126" s="1138"/>
      <c r="Q126" s="1079"/>
      <c r="R126" s="971"/>
      <c r="S126" s="971"/>
      <c r="T126" s="971"/>
      <c r="U126" s="971"/>
      <c r="V126" s="971"/>
      <c r="W126" s="971"/>
      <c r="X126" s="971"/>
      <c r="Y126" s="971"/>
      <c r="Z126" s="971"/>
      <c r="AA126" s="971"/>
      <c r="AB126" s="971"/>
      <c r="AC126" s="971"/>
    </row>
    <row r="127" spans="1:29" ht="15">
      <c r="A127" s="899"/>
      <c r="B127" s="1106"/>
      <c r="C127" s="1114"/>
      <c r="D127" s="1114"/>
      <c r="E127" s="1114"/>
      <c r="F127" s="1114"/>
      <c r="G127" s="1103"/>
      <c r="H127" s="1103"/>
      <c r="I127" s="1103"/>
      <c r="J127" s="1103"/>
      <c r="K127" s="1103"/>
      <c r="L127" s="1103"/>
      <c r="M127" s="1144"/>
      <c r="N127" s="1145"/>
      <c r="O127" s="1145"/>
      <c r="P127" s="1138"/>
      <c r="Q127" s="1079"/>
      <c r="R127" s="971"/>
      <c r="S127" s="971"/>
      <c r="T127" s="971"/>
      <c r="U127" s="971"/>
      <c r="V127" s="971"/>
      <c r="W127" s="971"/>
      <c r="X127" s="971"/>
      <c r="Y127" s="971"/>
      <c r="Z127" s="971"/>
      <c r="AA127" s="971"/>
      <c r="AB127" s="971"/>
      <c r="AC127" s="971"/>
    </row>
    <row r="128" spans="1:29">
      <c r="A128" s="947"/>
      <c r="B128" s="1104">
        <f>B44</f>
        <v>111</v>
      </c>
      <c r="C128" s="1098"/>
      <c r="D128" s="1098"/>
      <c r="E128" s="1098"/>
      <c r="F128" s="1098"/>
      <c r="G128" s="1126"/>
      <c r="H128" s="1126"/>
      <c r="I128" s="1126"/>
      <c r="J128" s="1126"/>
      <c r="K128" s="1171"/>
      <c r="L128" s="1172"/>
      <c r="M128" s="1173"/>
      <c r="N128" s="1143"/>
      <c r="O128" s="1143"/>
      <c r="P128" s="1138"/>
      <c r="Q128" s="1079"/>
      <c r="R128" s="971"/>
      <c r="S128" s="971"/>
      <c r="T128" s="971"/>
      <c r="U128" s="971"/>
      <c r="V128" s="971"/>
      <c r="W128" s="971"/>
      <c r="X128" s="971"/>
      <c r="Y128" s="971"/>
      <c r="Z128" s="971"/>
      <c r="AA128" s="971"/>
      <c r="AB128" s="971"/>
      <c r="AC128" s="971"/>
    </row>
    <row r="129" spans="1:29" ht="15">
      <c r="A129" s="899"/>
      <c r="B129" s="1106"/>
      <c r="C129" s="1119"/>
      <c r="D129" s="1119"/>
      <c r="E129" s="1119"/>
      <c r="F129" s="1119"/>
      <c r="G129" s="1103"/>
      <c r="H129" s="1103"/>
      <c r="I129" s="1103"/>
      <c r="J129" s="1103"/>
      <c r="K129" s="1103"/>
      <c r="L129" s="1103"/>
      <c r="M129" s="1144"/>
      <c r="N129" s="1145"/>
      <c r="O129" s="1145"/>
      <c r="P129" s="1138"/>
      <c r="Q129" s="1079"/>
      <c r="R129" s="971"/>
      <c r="S129" s="971"/>
      <c r="T129" s="971"/>
      <c r="U129" s="971"/>
      <c r="V129" s="971"/>
      <c r="W129" s="971"/>
      <c r="X129" s="971"/>
      <c r="Y129" s="971"/>
      <c r="Z129" s="971"/>
      <c r="AA129" s="971"/>
      <c r="AB129" s="971"/>
      <c r="AC129" s="971"/>
    </row>
    <row r="130" spans="1:29" s="857" customFormat="1">
      <c r="A130" s="952"/>
      <c r="B130" s="1104">
        <f>B45</f>
        <v>111</v>
      </c>
      <c r="C130" s="1098"/>
      <c r="D130" s="1098"/>
      <c r="E130" s="1098"/>
      <c r="F130" s="1098"/>
      <c r="G130" s="1113"/>
      <c r="H130" s="1113"/>
      <c r="I130" s="1113"/>
      <c r="J130" s="1113"/>
      <c r="K130" s="1113"/>
      <c r="L130" s="1153"/>
      <c r="M130" s="1154"/>
      <c r="N130" s="1155"/>
      <c r="O130" s="1155"/>
      <c r="P130" s="1155"/>
      <c r="Q130" s="1183"/>
      <c r="R130" s="1045"/>
      <c r="S130" s="1045"/>
      <c r="T130" s="1045"/>
      <c r="U130" s="1045"/>
      <c r="V130" s="1045"/>
      <c r="W130" s="1045"/>
      <c r="X130" s="1045"/>
      <c r="Y130" s="1045"/>
      <c r="Z130" s="1045"/>
      <c r="AA130" s="1045"/>
      <c r="AB130" s="1045"/>
      <c r="AC130" s="1045"/>
    </row>
    <row r="131" spans="1:29" s="857" customFormat="1" ht="15">
      <c r="A131" s="1117"/>
      <c r="B131" s="1131"/>
      <c r="C131" s="1119"/>
      <c r="D131" s="1119"/>
      <c r="E131" s="1119"/>
      <c r="F131" s="1119"/>
      <c r="G131" s="1128"/>
      <c r="H131" s="1128"/>
      <c r="I131" s="1128"/>
      <c r="J131" s="1128"/>
      <c r="K131" s="1128"/>
      <c r="L131" s="1128"/>
      <c r="M131" s="1177"/>
      <c r="N131" s="1155"/>
      <c r="O131" s="1155"/>
      <c r="P131" s="1155"/>
      <c r="Q131" s="1183"/>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6" customWidth="1"/>
    <col min="2" max="6" width="21.875" style="2106" hidden="1" customWidth="1"/>
    <col min="7" max="11" width="21.875" style="2106" customWidth="1"/>
    <col min="12" max="13" width="21.875" style="2106" hidden="1" customWidth="1"/>
    <col min="14" max="14" width="21.875" style="2106" customWidth="1"/>
    <col min="15" max="17" width="21.875" style="2106" hidden="1" customWidth="1"/>
    <col min="18" max="25" width="21.875" style="2106" customWidth="1"/>
    <col min="26" max="28" width="21.875" style="2107" customWidth="1"/>
    <col min="29" max="52" width="21.875" style="2106" customWidth="1"/>
    <col min="53" max="16384" width="8.75" style="2106"/>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3137</v>
      </c>
      <c r="M1" s="3088" t="s">
        <v>1066</v>
      </c>
      <c r="N1" s="3088" t="s">
        <v>3138</v>
      </c>
      <c r="O1" s="3088" t="s">
        <v>1067</v>
      </c>
      <c r="P1" s="3088" t="s">
        <v>1068</v>
      </c>
      <c r="Q1" s="3088" t="s">
        <v>1069</v>
      </c>
      <c r="R1" s="3088" t="s">
        <v>1070</v>
      </c>
      <c r="S1" s="3088" t="s">
        <v>1071</v>
      </c>
      <c r="T1" s="3088" t="s">
        <v>1072</v>
      </c>
      <c r="U1" s="3088" t="s">
        <v>1073</v>
      </c>
      <c r="V1" s="3088" t="s">
        <v>3139</v>
      </c>
      <c r="W1" s="3088" t="s">
        <v>3140</v>
      </c>
      <c r="X1" s="3088" t="s">
        <v>1075</v>
      </c>
      <c r="Y1" s="3088" t="s">
        <v>1076</v>
      </c>
      <c r="Z1" s="3088" t="s">
        <v>1077</v>
      </c>
      <c r="AA1" s="3088" t="s">
        <v>1078</v>
      </c>
      <c r="AB1" s="3088" t="s">
        <v>1079</v>
      </c>
      <c r="AC1" s="3088" t="s">
        <v>3141</v>
      </c>
      <c r="AD1" s="3088" t="s">
        <v>3142</v>
      </c>
      <c r="AE1" s="3088" t="s">
        <v>3143</v>
      </c>
      <c r="AF1" s="3088" t="s">
        <v>1083</v>
      </c>
      <c r="AG1" s="3088" t="s">
        <v>3144</v>
      </c>
      <c r="AH1" s="3088" t="s">
        <v>1085</v>
      </c>
      <c r="AI1" s="3088" t="s">
        <v>1086</v>
      </c>
      <c r="AJ1" s="3088" t="s">
        <v>1087</v>
      </c>
      <c r="AK1" s="3088" t="s">
        <v>3145</v>
      </c>
      <c r="AL1" s="3088" t="s">
        <v>1088</v>
      </c>
      <c r="AM1" s="3088" t="s">
        <v>1089</v>
      </c>
      <c r="AN1" s="3088" t="s">
        <v>1090</v>
      </c>
      <c r="AO1" s="3088" t="s">
        <v>1091</v>
      </c>
      <c r="AP1" s="3088" t="s">
        <v>3146</v>
      </c>
      <c r="AQ1" s="3088" t="s">
        <v>3147</v>
      </c>
      <c r="AR1" s="3088" t="s">
        <v>1092</v>
      </c>
      <c r="AS1" s="3088" t="s">
        <v>1093</v>
      </c>
      <c r="AT1" s="3088" t="s">
        <v>1094</v>
      </c>
      <c r="AU1" s="3088" t="s">
        <v>1095</v>
      </c>
      <c r="AV1" s="3088" t="s">
        <v>1096</v>
      </c>
      <c r="AW1" s="3088" t="s">
        <v>1097</v>
      </c>
      <c r="AX1" s="3088" t="s">
        <v>1098</v>
      </c>
      <c r="AY1" s="3088" t="s">
        <v>1099</v>
      </c>
      <c r="AZ1" s="3088" t="s">
        <v>1100</v>
      </c>
      <c r="BA1" s="3088" t="s">
        <v>1101</v>
      </c>
      <c r="BB1" s="3088" t="s">
        <v>3148</v>
      </c>
      <c r="BC1" s="3088" t="s">
        <v>1103</v>
      </c>
      <c r="BD1" s="3088" t="s">
        <v>1104</v>
      </c>
      <c r="BE1" s="3088" t="s">
        <v>1105</v>
      </c>
      <c r="BF1" s="3088" t="s">
        <v>3149</v>
      </c>
      <c r="BG1" s="3088" t="s">
        <v>3150</v>
      </c>
      <c r="BH1" s="3088" t="s">
        <v>3151</v>
      </c>
      <c r="BI1" s="3088" t="s">
        <v>3152</v>
      </c>
    </row>
    <row r="2" spans="1:61" s="3088" customFormat="1">
      <c r="A2" s="3088" t="s">
        <v>3036</v>
      </c>
      <c r="B2" s="3088" t="s">
        <v>342</v>
      </c>
      <c r="C2" s="3088" t="s">
        <v>3037</v>
      </c>
      <c r="D2" s="3088" t="s">
        <v>3038</v>
      </c>
      <c r="E2" s="3088" t="s">
        <v>3039</v>
      </c>
      <c r="F2" s="3088" t="s">
        <v>3040</v>
      </c>
      <c r="G2" s="3088" t="s">
        <v>3041</v>
      </c>
      <c r="H2" s="3088" t="s">
        <v>3042</v>
      </c>
      <c r="I2" s="3088">
        <v>30551.17</v>
      </c>
      <c r="J2" s="3088">
        <v>42798.91</v>
      </c>
      <c r="K2" s="3088" t="s">
        <v>3043</v>
      </c>
      <c r="L2" s="3088">
        <v>1.5</v>
      </c>
      <c r="M2" s="3088" t="s">
        <v>3044</v>
      </c>
      <c r="N2" s="3088" t="s">
        <v>3045</v>
      </c>
      <c r="O2" s="3088" t="s">
        <v>3046</v>
      </c>
      <c r="P2" s="3088" t="s">
        <v>1215</v>
      </c>
      <c r="Q2" s="3088" t="s">
        <v>1117</v>
      </c>
      <c r="R2" s="3088">
        <v>30</v>
      </c>
      <c r="S2" s="3088" t="s">
        <v>3047</v>
      </c>
      <c r="T2" s="3088" t="s">
        <v>3048</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3049</v>
      </c>
      <c r="AG2" s="3088" t="s">
        <v>3050</v>
      </c>
      <c r="AH2" s="3088" t="s">
        <v>3051</v>
      </c>
      <c r="AI2" s="3088" t="s">
        <v>3052</v>
      </c>
      <c r="AJ2" s="3088" t="s">
        <v>3053</v>
      </c>
      <c r="AK2" s="3088" t="s">
        <v>3054</v>
      </c>
      <c r="AL2" s="3088">
        <v>62000</v>
      </c>
      <c r="AM2" s="3088">
        <v>12500</v>
      </c>
      <c r="AN2" s="3088" t="s">
        <v>3055</v>
      </c>
      <c r="AO2" s="3088">
        <v>62000</v>
      </c>
      <c r="AP2" s="3088">
        <v>20293.82</v>
      </c>
      <c r="AQ2" s="3088">
        <v>20293.82</v>
      </c>
      <c r="AR2" s="3088">
        <v>1352.92</v>
      </c>
      <c r="AS2" s="3088">
        <v>1352.92</v>
      </c>
      <c r="AT2" s="3088">
        <v>14486</v>
      </c>
      <c r="AU2" s="3088">
        <v>14486</v>
      </c>
      <c r="AV2" s="3088" t="s">
        <v>1117</v>
      </c>
      <c r="AW2" s="3088" t="s">
        <v>1117</v>
      </c>
      <c r="AX2" s="3088">
        <v>0</v>
      </c>
      <c r="AY2" s="3088" t="s">
        <v>3056</v>
      </c>
      <c r="AZ2" s="3088">
        <v>71300</v>
      </c>
      <c r="BA2" s="3088" t="s">
        <v>3057</v>
      </c>
      <c r="BB2" s="3088" t="s">
        <v>1117</v>
      </c>
      <c r="BC2" s="3088">
        <v>16659</v>
      </c>
      <c r="BD2" s="3088">
        <v>15</v>
      </c>
      <c r="BE2" s="3088" t="s">
        <v>1117</v>
      </c>
      <c r="BF2" s="3088" t="s">
        <v>1117</v>
      </c>
      <c r="BG2" s="3088" t="s">
        <v>3058</v>
      </c>
      <c r="BH2" s="3088" t="s">
        <v>3059</v>
      </c>
      <c r="BI2" s="3088" t="s">
        <v>1122</v>
      </c>
    </row>
    <row r="3" spans="1:61" s="3088" customFormat="1">
      <c r="A3" s="3088" t="s">
        <v>3060</v>
      </c>
      <c r="B3" s="3088" t="s">
        <v>342</v>
      </c>
      <c r="C3" s="3088" t="s">
        <v>3061</v>
      </c>
      <c r="D3" s="3088" t="s">
        <v>3038</v>
      </c>
      <c r="E3" s="3088" t="s">
        <v>3039</v>
      </c>
      <c r="F3" s="3088" t="s">
        <v>3062</v>
      </c>
      <c r="G3" s="3088" t="s">
        <v>3063</v>
      </c>
      <c r="H3" s="3088" t="s">
        <v>3064</v>
      </c>
      <c r="I3" s="3088">
        <v>16909.86</v>
      </c>
      <c r="J3" s="3088">
        <v>33819.72</v>
      </c>
      <c r="K3" s="3088">
        <v>2</v>
      </c>
      <c r="L3" s="3088">
        <v>2</v>
      </c>
      <c r="M3" s="3088" t="s">
        <v>3044</v>
      </c>
      <c r="N3" s="3088" t="s">
        <v>3065</v>
      </c>
      <c r="O3" s="3088" t="s">
        <v>3066</v>
      </c>
      <c r="P3" s="3088" t="s">
        <v>1215</v>
      </c>
      <c r="Q3" s="3088" t="s">
        <v>1117</v>
      </c>
      <c r="R3" s="3088">
        <v>35</v>
      </c>
      <c r="S3" s="3088">
        <v>36</v>
      </c>
      <c r="T3" s="3088" t="s">
        <v>3048</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3067</v>
      </c>
      <c r="AG3" s="3088" t="s">
        <v>3050</v>
      </c>
      <c r="AH3" s="3088" t="s">
        <v>1387</v>
      </c>
      <c r="AI3" s="3088" t="s">
        <v>3068</v>
      </c>
      <c r="AJ3" s="3088" t="s">
        <v>3053</v>
      </c>
      <c r="AK3" s="3088" t="s">
        <v>3054</v>
      </c>
      <c r="AL3" s="3088">
        <v>101500</v>
      </c>
      <c r="AM3" s="3088">
        <v>21000</v>
      </c>
      <c r="AN3" s="3088" t="s">
        <v>3055</v>
      </c>
      <c r="AO3" s="3088">
        <v>116725</v>
      </c>
      <c r="AP3" s="3088">
        <v>60024.15</v>
      </c>
      <c r="AQ3" s="3088">
        <v>69027.77</v>
      </c>
      <c r="AR3" s="3088">
        <v>4001.61</v>
      </c>
      <c r="AS3" s="3088">
        <v>4601.8500000000004</v>
      </c>
      <c r="AT3" s="3088">
        <v>30012</v>
      </c>
      <c r="AU3" s="3088">
        <v>34514</v>
      </c>
      <c r="AV3" s="3088" t="s">
        <v>1117</v>
      </c>
      <c r="AW3" s="3088" t="s">
        <v>1117</v>
      </c>
      <c r="AX3" s="3088">
        <v>15</v>
      </c>
      <c r="AY3" s="3088" t="s">
        <v>3069</v>
      </c>
      <c r="AZ3" s="3088">
        <v>116725</v>
      </c>
      <c r="BA3" s="3088" t="s">
        <v>3070</v>
      </c>
      <c r="BB3" s="3088">
        <v>60000</v>
      </c>
      <c r="BC3" s="3088">
        <v>34514</v>
      </c>
      <c r="BD3" s="3088">
        <v>15</v>
      </c>
      <c r="BE3" s="3088">
        <v>25486</v>
      </c>
      <c r="BF3" s="3088">
        <v>60000</v>
      </c>
      <c r="BG3" s="3088" t="s">
        <v>3058</v>
      </c>
      <c r="BH3" s="3088" t="s">
        <v>3059</v>
      </c>
      <c r="BI3" s="3088" t="s">
        <v>1122</v>
      </c>
    </row>
    <row r="4" spans="1:61" s="3088" customFormat="1">
      <c r="A4" s="3088" t="s">
        <v>3071</v>
      </c>
      <c r="B4" s="3088" t="s">
        <v>342</v>
      </c>
      <c r="C4" s="3088" t="s">
        <v>3072</v>
      </c>
      <c r="D4" s="3088" t="s">
        <v>3038</v>
      </c>
      <c r="E4" s="3088" t="s">
        <v>3039</v>
      </c>
      <c r="F4" s="3088" t="s">
        <v>3073</v>
      </c>
      <c r="G4" s="3088" t="s">
        <v>3074</v>
      </c>
      <c r="H4" s="3088" t="s">
        <v>3064</v>
      </c>
      <c r="I4" s="3088">
        <v>28400</v>
      </c>
      <c r="J4" s="3088">
        <v>56800</v>
      </c>
      <c r="K4" s="3088">
        <v>2</v>
      </c>
      <c r="L4" s="3088">
        <v>2</v>
      </c>
      <c r="M4" s="3088" t="s">
        <v>3044</v>
      </c>
      <c r="N4" s="3088" t="s">
        <v>3065</v>
      </c>
      <c r="O4" s="3088" t="s">
        <v>3075</v>
      </c>
      <c r="P4" s="3088" t="s">
        <v>1215</v>
      </c>
      <c r="Q4" s="3088" t="s">
        <v>1117</v>
      </c>
      <c r="R4" s="3088">
        <v>40</v>
      </c>
      <c r="S4" s="3088">
        <v>36</v>
      </c>
      <c r="T4" s="3088" t="s">
        <v>3048</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3076</v>
      </c>
      <c r="AG4" s="3088" t="s">
        <v>3050</v>
      </c>
      <c r="AH4" s="3088" t="s">
        <v>3077</v>
      </c>
      <c r="AI4" s="3088" t="s">
        <v>3052</v>
      </c>
      <c r="AJ4" s="3088" t="s">
        <v>3053</v>
      </c>
      <c r="AK4" s="3088" t="s">
        <v>3054</v>
      </c>
      <c r="AL4" s="3088">
        <v>126000</v>
      </c>
      <c r="AM4" s="3088">
        <v>26000</v>
      </c>
      <c r="AN4" s="3088" t="s">
        <v>3078</v>
      </c>
      <c r="AO4" s="3088">
        <v>126000</v>
      </c>
      <c r="AP4" s="3088">
        <v>44366.19</v>
      </c>
      <c r="AQ4" s="3088">
        <v>44366.19</v>
      </c>
      <c r="AR4" s="3088">
        <v>2957.75</v>
      </c>
      <c r="AS4" s="3088">
        <v>2957.75</v>
      </c>
      <c r="AT4" s="3088">
        <v>22183</v>
      </c>
      <c r="AU4" s="3088">
        <v>22183</v>
      </c>
      <c r="AV4" s="3088" t="s">
        <v>1117</v>
      </c>
      <c r="AW4" s="3088" t="s">
        <v>1117</v>
      </c>
      <c r="AX4" s="3088">
        <v>0</v>
      </c>
      <c r="AY4" s="3088" t="s">
        <v>3079</v>
      </c>
      <c r="AZ4" s="3088">
        <v>144900</v>
      </c>
      <c r="BA4" s="3088" t="s">
        <v>3057</v>
      </c>
      <c r="BB4" s="3088" t="s">
        <v>1117</v>
      </c>
      <c r="BC4" s="3088">
        <v>25511</v>
      </c>
      <c r="BD4" s="3088">
        <v>15</v>
      </c>
      <c r="BE4" s="3088" t="s">
        <v>1117</v>
      </c>
      <c r="BF4" s="3088" t="s">
        <v>1117</v>
      </c>
      <c r="BG4" s="3088" t="s">
        <v>3058</v>
      </c>
      <c r="BH4" s="3088" t="s">
        <v>3059</v>
      </c>
      <c r="BI4" s="3088" t="s">
        <v>1122</v>
      </c>
    </row>
    <row r="5" spans="1:61" s="3090" customFormat="1">
      <c r="A5" s="3090" t="s">
        <v>3080</v>
      </c>
      <c r="B5" s="3090" t="s">
        <v>342</v>
      </c>
      <c r="C5" s="3090" t="s">
        <v>3081</v>
      </c>
      <c r="D5" s="3090" t="s">
        <v>3038</v>
      </c>
      <c r="E5" s="3090" t="s">
        <v>3039</v>
      </c>
      <c r="F5" s="3090" t="s">
        <v>3082</v>
      </c>
      <c r="G5" s="3090" t="s">
        <v>3083</v>
      </c>
      <c r="H5" s="3090" t="s">
        <v>3042</v>
      </c>
      <c r="I5" s="3090">
        <v>69893.14</v>
      </c>
      <c r="J5" s="3090">
        <v>107430.41</v>
      </c>
      <c r="K5" s="3090" t="s">
        <v>3084</v>
      </c>
      <c r="L5" s="3090">
        <v>1.7</v>
      </c>
      <c r="M5" s="3090" t="s">
        <v>3044</v>
      </c>
      <c r="N5" s="3090" t="s">
        <v>3085</v>
      </c>
      <c r="O5" s="3090" t="s">
        <v>3086</v>
      </c>
      <c r="P5" s="3090" t="s">
        <v>1215</v>
      </c>
      <c r="Q5" s="3090" t="s">
        <v>1117</v>
      </c>
      <c r="R5" s="3090" t="s">
        <v>3087</v>
      </c>
      <c r="S5" s="3090">
        <v>36</v>
      </c>
      <c r="T5" s="3090" t="s">
        <v>3048</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3088</v>
      </c>
      <c r="AG5" s="3090" t="s">
        <v>3050</v>
      </c>
      <c r="AH5" s="3090" t="s">
        <v>3089</v>
      </c>
      <c r="AI5" s="3090" t="s">
        <v>3090</v>
      </c>
      <c r="AJ5" s="3090" t="s">
        <v>3091</v>
      </c>
      <c r="AK5" s="3090" t="s">
        <v>1117</v>
      </c>
      <c r="AL5" s="3090">
        <v>199000</v>
      </c>
      <c r="AM5" s="3090">
        <v>40000</v>
      </c>
      <c r="AN5" s="3090" t="s">
        <v>3092</v>
      </c>
      <c r="AO5" s="3090">
        <v>199000</v>
      </c>
      <c r="AP5" s="3090">
        <v>28472.03</v>
      </c>
      <c r="AQ5" s="3090">
        <v>28472.03</v>
      </c>
      <c r="AR5" s="3090">
        <v>1898.14</v>
      </c>
      <c r="AS5" s="3090">
        <v>1898.14</v>
      </c>
      <c r="AT5" s="3090">
        <v>18524</v>
      </c>
      <c r="AU5" s="3090">
        <v>18524</v>
      </c>
      <c r="AV5" s="3090" t="s">
        <v>1117</v>
      </c>
      <c r="AW5" s="3090" t="s">
        <v>1117</v>
      </c>
      <c r="AX5" s="3090">
        <v>0</v>
      </c>
      <c r="AY5" s="3090" t="s">
        <v>3093</v>
      </c>
      <c r="AZ5" s="3090">
        <v>228850</v>
      </c>
      <c r="BA5" s="3090" t="s">
        <v>3057</v>
      </c>
      <c r="BB5" s="3090" t="s">
        <v>1117</v>
      </c>
      <c r="BC5" s="3090">
        <v>21302</v>
      </c>
      <c r="BD5" s="3090">
        <v>15</v>
      </c>
      <c r="BE5" s="3090" t="s">
        <v>1117</v>
      </c>
      <c r="BF5" s="3090" t="s">
        <v>1117</v>
      </c>
      <c r="BG5" s="3090" t="s">
        <v>3058</v>
      </c>
      <c r="BH5" s="3090" t="s">
        <v>3094</v>
      </c>
      <c r="BI5" s="3090" t="s">
        <v>3095</v>
      </c>
    </row>
    <row r="6" spans="1:61" s="3088" customFormat="1">
      <c r="A6" s="3088" t="s">
        <v>3096</v>
      </c>
      <c r="B6" s="3088" t="s">
        <v>342</v>
      </c>
      <c r="C6" s="3088" t="s">
        <v>3097</v>
      </c>
      <c r="D6" s="3088" t="s">
        <v>3038</v>
      </c>
      <c r="E6" s="3088" t="s">
        <v>3039</v>
      </c>
      <c r="F6" s="3088" t="s">
        <v>3073</v>
      </c>
      <c r="G6" s="3088" t="s">
        <v>3098</v>
      </c>
      <c r="H6" s="3088" t="s">
        <v>3042</v>
      </c>
      <c r="I6" s="3088">
        <v>63203.19</v>
      </c>
      <c r="J6" s="3088">
        <v>107665.74</v>
      </c>
      <c r="K6" s="3088" t="s">
        <v>3099</v>
      </c>
      <c r="L6" s="3088">
        <v>1.8</v>
      </c>
      <c r="M6" s="3088" t="s">
        <v>3044</v>
      </c>
      <c r="N6" s="3088" t="s">
        <v>3085</v>
      </c>
      <c r="O6" s="3088" t="s">
        <v>3100</v>
      </c>
      <c r="P6" s="3088" t="s">
        <v>1215</v>
      </c>
      <c r="Q6" s="3088" t="s">
        <v>1117</v>
      </c>
      <c r="R6" s="3088">
        <v>0.3</v>
      </c>
      <c r="S6" s="3088" t="s">
        <v>1117</v>
      </c>
      <c r="T6" s="3088" t="s">
        <v>3048</v>
      </c>
      <c r="U6" s="3088" t="s">
        <v>3101</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3102</v>
      </c>
      <c r="AG6" s="3088" t="s">
        <v>3050</v>
      </c>
      <c r="AH6" s="3088" t="s">
        <v>3103</v>
      </c>
      <c r="AI6" s="3088" t="s">
        <v>3104</v>
      </c>
      <c r="AJ6" s="3088" t="s">
        <v>3053</v>
      </c>
      <c r="AK6" s="3088" t="s">
        <v>1117</v>
      </c>
      <c r="AL6" s="3088">
        <v>227000</v>
      </c>
      <c r="AM6" s="3088">
        <v>46000</v>
      </c>
      <c r="AN6" s="3088" t="s">
        <v>3105</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3106</v>
      </c>
      <c r="AZ6" s="3088">
        <v>261050</v>
      </c>
      <c r="BA6" s="3088" t="s">
        <v>3057</v>
      </c>
      <c r="BB6" s="3088">
        <v>46000</v>
      </c>
      <c r="BC6" s="3088">
        <v>24246</v>
      </c>
      <c r="BD6" s="3088">
        <v>15</v>
      </c>
      <c r="BE6" s="3088">
        <v>22738</v>
      </c>
      <c r="BF6" s="3088">
        <v>46000</v>
      </c>
      <c r="BG6" s="3088" t="s">
        <v>3107</v>
      </c>
      <c r="BH6" s="3088" t="s">
        <v>3094</v>
      </c>
      <c r="BI6" s="3088" t="s">
        <v>1248</v>
      </c>
    </row>
    <row r="7" spans="1:61" s="3088" customFormat="1">
      <c r="A7" s="3088" t="s">
        <v>3108</v>
      </c>
      <c r="B7" s="3088" t="s">
        <v>342</v>
      </c>
      <c r="C7" s="3088" t="s">
        <v>3109</v>
      </c>
      <c r="D7" s="3088" t="s">
        <v>3038</v>
      </c>
      <c r="E7" s="3088" t="s">
        <v>3039</v>
      </c>
      <c r="F7" s="3088" t="s">
        <v>3110</v>
      </c>
      <c r="G7" s="3088" t="s">
        <v>3111</v>
      </c>
      <c r="H7" s="3088" t="s">
        <v>3064</v>
      </c>
      <c r="I7" s="3088">
        <v>20354.939999999999</v>
      </c>
      <c r="J7" s="3088">
        <v>47549.3</v>
      </c>
      <c r="K7" s="3088" t="s">
        <v>3112</v>
      </c>
      <c r="L7" s="3088">
        <v>2.4</v>
      </c>
      <c r="M7" s="3088" t="s">
        <v>3044</v>
      </c>
      <c r="N7" s="3088" t="s">
        <v>3113</v>
      </c>
      <c r="O7" s="3088" t="s">
        <v>3075</v>
      </c>
      <c r="P7" s="3088" t="s">
        <v>1215</v>
      </c>
      <c r="Q7" s="3088" t="s">
        <v>1117</v>
      </c>
      <c r="R7" s="3088">
        <v>0.4</v>
      </c>
      <c r="S7" s="3088">
        <v>45</v>
      </c>
      <c r="T7" s="3088" t="s">
        <v>3048</v>
      </c>
      <c r="U7" s="3088" t="s">
        <v>3114</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3115</v>
      </c>
      <c r="AG7" s="3088" t="s">
        <v>3050</v>
      </c>
      <c r="AH7" s="3088" t="s">
        <v>3116</v>
      </c>
      <c r="AI7" s="3088" t="s">
        <v>3117</v>
      </c>
      <c r="AJ7" s="3088" t="s">
        <v>3118</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3079</v>
      </c>
      <c r="AZ7" s="3088">
        <v>110400</v>
      </c>
      <c r="BA7" s="3088" t="s">
        <v>3070</v>
      </c>
      <c r="BB7" s="3088">
        <v>46000</v>
      </c>
      <c r="BC7" s="3088">
        <v>23218</v>
      </c>
      <c r="BD7" s="3088">
        <v>15</v>
      </c>
      <c r="BE7" s="3088">
        <v>22585</v>
      </c>
      <c r="BF7" s="3088">
        <v>46000</v>
      </c>
      <c r="BG7" s="3088" t="s">
        <v>3058</v>
      </c>
      <c r="BH7" s="3088" t="s">
        <v>3094</v>
      </c>
      <c r="BI7" s="3088" t="s">
        <v>3119</v>
      </c>
    </row>
    <row r="8" spans="1:61" s="3088" customFormat="1">
      <c r="A8" s="3088" t="s">
        <v>3120</v>
      </c>
      <c r="B8" s="3088" t="s">
        <v>342</v>
      </c>
      <c r="C8" s="3088" t="s">
        <v>3121</v>
      </c>
      <c r="D8" s="3088" t="s">
        <v>3038</v>
      </c>
      <c r="E8" s="3088" t="s">
        <v>3039</v>
      </c>
      <c r="F8" s="3088" t="s">
        <v>3122</v>
      </c>
      <c r="G8" s="3088" t="s">
        <v>3123</v>
      </c>
      <c r="H8" s="3088" t="s">
        <v>3064</v>
      </c>
      <c r="I8" s="3088">
        <v>34099.22</v>
      </c>
      <c r="J8" s="3088">
        <v>61378.59</v>
      </c>
      <c r="K8" s="3088">
        <v>1.8</v>
      </c>
      <c r="L8" s="3088">
        <v>1.8</v>
      </c>
      <c r="M8" s="3088" t="s">
        <v>3044</v>
      </c>
      <c r="N8" s="3088" t="s">
        <v>3113</v>
      </c>
      <c r="O8" s="3088" t="s">
        <v>3075</v>
      </c>
      <c r="P8" s="3088" t="s">
        <v>1215</v>
      </c>
      <c r="Q8" s="3088" t="s">
        <v>1117</v>
      </c>
      <c r="R8" s="3088">
        <v>0.3</v>
      </c>
      <c r="S8" s="3088" t="s">
        <v>1117</v>
      </c>
      <c r="T8" s="3088" t="s">
        <v>3048</v>
      </c>
      <c r="U8" s="3088" t="s">
        <v>3124</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3125</v>
      </c>
      <c r="AG8" s="3088" t="s">
        <v>3050</v>
      </c>
      <c r="AH8" s="3088" t="s">
        <v>3126</v>
      </c>
      <c r="AI8" s="3088" t="s">
        <v>3127</v>
      </c>
      <c r="AJ8" s="3088" t="s">
        <v>3091</v>
      </c>
      <c r="AK8" s="3088" t="s">
        <v>1117</v>
      </c>
      <c r="AL8" s="3088">
        <v>150500</v>
      </c>
      <c r="AM8" s="3088">
        <v>31000</v>
      </c>
      <c r="AN8" s="3088" t="s">
        <v>3128</v>
      </c>
      <c r="AO8" s="3088">
        <v>173075</v>
      </c>
      <c r="AP8" s="3088">
        <v>44135.9</v>
      </c>
      <c r="AQ8" s="3088">
        <v>50756.29</v>
      </c>
      <c r="AR8" s="3088">
        <v>2942.39</v>
      </c>
      <c r="AS8" s="3088">
        <v>3383.75</v>
      </c>
      <c r="AT8" s="3088">
        <v>24520</v>
      </c>
      <c r="AU8" s="3088">
        <v>28198</v>
      </c>
      <c r="AV8" s="3088" t="s">
        <v>1117</v>
      </c>
      <c r="AW8" s="3088" t="s">
        <v>1117</v>
      </c>
      <c r="AX8" s="3088">
        <v>15</v>
      </c>
      <c r="AY8" s="3088" t="s">
        <v>3079</v>
      </c>
      <c r="AZ8" s="3088">
        <v>173075</v>
      </c>
      <c r="BA8" s="3088" t="s">
        <v>3070</v>
      </c>
      <c r="BB8" s="3088">
        <v>58000</v>
      </c>
      <c r="BC8" s="3088">
        <v>28198</v>
      </c>
      <c r="BD8" s="3088">
        <v>15</v>
      </c>
      <c r="BE8" s="3088">
        <v>29429</v>
      </c>
      <c r="BF8" s="3088">
        <v>58000</v>
      </c>
      <c r="BG8" s="3088" t="s">
        <v>3058</v>
      </c>
      <c r="BH8" s="3088" t="s">
        <v>3094</v>
      </c>
      <c r="BI8" s="3088" t="s">
        <v>3129</v>
      </c>
    </row>
    <row r="9" spans="1:61" s="3088" customFormat="1">
      <c r="A9" s="3088" t="s">
        <v>3130</v>
      </c>
      <c r="B9" s="3088" t="s">
        <v>342</v>
      </c>
      <c r="C9" s="3088" t="s">
        <v>3131</v>
      </c>
      <c r="D9" s="3088" t="s">
        <v>3038</v>
      </c>
      <c r="E9" s="3088" t="s">
        <v>3039</v>
      </c>
      <c r="F9" s="3088" t="s">
        <v>3122</v>
      </c>
      <c r="G9" s="3088" t="s">
        <v>3132</v>
      </c>
      <c r="H9" s="3088" t="s">
        <v>3064</v>
      </c>
      <c r="I9" s="3088">
        <v>31562.01</v>
      </c>
      <c r="J9" s="3088">
        <v>56811.61</v>
      </c>
      <c r="K9" s="3088">
        <v>1.8</v>
      </c>
      <c r="L9" s="3088">
        <v>1.8</v>
      </c>
      <c r="M9" s="3088" t="s">
        <v>3044</v>
      </c>
      <c r="N9" s="3088" t="s">
        <v>3113</v>
      </c>
      <c r="O9" s="3088" t="s">
        <v>3075</v>
      </c>
      <c r="P9" s="3088" t="s">
        <v>1215</v>
      </c>
      <c r="Q9" s="3088" t="s">
        <v>1117</v>
      </c>
      <c r="R9" s="3088">
        <v>0.3</v>
      </c>
      <c r="S9" s="3088" t="s">
        <v>1117</v>
      </c>
      <c r="T9" s="3088" t="s">
        <v>3048</v>
      </c>
      <c r="U9" s="3088" t="s">
        <v>3124</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3133</v>
      </c>
      <c r="AG9" s="3088" t="s">
        <v>3050</v>
      </c>
      <c r="AH9" s="3088" t="s">
        <v>3134</v>
      </c>
      <c r="AI9" s="3088" t="s">
        <v>3135</v>
      </c>
      <c r="AJ9" s="3088" t="s">
        <v>3118</v>
      </c>
      <c r="AK9" s="3088" t="s">
        <v>1117</v>
      </c>
      <c r="AL9" s="3088">
        <v>144000</v>
      </c>
      <c r="AM9" s="3088">
        <v>29000</v>
      </c>
      <c r="AN9" s="3088" t="s">
        <v>3128</v>
      </c>
      <c r="AO9" s="3088">
        <v>165600</v>
      </c>
      <c r="AP9" s="3088">
        <v>45624.47</v>
      </c>
      <c r="AQ9" s="3088">
        <v>52468.14</v>
      </c>
      <c r="AR9" s="3088">
        <v>3041.63</v>
      </c>
      <c r="AS9" s="3088">
        <v>3497.88</v>
      </c>
      <c r="AT9" s="3088">
        <v>25347</v>
      </c>
      <c r="AU9" s="3088">
        <v>29149</v>
      </c>
      <c r="AV9" s="3088" t="s">
        <v>1117</v>
      </c>
      <c r="AW9" s="3088" t="s">
        <v>1117</v>
      </c>
      <c r="AX9" s="3088">
        <v>15</v>
      </c>
      <c r="AY9" s="3088" t="s">
        <v>3079</v>
      </c>
      <c r="AZ9" s="3088">
        <v>165600</v>
      </c>
      <c r="BA9" s="3088" t="s">
        <v>3070</v>
      </c>
      <c r="BB9" s="3088">
        <v>58000</v>
      </c>
      <c r="BC9" s="3088">
        <v>29149</v>
      </c>
      <c r="BD9" s="3088">
        <v>15</v>
      </c>
      <c r="BE9" s="3088">
        <v>28168</v>
      </c>
      <c r="BF9" s="3088">
        <v>58000</v>
      </c>
      <c r="BG9" s="3088" t="s">
        <v>3058</v>
      </c>
      <c r="BH9" s="3088" t="s">
        <v>3094</v>
      </c>
      <c r="BI9" s="3088" t="s">
        <v>3136</v>
      </c>
    </row>
    <row r="10" spans="1:61" s="3088" customFormat="1">
      <c r="AB10" s="3089"/>
      <c r="AC10" s="3089"/>
      <c r="AD10" s="3089"/>
      <c r="AE10" s="3089"/>
    </row>
    <row r="11" spans="1:61">
      <c r="A11" s="2106" t="s">
        <v>1055</v>
      </c>
      <c r="B11" s="2106" t="s">
        <v>1056</v>
      </c>
      <c r="C11" s="2106" t="s">
        <v>1057</v>
      </c>
      <c r="D11" s="2106" t="s">
        <v>1058</v>
      </c>
      <c r="E11" s="2106" t="s">
        <v>1059</v>
      </c>
      <c r="F11" s="2106" t="s">
        <v>1060</v>
      </c>
      <c r="G11" s="2106" t="s">
        <v>1061</v>
      </c>
      <c r="H11" s="2106" t="s">
        <v>1062</v>
      </c>
      <c r="I11" s="2106" t="s">
        <v>1063</v>
      </c>
      <c r="J11" s="2106" t="s">
        <v>1064</v>
      </c>
      <c r="K11" s="2106" t="s">
        <v>1065</v>
      </c>
      <c r="L11" s="2106" t="s">
        <v>1066</v>
      </c>
      <c r="M11" s="2106" t="s">
        <v>1067</v>
      </c>
      <c r="N11" s="2106" t="s">
        <v>1068</v>
      </c>
      <c r="O11" s="2106" t="s">
        <v>1069</v>
      </c>
      <c r="P11" s="2106" t="s">
        <v>1070</v>
      </c>
      <c r="Q11" s="2106" t="s">
        <v>1071</v>
      </c>
      <c r="R11" s="2106" t="s">
        <v>1072</v>
      </c>
      <c r="S11" s="2106" t="s">
        <v>1073</v>
      </c>
      <c r="T11" s="2106" t="s">
        <v>1074</v>
      </c>
      <c r="U11" s="2106" t="s">
        <v>1075</v>
      </c>
      <c r="V11" s="2106" t="s">
        <v>1076</v>
      </c>
      <c r="W11" s="2106" t="s">
        <v>1077</v>
      </c>
      <c r="X11" s="2106" t="s">
        <v>1078</v>
      </c>
      <c r="Y11" s="2106" t="s">
        <v>1079</v>
      </c>
      <c r="Z11" s="2107" t="s">
        <v>1080</v>
      </c>
      <c r="AA11" s="2107" t="s">
        <v>1081</v>
      </c>
      <c r="AB11" s="2107" t="s">
        <v>1082</v>
      </c>
      <c r="AC11" s="2106" t="s">
        <v>1083</v>
      </c>
      <c r="AD11" s="2106" t="s">
        <v>1084</v>
      </c>
      <c r="AE11" s="2106" t="s">
        <v>1085</v>
      </c>
      <c r="AF11" s="2106" t="s">
        <v>1086</v>
      </c>
      <c r="AG11" s="2106" t="s">
        <v>1087</v>
      </c>
      <c r="AH11" s="2106" t="s">
        <v>1088</v>
      </c>
      <c r="AI11" s="2106" t="s">
        <v>1089</v>
      </c>
      <c r="AJ11" s="2106" t="s">
        <v>1090</v>
      </c>
      <c r="AK11" s="2106" t="s">
        <v>1091</v>
      </c>
      <c r="AL11" s="2106" t="s">
        <v>1092</v>
      </c>
      <c r="AM11" s="2106" t="s">
        <v>1093</v>
      </c>
      <c r="AN11" s="2106" t="s">
        <v>1094</v>
      </c>
      <c r="AO11" s="2106" t="s">
        <v>1095</v>
      </c>
      <c r="AP11" s="2106" t="s">
        <v>1096</v>
      </c>
      <c r="AQ11" s="2106" t="s">
        <v>1097</v>
      </c>
      <c r="AR11" s="2106" t="s">
        <v>1098</v>
      </c>
      <c r="AS11" s="2106" t="s">
        <v>1099</v>
      </c>
      <c r="AT11" s="2106" t="s">
        <v>1100</v>
      </c>
      <c r="AU11" s="2106" t="s">
        <v>1101</v>
      </c>
      <c r="AV11" s="2106" t="s">
        <v>1102</v>
      </c>
      <c r="AW11" s="2106" t="s">
        <v>1103</v>
      </c>
      <c r="AX11" s="2106" t="s">
        <v>1104</v>
      </c>
      <c r="AY11" s="2106" t="s">
        <v>1105</v>
      </c>
    </row>
    <row r="12" spans="1:61">
      <c r="A12" s="2106" t="s">
        <v>1106</v>
      </c>
      <c r="B12" s="2106" t="s">
        <v>342</v>
      </c>
      <c r="C12" s="2106" t="s">
        <v>1107</v>
      </c>
      <c r="D12" s="2106" t="s">
        <v>1108</v>
      </c>
      <c r="E12" s="2106" t="s">
        <v>1109</v>
      </c>
      <c r="F12" s="2106" t="s">
        <v>1110</v>
      </c>
      <c r="G12" s="2106" t="s">
        <v>1111</v>
      </c>
      <c r="H12" s="2106" t="s">
        <v>1112</v>
      </c>
      <c r="I12" s="2106">
        <v>89084.800000000003</v>
      </c>
      <c r="J12" s="2106">
        <v>141877.1</v>
      </c>
      <c r="K12" s="2106" t="s">
        <v>1113</v>
      </c>
      <c r="L12" s="2106" t="s">
        <v>1114</v>
      </c>
      <c r="M12" s="2106" t="s">
        <v>1115</v>
      </c>
      <c r="N12" s="2106" t="s">
        <v>1116</v>
      </c>
      <c r="O12" s="2106" t="s">
        <v>1117</v>
      </c>
      <c r="P12" s="2106">
        <v>0.3</v>
      </c>
      <c r="Q12" s="2106" t="s">
        <v>1118</v>
      </c>
      <c r="R12" s="2106" t="s">
        <v>1119</v>
      </c>
      <c r="S12" s="2106" t="s">
        <v>1120</v>
      </c>
      <c r="T12" s="2106" t="s">
        <v>1121</v>
      </c>
      <c r="U12" s="2106">
        <v>42312.87</v>
      </c>
      <c r="V12" s="2106" t="s">
        <v>1122</v>
      </c>
      <c r="W12" s="2106">
        <v>0</v>
      </c>
      <c r="X12" s="2106">
        <v>0</v>
      </c>
      <c r="Y12" s="2106">
        <v>44791.0004976852</v>
      </c>
      <c r="Z12" s="2107">
        <v>44811.0004976852</v>
      </c>
      <c r="AA12" s="2107">
        <v>44826.0004976852</v>
      </c>
      <c r="AB12" s="2107">
        <v>44826.0004976852</v>
      </c>
      <c r="AC12" s="2106" t="s">
        <v>1123</v>
      </c>
      <c r="AD12" s="2106" t="s">
        <v>1124</v>
      </c>
      <c r="AE12" s="2106" t="s">
        <v>1125</v>
      </c>
      <c r="AF12" s="2106" t="s">
        <v>1126</v>
      </c>
      <c r="AG12" s="2106" t="s">
        <v>1127</v>
      </c>
      <c r="AH12" s="2106">
        <v>160000</v>
      </c>
      <c r="AI12" s="2106">
        <v>32000</v>
      </c>
      <c r="AJ12" s="2106" t="s">
        <v>1128</v>
      </c>
      <c r="AK12" s="2106">
        <v>160000</v>
      </c>
      <c r="AL12" s="2106">
        <v>1197.3599999999999</v>
      </c>
      <c r="AM12" s="2106">
        <v>1197.3599999999999</v>
      </c>
      <c r="AN12" s="2106">
        <v>11277</v>
      </c>
      <c r="AO12" s="2106">
        <v>11277</v>
      </c>
      <c r="AP12" s="2106">
        <v>16070</v>
      </c>
      <c r="AQ12" s="2106" t="s">
        <v>1122</v>
      </c>
      <c r="AR12" s="2106">
        <v>0</v>
      </c>
      <c r="AS12" s="2106" t="s">
        <v>1129</v>
      </c>
      <c r="AT12" s="2106">
        <v>184000</v>
      </c>
      <c r="AU12" s="2106" t="s">
        <v>1130</v>
      </c>
      <c r="AV12" s="2106" t="s">
        <v>1117</v>
      </c>
      <c r="AW12" s="2106">
        <v>12969</v>
      </c>
      <c r="AX12" s="2106">
        <v>15</v>
      </c>
      <c r="AY12" s="2106"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6" t="s">
        <v>1143</v>
      </c>
      <c r="B14" s="2106" t="s">
        <v>342</v>
      </c>
      <c r="C14" s="2106" t="s">
        <v>1144</v>
      </c>
      <c r="D14" s="2106" t="s">
        <v>1108</v>
      </c>
      <c r="E14" s="2106" t="s">
        <v>1109</v>
      </c>
      <c r="F14" s="2106" t="s">
        <v>1145</v>
      </c>
      <c r="G14" s="2106" t="s">
        <v>1146</v>
      </c>
      <c r="H14" s="2106" t="s">
        <v>1112</v>
      </c>
      <c r="I14" s="2106">
        <v>157751.99</v>
      </c>
      <c r="J14" s="2106">
        <v>187262.38</v>
      </c>
      <c r="K14" s="2106" t="s">
        <v>1147</v>
      </c>
      <c r="L14" s="2106" t="s">
        <v>1114</v>
      </c>
      <c r="M14" s="2106" t="s">
        <v>1115</v>
      </c>
      <c r="N14" s="2106" t="s">
        <v>1148</v>
      </c>
      <c r="O14" s="2106" t="s">
        <v>1117</v>
      </c>
      <c r="P14" s="2106" t="s">
        <v>1122</v>
      </c>
      <c r="Q14" s="2106" t="s">
        <v>1149</v>
      </c>
      <c r="R14" s="2106" t="s">
        <v>1150</v>
      </c>
      <c r="S14" s="2106" t="s">
        <v>1151</v>
      </c>
      <c r="T14" s="2106" t="s">
        <v>1122</v>
      </c>
      <c r="U14" s="2106" t="s">
        <v>1122</v>
      </c>
      <c r="V14" s="2106" t="s">
        <v>1122</v>
      </c>
      <c r="W14" s="2106">
        <v>0</v>
      </c>
      <c r="X14" s="2106">
        <v>0</v>
      </c>
      <c r="Y14" s="2106">
        <v>44670.0004976852</v>
      </c>
      <c r="Z14" s="2107">
        <v>44691.0004976852</v>
      </c>
      <c r="AA14" s="2107">
        <v>44712.0004976852</v>
      </c>
      <c r="AB14" s="2107">
        <v>44713.0004976852</v>
      </c>
      <c r="AC14" s="2106" t="s">
        <v>1152</v>
      </c>
      <c r="AD14" s="2106" t="s">
        <v>1124</v>
      </c>
      <c r="AE14" s="2106" t="s">
        <v>1153</v>
      </c>
      <c r="AF14" s="2106" t="s">
        <v>1154</v>
      </c>
      <c r="AG14" s="2106" t="s">
        <v>1155</v>
      </c>
      <c r="AH14" s="2106">
        <v>539000</v>
      </c>
      <c r="AI14" s="2106">
        <v>108000</v>
      </c>
      <c r="AJ14" s="2106" t="s">
        <v>1156</v>
      </c>
      <c r="AK14" s="2106">
        <v>547000</v>
      </c>
      <c r="AL14" s="2106">
        <v>2277.84</v>
      </c>
      <c r="AM14" s="2106">
        <v>2311.65</v>
      </c>
      <c r="AN14" s="2106">
        <v>28783</v>
      </c>
      <c r="AO14" s="2106">
        <v>29210</v>
      </c>
      <c r="AP14" s="2106" t="s">
        <v>1122</v>
      </c>
      <c r="AQ14" s="2106" t="s">
        <v>1122</v>
      </c>
      <c r="AR14" s="2106">
        <v>1.48</v>
      </c>
      <c r="AS14" s="2106" t="s">
        <v>1157</v>
      </c>
      <c r="AT14" s="2106">
        <v>619850</v>
      </c>
      <c r="AU14" s="2106" t="s">
        <v>1130</v>
      </c>
      <c r="AV14" s="2106" t="s">
        <v>1117</v>
      </c>
      <c r="AW14" s="2106">
        <v>33101</v>
      </c>
      <c r="AX14" s="2106">
        <v>15</v>
      </c>
      <c r="AY14" s="2106" t="s">
        <v>1122</v>
      </c>
    </row>
    <row r="15" spans="1:61">
      <c r="A15" s="2106" t="s">
        <v>1158</v>
      </c>
      <c r="B15" s="2106" t="s">
        <v>342</v>
      </c>
      <c r="C15" s="2106" t="s">
        <v>1159</v>
      </c>
      <c r="D15" s="2106" t="s">
        <v>1108</v>
      </c>
      <c r="E15" s="2106" t="s">
        <v>1109</v>
      </c>
      <c r="F15" s="2106" t="s">
        <v>1160</v>
      </c>
      <c r="G15" s="2106" t="s">
        <v>1161</v>
      </c>
      <c r="H15" s="2106" t="s">
        <v>1112</v>
      </c>
      <c r="I15" s="2106">
        <v>39732.370000000003</v>
      </c>
      <c r="J15" s="2106">
        <v>62838.75</v>
      </c>
      <c r="K15" s="2106" t="s">
        <v>1162</v>
      </c>
      <c r="L15" s="2106" t="s">
        <v>1114</v>
      </c>
      <c r="M15" s="2106" t="s">
        <v>1115</v>
      </c>
      <c r="N15" s="2106" t="s">
        <v>1148</v>
      </c>
      <c r="O15" s="2106" t="s">
        <v>1117</v>
      </c>
      <c r="P15" s="2106" t="s">
        <v>1163</v>
      </c>
      <c r="Q15" s="2106" t="s">
        <v>1164</v>
      </c>
      <c r="R15" s="2106" t="s">
        <v>1150</v>
      </c>
      <c r="S15" s="2106" t="s">
        <v>1150</v>
      </c>
      <c r="T15" s="2106" t="s">
        <v>1122</v>
      </c>
      <c r="U15" s="2106" t="s">
        <v>1122</v>
      </c>
      <c r="V15" s="2106" t="s">
        <v>1122</v>
      </c>
      <c r="W15" s="2106">
        <v>0</v>
      </c>
      <c r="X15" s="2106">
        <v>0</v>
      </c>
      <c r="Y15" s="2106">
        <v>44670.0004976852</v>
      </c>
      <c r="Z15" s="2107">
        <v>44691.0004976852</v>
      </c>
      <c r="AA15" s="2107">
        <v>44712.0004976852</v>
      </c>
      <c r="AB15" s="2107">
        <v>44713.0004976852</v>
      </c>
      <c r="AC15" s="2106" t="s">
        <v>1165</v>
      </c>
      <c r="AD15" s="2106" t="s">
        <v>1124</v>
      </c>
      <c r="AE15" s="2106" t="s">
        <v>1166</v>
      </c>
      <c r="AF15" s="2106" t="s">
        <v>1167</v>
      </c>
      <c r="AG15" s="2106" t="s">
        <v>1141</v>
      </c>
      <c r="AH15" s="2106">
        <v>170000</v>
      </c>
      <c r="AI15" s="2106">
        <v>34000</v>
      </c>
      <c r="AJ15" s="2106" t="s">
        <v>1156</v>
      </c>
      <c r="AK15" s="2106">
        <v>195500</v>
      </c>
      <c r="AL15" s="2106">
        <v>2852.42</v>
      </c>
      <c r="AM15" s="2106">
        <v>3280.28</v>
      </c>
      <c r="AN15" s="2106">
        <v>27053</v>
      </c>
      <c r="AO15" s="2106">
        <v>31111</v>
      </c>
      <c r="AP15" s="2106" t="s">
        <v>1122</v>
      </c>
      <c r="AQ15" s="2106" t="s">
        <v>1122</v>
      </c>
      <c r="AR15" s="2106">
        <v>15</v>
      </c>
      <c r="AS15" s="2106" t="s">
        <v>1157</v>
      </c>
      <c r="AT15" s="2106">
        <v>195500</v>
      </c>
      <c r="AU15" s="2106" t="s">
        <v>1168</v>
      </c>
      <c r="AV15" s="2106" t="s">
        <v>1117</v>
      </c>
      <c r="AW15" s="2106">
        <v>31111</v>
      </c>
      <c r="AX15" s="2106">
        <v>15</v>
      </c>
      <c r="AY15" s="2106" t="s">
        <v>1122</v>
      </c>
    </row>
    <row r="16" spans="1:61" s="2104" customFormat="1">
      <c r="A16" s="2104" t="s">
        <v>1169</v>
      </c>
      <c r="B16" s="2104" t="s">
        <v>342</v>
      </c>
      <c r="C16" s="2104" t="s">
        <v>1170</v>
      </c>
      <c r="D16" s="2104" t="s">
        <v>1108</v>
      </c>
      <c r="E16" s="2104" t="s">
        <v>1109</v>
      </c>
      <c r="F16" s="2104" t="s">
        <v>1171</v>
      </c>
      <c r="G16" s="2104" t="s">
        <v>1172</v>
      </c>
      <c r="H16" s="2104" t="s">
        <v>1134</v>
      </c>
      <c r="I16" s="2104">
        <v>51409.62</v>
      </c>
      <c r="J16" s="2104">
        <v>83593.919999999998</v>
      </c>
      <c r="K16" s="2104">
        <v>1.6</v>
      </c>
      <c r="L16" s="2104" t="s">
        <v>1114</v>
      </c>
      <c r="M16" s="2104" t="s">
        <v>1135</v>
      </c>
      <c r="N16" s="2104" t="s">
        <v>1173</v>
      </c>
      <c r="O16" s="2104" t="s">
        <v>1117</v>
      </c>
      <c r="P16" s="2104">
        <v>0.3</v>
      </c>
      <c r="Q16" s="2104">
        <v>30</v>
      </c>
      <c r="R16" s="2104" t="s">
        <v>1174</v>
      </c>
      <c r="S16" s="2104" t="s">
        <v>1175</v>
      </c>
      <c r="T16" s="2104" t="s">
        <v>1122</v>
      </c>
      <c r="U16" s="2104">
        <v>0</v>
      </c>
      <c r="V16" s="2104">
        <v>0</v>
      </c>
      <c r="W16" s="2104">
        <v>0</v>
      </c>
      <c r="X16" s="2104">
        <v>0</v>
      </c>
      <c r="Y16" s="2104">
        <v>44568.0004976852</v>
      </c>
      <c r="Z16" s="2108">
        <v>44589.0004976852</v>
      </c>
      <c r="AA16" s="2108">
        <v>44608.0004976852</v>
      </c>
      <c r="AB16" s="2108">
        <v>44608.0004976852</v>
      </c>
      <c r="AC16" s="2104" t="s">
        <v>1176</v>
      </c>
      <c r="AD16" s="2104" t="s">
        <v>1124</v>
      </c>
      <c r="AE16" s="2104" t="s">
        <v>1177</v>
      </c>
      <c r="AF16" s="2104" t="s">
        <v>1178</v>
      </c>
      <c r="AG16" s="2104" t="s">
        <v>1179</v>
      </c>
      <c r="AH16" s="2104">
        <v>166000</v>
      </c>
      <c r="AI16" s="2104">
        <v>34000</v>
      </c>
      <c r="AJ16" s="2104" t="s">
        <v>1180</v>
      </c>
      <c r="AK16" s="2104">
        <v>166000</v>
      </c>
      <c r="AL16" s="2104">
        <v>2152.65</v>
      </c>
      <c r="AM16" s="2104">
        <v>2152.65</v>
      </c>
      <c r="AN16" s="2104">
        <v>19858</v>
      </c>
      <c r="AO16" s="2104">
        <v>19858</v>
      </c>
      <c r="AP16" s="2104" t="s">
        <v>1122</v>
      </c>
      <c r="AQ16" s="2104" t="s">
        <v>1122</v>
      </c>
      <c r="AR16" s="2104">
        <v>0</v>
      </c>
      <c r="AS16" s="2104" t="s">
        <v>1181</v>
      </c>
      <c r="AT16" s="2104">
        <v>174300</v>
      </c>
      <c r="AU16" s="2104" t="s">
        <v>1130</v>
      </c>
      <c r="AV16" s="2104">
        <v>42000</v>
      </c>
      <c r="AW16" s="2104">
        <v>20851</v>
      </c>
      <c r="AX16" s="2104">
        <v>5</v>
      </c>
      <c r="AY16" s="2104">
        <v>22142</v>
      </c>
    </row>
    <row r="17" spans="1:51" s="2104" customFormat="1">
      <c r="A17" s="2104" t="s">
        <v>1182</v>
      </c>
      <c r="B17" s="2104" t="s">
        <v>342</v>
      </c>
      <c r="C17" s="2104" t="s">
        <v>1183</v>
      </c>
      <c r="D17" s="2104" t="s">
        <v>1108</v>
      </c>
      <c r="E17" s="2104" t="s">
        <v>1109</v>
      </c>
      <c r="F17" s="2104" t="s">
        <v>1110</v>
      </c>
      <c r="G17" s="2104" t="s">
        <v>1111</v>
      </c>
      <c r="H17" s="2104" t="s">
        <v>1112</v>
      </c>
      <c r="I17" s="2104">
        <v>40739.620000000003</v>
      </c>
      <c r="J17" s="2104">
        <v>75359.210000000006</v>
      </c>
      <c r="K17" s="2104" t="s">
        <v>1184</v>
      </c>
      <c r="L17" s="2104" t="s">
        <v>1114</v>
      </c>
      <c r="M17" s="2104" t="s">
        <v>1185</v>
      </c>
      <c r="N17" s="2104" t="s">
        <v>1173</v>
      </c>
      <c r="O17" s="2104">
        <v>0</v>
      </c>
      <c r="P17" s="2104">
        <v>0.3</v>
      </c>
      <c r="Q17" s="2104" t="s">
        <v>1186</v>
      </c>
      <c r="R17" s="2104" t="s">
        <v>1187</v>
      </c>
      <c r="S17" s="2104" t="s">
        <v>1175</v>
      </c>
      <c r="T17" s="2104" t="s">
        <v>1122</v>
      </c>
      <c r="U17" s="2104" t="s">
        <v>1122</v>
      </c>
      <c r="V17" s="2104">
        <v>0</v>
      </c>
      <c r="W17" s="2104">
        <v>0</v>
      </c>
      <c r="X17" s="2104">
        <v>0</v>
      </c>
      <c r="Y17" s="2104">
        <v>44568.0004976852</v>
      </c>
      <c r="Z17" s="2108">
        <v>44589.0004976852</v>
      </c>
      <c r="AA17" s="2108">
        <v>44608.0004976852</v>
      </c>
      <c r="AB17" s="2108">
        <v>44608.0004976852</v>
      </c>
      <c r="AC17" s="2104" t="s">
        <v>1188</v>
      </c>
      <c r="AD17" s="2104" t="s">
        <v>1124</v>
      </c>
      <c r="AE17" s="2104" t="s">
        <v>1189</v>
      </c>
      <c r="AF17" s="2104" t="s">
        <v>1190</v>
      </c>
      <c r="AG17" s="2104" t="s">
        <v>1141</v>
      </c>
      <c r="AH17" s="2104">
        <v>140000</v>
      </c>
      <c r="AI17" s="2104">
        <v>28000</v>
      </c>
      <c r="AJ17" s="2104" t="s">
        <v>1180</v>
      </c>
      <c r="AK17" s="2104">
        <v>140700</v>
      </c>
      <c r="AL17" s="2104">
        <v>2290.9699999999998</v>
      </c>
      <c r="AM17" s="2104">
        <v>2302.4299999999998</v>
      </c>
      <c r="AN17" s="2104">
        <v>18578</v>
      </c>
      <c r="AO17" s="2104">
        <v>18671</v>
      </c>
      <c r="AP17" s="2104" t="s">
        <v>1122</v>
      </c>
      <c r="AQ17" s="2104" t="s">
        <v>1122</v>
      </c>
      <c r="AR17" s="2104">
        <v>0.5</v>
      </c>
      <c r="AS17" s="2104" t="s">
        <v>1191</v>
      </c>
      <c r="AT17" s="2104">
        <v>161000</v>
      </c>
      <c r="AU17" s="2104" t="s">
        <v>1130</v>
      </c>
      <c r="AV17" s="2104">
        <v>44000</v>
      </c>
      <c r="AW17" s="2104">
        <v>21364</v>
      </c>
      <c r="AX17" s="2104">
        <v>15</v>
      </c>
      <c r="AY17" s="2104">
        <v>25422</v>
      </c>
    </row>
    <row r="18" spans="1:51">
      <c r="A18" s="2106" t="s">
        <v>1192</v>
      </c>
      <c r="B18" s="2106" t="s">
        <v>342</v>
      </c>
      <c r="C18" s="2106" t="s">
        <v>1193</v>
      </c>
      <c r="D18" s="2106" t="s">
        <v>1108</v>
      </c>
      <c r="E18" s="2106" t="s">
        <v>1109</v>
      </c>
      <c r="F18" s="2106" t="s">
        <v>1110</v>
      </c>
      <c r="G18" s="2106" t="s">
        <v>1194</v>
      </c>
      <c r="H18" s="2106" t="s">
        <v>1112</v>
      </c>
      <c r="I18" s="2106">
        <v>40739.620000000003</v>
      </c>
      <c r="J18" s="2106">
        <v>75359.210000000006</v>
      </c>
      <c r="K18" s="2106" t="s">
        <v>1195</v>
      </c>
      <c r="L18" s="2106" t="s">
        <v>1114</v>
      </c>
      <c r="M18" s="2106" t="s">
        <v>1185</v>
      </c>
      <c r="N18" s="2106" t="s">
        <v>1196</v>
      </c>
      <c r="O18" s="2106" t="s">
        <v>1117</v>
      </c>
      <c r="P18" s="2106">
        <v>0.3</v>
      </c>
      <c r="Q18" s="2106">
        <v>4516</v>
      </c>
      <c r="R18" s="2106" t="s">
        <v>1197</v>
      </c>
      <c r="S18" s="2106" t="s">
        <v>1122</v>
      </c>
      <c r="T18" s="2106" t="s">
        <v>1198</v>
      </c>
      <c r="U18" s="2106">
        <v>14300</v>
      </c>
      <c r="V18" s="2106" t="s">
        <v>1122</v>
      </c>
      <c r="W18" s="2106">
        <v>0</v>
      </c>
      <c r="X18" s="2106">
        <v>0</v>
      </c>
      <c r="Y18" s="2106">
        <v>44438.0004976852</v>
      </c>
      <c r="Z18" s="2107">
        <v>44462.0004976852</v>
      </c>
      <c r="AA18" s="2107">
        <v>44481.0004976852</v>
      </c>
      <c r="AB18" s="2107" t="s">
        <v>1122</v>
      </c>
      <c r="AC18" s="2106" t="s">
        <v>1199</v>
      </c>
      <c r="AD18" s="2106" t="s">
        <v>1200</v>
      </c>
      <c r="AE18" s="2106" t="s">
        <v>1117</v>
      </c>
      <c r="AF18" s="2106" t="s">
        <v>1122</v>
      </c>
      <c r="AG18" s="2106" t="s">
        <v>1122</v>
      </c>
      <c r="AH18" s="2106">
        <v>140000</v>
      </c>
      <c r="AI18" s="2106">
        <v>28000</v>
      </c>
      <c r="AJ18" s="2106" t="s">
        <v>1201</v>
      </c>
      <c r="AK18" s="2106" t="s">
        <v>1122</v>
      </c>
      <c r="AL18" s="2106">
        <v>2290.9699999999998</v>
      </c>
      <c r="AM18" s="2106" t="s">
        <v>1122</v>
      </c>
      <c r="AN18" s="2106">
        <v>18578</v>
      </c>
      <c r="AO18" s="2106" t="s">
        <v>1122</v>
      </c>
      <c r="AP18" s="2106">
        <v>22929</v>
      </c>
      <c r="AQ18" s="2106" t="s">
        <v>1122</v>
      </c>
      <c r="AR18" s="2106">
        <v>0</v>
      </c>
      <c r="AS18" s="2106" t="s">
        <v>1202</v>
      </c>
      <c r="AT18" s="2106">
        <v>161000</v>
      </c>
      <c r="AU18" s="2106" t="s">
        <v>1122</v>
      </c>
      <c r="AV18" s="2106">
        <v>47000</v>
      </c>
      <c r="AW18" s="2106">
        <v>21364</v>
      </c>
      <c r="AX18" s="2106">
        <v>15</v>
      </c>
      <c r="AY18" s="2106">
        <v>28422</v>
      </c>
    </row>
    <row r="19" spans="1:51">
      <c r="A19" s="2106" t="s">
        <v>1203</v>
      </c>
      <c r="B19" s="2106" t="s">
        <v>342</v>
      </c>
      <c r="C19" s="2106" t="s">
        <v>1204</v>
      </c>
      <c r="D19" s="2106" t="s">
        <v>1108</v>
      </c>
      <c r="E19" s="2106" t="s">
        <v>1109</v>
      </c>
      <c r="F19" s="2106" t="s">
        <v>1171</v>
      </c>
      <c r="G19" s="2106" t="s">
        <v>1205</v>
      </c>
      <c r="H19" s="2106" t="s">
        <v>1112</v>
      </c>
      <c r="I19" s="2106">
        <v>63329.86</v>
      </c>
      <c r="J19" s="2106">
        <v>103544.51</v>
      </c>
      <c r="K19" s="2106" t="s">
        <v>1206</v>
      </c>
      <c r="L19" s="2106" t="s">
        <v>1114</v>
      </c>
      <c r="M19" s="2106" t="s">
        <v>1207</v>
      </c>
      <c r="N19" s="2106" t="s">
        <v>1196</v>
      </c>
      <c r="O19" s="2106">
        <v>19.27</v>
      </c>
      <c r="P19" s="2106" t="s">
        <v>1208</v>
      </c>
      <c r="Q19" s="2106">
        <v>2430</v>
      </c>
      <c r="R19" s="2106" t="s">
        <v>1174</v>
      </c>
      <c r="S19" s="2106" t="s">
        <v>1122</v>
      </c>
      <c r="T19" s="2106" t="s">
        <v>1122</v>
      </c>
      <c r="U19" s="2106" t="s">
        <v>1122</v>
      </c>
      <c r="V19" s="2106" t="s">
        <v>1122</v>
      </c>
      <c r="W19" s="2106">
        <v>0</v>
      </c>
      <c r="X19" s="2106">
        <v>0</v>
      </c>
      <c r="Y19" s="2106">
        <v>44438.0004976852</v>
      </c>
      <c r="Z19" s="2107">
        <v>44462.0004976852</v>
      </c>
      <c r="AA19" s="2107">
        <v>44481.0004976852</v>
      </c>
      <c r="AB19" s="2107" t="s">
        <v>1122</v>
      </c>
      <c r="AC19" s="2106" t="s">
        <v>1209</v>
      </c>
      <c r="AD19" s="2106" t="s">
        <v>1200</v>
      </c>
      <c r="AE19" s="2106" t="s">
        <v>1117</v>
      </c>
      <c r="AF19" s="2106" t="s">
        <v>1122</v>
      </c>
      <c r="AG19" s="2106" t="s">
        <v>1122</v>
      </c>
      <c r="AH19" s="2106">
        <v>191000</v>
      </c>
      <c r="AI19" s="2106">
        <v>38500</v>
      </c>
      <c r="AJ19" s="2106" t="s">
        <v>1201</v>
      </c>
      <c r="AK19" s="2106" t="s">
        <v>1122</v>
      </c>
      <c r="AL19" s="2106">
        <v>2010.64</v>
      </c>
      <c r="AM19" s="2106" t="s">
        <v>1122</v>
      </c>
      <c r="AN19" s="2106">
        <v>18446</v>
      </c>
      <c r="AO19" s="2106" t="s">
        <v>1122</v>
      </c>
      <c r="AP19" s="2106" t="s">
        <v>1122</v>
      </c>
      <c r="AQ19" s="2106" t="s">
        <v>1122</v>
      </c>
      <c r="AR19" s="2106">
        <v>0</v>
      </c>
      <c r="AS19" s="2106" t="s">
        <v>1210</v>
      </c>
      <c r="AT19" s="2106">
        <v>210000</v>
      </c>
      <c r="AU19" s="2106" t="s">
        <v>1122</v>
      </c>
      <c r="AV19" s="2106">
        <v>42000</v>
      </c>
      <c r="AW19" s="2106">
        <v>20281</v>
      </c>
      <c r="AX19" s="2106">
        <v>9.9499999999999993</v>
      </c>
      <c r="AY19" s="2106">
        <v>23554</v>
      </c>
    </row>
    <row r="20" spans="1:51">
      <c r="A20" s="2106" t="s">
        <v>1211</v>
      </c>
      <c r="B20" s="2106" t="s">
        <v>342</v>
      </c>
      <c r="C20" s="2106" t="s">
        <v>1212</v>
      </c>
      <c r="D20" s="2106" t="s">
        <v>1108</v>
      </c>
      <c r="E20" s="2106" t="s">
        <v>1109</v>
      </c>
      <c r="F20" s="2106" t="s">
        <v>1145</v>
      </c>
      <c r="G20" s="2106" t="s">
        <v>1213</v>
      </c>
      <c r="H20" s="2106" t="s">
        <v>1134</v>
      </c>
      <c r="I20" s="2106">
        <v>105143.73</v>
      </c>
      <c r="J20" s="2106">
        <v>262859.32</v>
      </c>
      <c r="K20" s="2106" t="s">
        <v>1214</v>
      </c>
      <c r="L20" s="2106" t="s">
        <v>1114</v>
      </c>
      <c r="M20" s="2106" t="s">
        <v>1135</v>
      </c>
      <c r="N20" s="2106" t="s">
        <v>1215</v>
      </c>
      <c r="O20" s="2106">
        <v>7.61</v>
      </c>
      <c r="P20" s="2106" t="s">
        <v>1216</v>
      </c>
      <c r="Q20" s="2106" t="s">
        <v>1217</v>
      </c>
      <c r="R20" s="2106" t="s">
        <v>1218</v>
      </c>
      <c r="S20" s="2106" t="s">
        <v>1218</v>
      </c>
      <c r="T20" s="2106" t="s">
        <v>1122</v>
      </c>
      <c r="U20" s="2106" t="s">
        <v>1122</v>
      </c>
      <c r="V20" s="2106">
        <v>0</v>
      </c>
      <c r="W20" s="2106">
        <v>0</v>
      </c>
      <c r="X20" s="2106">
        <v>0</v>
      </c>
      <c r="Y20" s="2106">
        <v>44195.0004976852</v>
      </c>
      <c r="Z20" s="2107">
        <v>44215.0004976852</v>
      </c>
      <c r="AA20" s="2107">
        <v>44229.0004976852</v>
      </c>
      <c r="AB20" s="2107">
        <v>44229.0004976852</v>
      </c>
      <c r="AC20" s="2106" t="s">
        <v>1219</v>
      </c>
      <c r="AD20" s="2106" t="s">
        <v>1124</v>
      </c>
      <c r="AE20" s="2106" t="s">
        <v>1220</v>
      </c>
      <c r="AF20" s="2106" t="s">
        <v>1221</v>
      </c>
      <c r="AG20" s="2106" t="s">
        <v>1222</v>
      </c>
      <c r="AH20" s="2106">
        <v>502000</v>
      </c>
      <c r="AI20" s="2106">
        <v>101000</v>
      </c>
      <c r="AJ20" s="2106" t="s">
        <v>1223</v>
      </c>
      <c r="AK20" s="2106">
        <v>677700</v>
      </c>
      <c r="AL20" s="2106">
        <v>3182.94</v>
      </c>
      <c r="AM20" s="2106">
        <v>4296.9799999999996</v>
      </c>
      <c r="AN20" s="2106">
        <v>19098</v>
      </c>
      <c r="AO20" s="2106">
        <v>25782</v>
      </c>
      <c r="AP20" s="2106" t="s">
        <v>1122</v>
      </c>
      <c r="AQ20" s="2106" t="s">
        <v>1122</v>
      </c>
      <c r="AR20" s="2106">
        <v>35</v>
      </c>
      <c r="AS20" s="2106" t="s">
        <v>1210</v>
      </c>
      <c r="AT20" s="2106" t="s">
        <v>1117</v>
      </c>
      <c r="AU20" s="2106" t="s">
        <v>1122</v>
      </c>
      <c r="AV20" s="2106" t="s">
        <v>1117</v>
      </c>
      <c r="AW20" s="2106" t="s">
        <v>1122</v>
      </c>
      <c r="AX20" s="2106" t="s">
        <v>1122</v>
      </c>
      <c r="AY20" s="2106" t="s">
        <v>1122</v>
      </c>
    </row>
    <row r="21" spans="1:51">
      <c r="A21" s="2106" t="s">
        <v>1224</v>
      </c>
      <c r="B21" s="2106" t="s">
        <v>342</v>
      </c>
      <c r="C21" s="2106" t="s">
        <v>1225</v>
      </c>
      <c r="D21" s="2106" t="s">
        <v>1108</v>
      </c>
      <c r="E21" s="2106" t="s">
        <v>1109</v>
      </c>
      <c r="F21" s="2106" t="s">
        <v>1171</v>
      </c>
      <c r="G21" s="2106" t="s">
        <v>1226</v>
      </c>
      <c r="H21" s="2106" t="s">
        <v>1134</v>
      </c>
      <c r="I21" s="2106">
        <v>57208.800000000003</v>
      </c>
      <c r="J21" s="2106">
        <v>91534.080000000002</v>
      </c>
      <c r="K21" s="2106" t="s">
        <v>1227</v>
      </c>
      <c r="L21" s="2106" t="s">
        <v>1114</v>
      </c>
      <c r="M21" s="2106" t="s">
        <v>1228</v>
      </c>
      <c r="N21" s="2106" t="s">
        <v>1215</v>
      </c>
      <c r="O21" s="2106" t="s">
        <v>1117</v>
      </c>
      <c r="P21" s="2106" t="s">
        <v>1229</v>
      </c>
      <c r="Q21" s="2106" t="s">
        <v>1230</v>
      </c>
      <c r="R21" s="2106" t="s">
        <v>1231</v>
      </c>
      <c r="S21" s="2106" t="s">
        <v>1137</v>
      </c>
      <c r="T21" s="2106" t="s">
        <v>1122</v>
      </c>
      <c r="U21" s="2106" t="s">
        <v>1122</v>
      </c>
      <c r="V21" s="2106">
        <v>0</v>
      </c>
      <c r="W21" s="2106">
        <v>0</v>
      </c>
      <c r="X21" s="2106">
        <v>0</v>
      </c>
      <c r="Y21" s="2106">
        <v>44188.0004976852</v>
      </c>
      <c r="Z21" s="2107">
        <v>44208.0004976852</v>
      </c>
      <c r="AA21" s="2107">
        <v>44222.0004976852</v>
      </c>
      <c r="AB21" s="2107">
        <v>44222.0004976852</v>
      </c>
      <c r="AC21" s="2106" t="s">
        <v>1232</v>
      </c>
      <c r="AD21" s="2106" t="s">
        <v>1124</v>
      </c>
      <c r="AE21" s="2106" t="s">
        <v>1233</v>
      </c>
      <c r="AF21" s="2106" t="s">
        <v>1234</v>
      </c>
      <c r="AG21" s="2106" t="s">
        <v>1235</v>
      </c>
      <c r="AH21" s="2106">
        <v>177000</v>
      </c>
      <c r="AI21" s="2106">
        <v>36000</v>
      </c>
      <c r="AJ21" s="2106" t="s">
        <v>1236</v>
      </c>
      <c r="AK21" s="2106">
        <v>205000</v>
      </c>
      <c r="AL21" s="2106">
        <v>2062.62</v>
      </c>
      <c r="AM21" s="2106">
        <v>2388.91</v>
      </c>
      <c r="AN21" s="2106">
        <v>19337</v>
      </c>
      <c r="AO21" s="2106">
        <v>22396</v>
      </c>
      <c r="AP21" s="2106" t="s">
        <v>1122</v>
      </c>
      <c r="AQ21" s="2106" t="s">
        <v>1122</v>
      </c>
      <c r="AR21" s="2106">
        <v>15.82</v>
      </c>
      <c r="AS21" s="2106" t="s">
        <v>1210</v>
      </c>
      <c r="AT21" s="2106" t="s">
        <v>1117</v>
      </c>
      <c r="AU21" s="2106" t="s">
        <v>1122</v>
      </c>
      <c r="AV21" s="2106" t="s">
        <v>1117</v>
      </c>
      <c r="AW21" s="2106" t="s">
        <v>1122</v>
      </c>
      <c r="AX21" s="2106" t="s">
        <v>1122</v>
      </c>
      <c r="AY21" s="2106"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6" t="s">
        <v>1246</v>
      </c>
      <c r="B23" s="2106" t="s">
        <v>342</v>
      </c>
      <c r="C23" s="2106" t="s">
        <v>1247</v>
      </c>
      <c r="D23" s="2106" t="s">
        <v>1108</v>
      </c>
      <c r="E23" s="2106" t="s">
        <v>1109</v>
      </c>
      <c r="F23" s="2106" t="s">
        <v>1110</v>
      </c>
      <c r="G23" s="2106" t="s">
        <v>1248</v>
      </c>
      <c r="H23" s="2106" t="s">
        <v>1112</v>
      </c>
      <c r="I23" s="2106">
        <v>122243.7</v>
      </c>
      <c r="J23" s="2106">
        <v>206085.13</v>
      </c>
      <c r="K23" s="2106" t="s">
        <v>1249</v>
      </c>
      <c r="L23" s="2106" t="s">
        <v>1114</v>
      </c>
      <c r="M23" s="2106" t="s">
        <v>1250</v>
      </c>
      <c r="N23" s="2106" t="s">
        <v>1215</v>
      </c>
      <c r="O23" s="2106">
        <v>25.55</v>
      </c>
      <c r="P23" s="2106" t="s">
        <v>1122</v>
      </c>
      <c r="Q23" s="2106" t="s">
        <v>1251</v>
      </c>
      <c r="R23" s="2106" t="s">
        <v>1231</v>
      </c>
      <c r="S23" s="2106" t="s">
        <v>1137</v>
      </c>
      <c r="T23" s="2106" t="s">
        <v>1122</v>
      </c>
      <c r="U23" s="2106">
        <v>0</v>
      </c>
      <c r="V23" s="2106">
        <v>0</v>
      </c>
      <c r="W23" s="2106">
        <v>0</v>
      </c>
      <c r="X23" s="2106">
        <v>0</v>
      </c>
      <c r="Y23" s="2106">
        <v>44036.0004976852</v>
      </c>
      <c r="Z23" s="2107">
        <v>44056.0004976852</v>
      </c>
      <c r="AA23" s="2107">
        <v>44070.0004976852</v>
      </c>
      <c r="AB23" s="2107">
        <v>44070.0004976852</v>
      </c>
      <c r="AC23" s="2106" t="s">
        <v>1252</v>
      </c>
      <c r="AD23" s="2106" t="s">
        <v>1124</v>
      </c>
      <c r="AE23" s="2106" t="s">
        <v>1253</v>
      </c>
      <c r="AF23" s="2106" t="s">
        <v>1254</v>
      </c>
      <c r="AG23" s="2106" t="s">
        <v>1255</v>
      </c>
      <c r="AH23" s="2106">
        <v>311800</v>
      </c>
      <c r="AI23" s="2106">
        <v>62400</v>
      </c>
      <c r="AJ23" s="2106" t="s">
        <v>1256</v>
      </c>
      <c r="AK23" s="2106">
        <v>311800</v>
      </c>
      <c r="AL23" s="2106">
        <v>1700.43</v>
      </c>
      <c r="AM23" s="2106">
        <v>1700.43</v>
      </c>
      <c r="AN23" s="2106">
        <v>15130</v>
      </c>
      <c r="AO23" s="2106">
        <v>15130</v>
      </c>
      <c r="AP23" s="2106" t="s">
        <v>1122</v>
      </c>
      <c r="AQ23" s="2106" t="s">
        <v>1122</v>
      </c>
      <c r="AR23" s="2106">
        <v>0</v>
      </c>
      <c r="AS23" s="2106" t="s">
        <v>1210</v>
      </c>
      <c r="AT23" s="2106" t="s">
        <v>1117</v>
      </c>
      <c r="AU23" s="2106" t="s">
        <v>1122</v>
      </c>
      <c r="AV23" s="2106" t="s">
        <v>1117</v>
      </c>
      <c r="AW23" s="2106" t="s">
        <v>1122</v>
      </c>
      <c r="AX23" s="2106" t="s">
        <v>1122</v>
      </c>
      <c r="AY23" s="2106" t="s">
        <v>1122</v>
      </c>
    </row>
    <row r="24" spans="1:51" s="2105" customFormat="1">
      <c r="A24" s="2105" t="s">
        <v>1257</v>
      </c>
      <c r="B24" s="2105" t="s">
        <v>342</v>
      </c>
      <c r="C24" s="2105" t="s">
        <v>1258</v>
      </c>
      <c r="D24" s="2105" t="s">
        <v>1108</v>
      </c>
      <c r="E24" s="2105" t="s">
        <v>1109</v>
      </c>
      <c r="F24" s="2105" t="s">
        <v>1110</v>
      </c>
      <c r="G24" s="2105" t="s">
        <v>1248</v>
      </c>
      <c r="H24" s="2105" t="s">
        <v>1112</v>
      </c>
      <c r="I24" s="2105">
        <v>83940.05</v>
      </c>
      <c r="J24" s="2105">
        <v>146004.07999999999</v>
      </c>
      <c r="K24" s="2105" t="s">
        <v>1259</v>
      </c>
      <c r="L24" s="2105" t="s">
        <v>1114</v>
      </c>
      <c r="M24" s="2105" t="s">
        <v>1260</v>
      </c>
      <c r="N24" s="2105" t="s">
        <v>1215</v>
      </c>
      <c r="O24" s="2105">
        <v>22.26</v>
      </c>
      <c r="P24" s="2105" t="s">
        <v>1229</v>
      </c>
      <c r="Q24" s="2105" t="s">
        <v>1261</v>
      </c>
      <c r="R24" s="2105" t="s">
        <v>1231</v>
      </c>
      <c r="S24" s="2105" t="s">
        <v>1137</v>
      </c>
      <c r="T24" s="2105" t="s">
        <v>1122</v>
      </c>
      <c r="U24" s="2105">
        <v>0</v>
      </c>
      <c r="V24" s="2105">
        <v>0</v>
      </c>
      <c r="W24" s="2105">
        <v>0</v>
      </c>
      <c r="X24" s="2105">
        <v>0</v>
      </c>
      <c r="Y24" s="2105">
        <v>44036.0004976852</v>
      </c>
      <c r="Z24" s="2109">
        <v>44056.0004976852</v>
      </c>
      <c r="AA24" s="2109">
        <v>44070.0004976852</v>
      </c>
      <c r="AB24" s="2109">
        <v>44070.0004976852</v>
      </c>
      <c r="AC24" s="2105" t="s">
        <v>1262</v>
      </c>
      <c r="AD24" s="2105" t="s">
        <v>1124</v>
      </c>
      <c r="AE24" s="2105" t="s">
        <v>1263</v>
      </c>
      <c r="AF24" s="2105" t="s">
        <v>1264</v>
      </c>
      <c r="AG24" s="2105" t="s">
        <v>1265</v>
      </c>
      <c r="AH24" s="2105">
        <v>243400</v>
      </c>
      <c r="AI24" s="2105">
        <v>48700</v>
      </c>
      <c r="AJ24" s="2105" t="s">
        <v>1256</v>
      </c>
      <c r="AK24" s="2105">
        <v>243400</v>
      </c>
      <c r="AL24" s="2105">
        <v>1933.13</v>
      </c>
      <c r="AM24" s="2105">
        <v>1933.13</v>
      </c>
      <c r="AN24" s="2105">
        <v>16671</v>
      </c>
      <c r="AO24" s="2105">
        <v>16671</v>
      </c>
      <c r="AP24" s="2105" t="s">
        <v>1122</v>
      </c>
      <c r="AQ24" s="2105" t="s">
        <v>1122</v>
      </c>
      <c r="AR24" s="2105">
        <v>0</v>
      </c>
      <c r="AS24" s="2105" t="s">
        <v>1210</v>
      </c>
      <c r="AT24" s="2105" t="s">
        <v>1117</v>
      </c>
      <c r="AU24" s="2105" t="s">
        <v>1122</v>
      </c>
      <c r="AV24" s="2105" t="s">
        <v>1117</v>
      </c>
      <c r="AW24" s="2105" t="s">
        <v>1122</v>
      </c>
      <c r="AX24" s="2105" t="s">
        <v>1122</v>
      </c>
      <c r="AY24" s="2105" t="s">
        <v>1122</v>
      </c>
    </row>
    <row r="25" spans="1:51">
      <c r="A25" s="2106" t="s">
        <v>1266</v>
      </c>
      <c r="B25" s="2106" t="s">
        <v>342</v>
      </c>
      <c r="C25" s="2106" t="s">
        <v>1267</v>
      </c>
      <c r="D25" s="2106" t="s">
        <v>1108</v>
      </c>
      <c r="E25" s="2106" t="s">
        <v>1109</v>
      </c>
      <c r="F25" s="2106" t="s">
        <v>1110</v>
      </c>
      <c r="G25" s="2106" t="s">
        <v>1248</v>
      </c>
      <c r="H25" s="2106" t="s">
        <v>1112</v>
      </c>
      <c r="I25" s="2106">
        <v>99454.31</v>
      </c>
      <c r="J25" s="2106">
        <v>153846.89000000001</v>
      </c>
      <c r="K25" s="2106" t="s">
        <v>1268</v>
      </c>
      <c r="L25" s="2106" t="s">
        <v>1114</v>
      </c>
      <c r="M25" s="2106" t="s">
        <v>1115</v>
      </c>
      <c r="N25" s="2106" t="s">
        <v>1215</v>
      </c>
      <c r="O25" s="2106" t="s">
        <v>1117</v>
      </c>
      <c r="P25" s="2106" t="s">
        <v>1229</v>
      </c>
      <c r="Q25" s="2106" t="s">
        <v>1269</v>
      </c>
      <c r="R25" s="2106" t="s">
        <v>1231</v>
      </c>
      <c r="S25" s="2106" t="s">
        <v>1137</v>
      </c>
      <c r="T25" s="2106" t="s">
        <v>1122</v>
      </c>
      <c r="U25" s="2106">
        <v>0</v>
      </c>
      <c r="V25" s="2106">
        <v>0</v>
      </c>
      <c r="W25" s="2106">
        <v>0</v>
      </c>
      <c r="X25" s="2106">
        <v>0</v>
      </c>
      <c r="Y25" s="2106">
        <v>44036.0004976852</v>
      </c>
      <c r="Z25" s="2107">
        <v>44056.0004976852</v>
      </c>
      <c r="AA25" s="2107">
        <v>44070.0004976852</v>
      </c>
      <c r="AB25" s="2107">
        <v>44070.0004976852</v>
      </c>
      <c r="AC25" s="2106" t="s">
        <v>1270</v>
      </c>
      <c r="AD25" s="2106" t="s">
        <v>1124</v>
      </c>
      <c r="AE25" s="2106" t="s">
        <v>1271</v>
      </c>
      <c r="AF25" s="2106" t="s">
        <v>1272</v>
      </c>
      <c r="AG25" s="2106" t="s">
        <v>1141</v>
      </c>
      <c r="AH25" s="2106">
        <v>302400</v>
      </c>
      <c r="AI25" s="2106">
        <v>60500</v>
      </c>
      <c r="AJ25" s="2106" t="s">
        <v>1256</v>
      </c>
      <c r="AK25" s="2106">
        <v>326000</v>
      </c>
      <c r="AL25" s="2106">
        <v>2027.06</v>
      </c>
      <c r="AM25" s="2106">
        <v>2185.2600000000002</v>
      </c>
      <c r="AN25" s="2106">
        <v>19656</v>
      </c>
      <c r="AO25" s="2106">
        <v>21190</v>
      </c>
      <c r="AP25" s="2106" t="s">
        <v>1122</v>
      </c>
      <c r="AQ25" s="2106" t="s">
        <v>1122</v>
      </c>
      <c r="AR25" s="2106">
        <v>7.8</v>
      </c>
      <c r="AS25" s="2106" t="s">
        <v>1191</v>
      </c>
      <c r="AT25" s="2106" t="s">
        <v>1117</v>
      </c>
      <c r="AU25" s="2106" t="s">
        <v>1122</v>
      </c>
      <c r="AV25" s="2106" t="s">
        <v>1117</v>
      </c>
      <c r="AW25" s="2106" t="s">
        <v>1122</v>
      </c>
      <c r="AX25" s="2106" t="s">
        <v>1122</v>
      </c>
      <c r="AY25" s="2106" t="s">
        <v>1122</v>
      </c>
    </row>
    <row r="26" spans="1:51" s="2105" customFormat="1">
      <c r="A26" s="2105" t="s">
        <v>1273</v>
      </c>
      <c r="B26" s="2105" t="s">
        <v>342</v>
      </c>
      <c r="C26" s="2105" t="s">
        <v>1274</v>
      </c>
      <c r="D26" s="2105" t="s">
        <v>1108</v>
      </c>
      <c r="E26" s="2105" t="s">
        <v>1109</v>
      </c>
      <c r="F26" s="2105" t="s">
        <v>1171</v>
      </c>
      <c r="G26" s="2105" t="s">
        <v>1205</v>
      </c>
      <c r="H26" s="2105" t="s">
        <v>1112</v>
      </c>
      <c r="I26" s="2105">
        <v>57706.7</v>
      </c>
      <c r="J26" s="2105">
        <v>86410.72</v>
      </c>
      <c r="K26" s="2105" t="s">
        <v>1275</v>
      </c>
      <c r="L26" s="2105" t="s">
        <v>1114</v>
      </c>
      <c r="M26" s="2105" t="s">
        <v>1276</v>
      </c>
      <c r="N26" s="2105" t="s">
        <v>1215</v>
      </c>
      <c r="O26" s="2105" t="s">
        <v>1117</v>
      </c>
      <c r="P26" s="2105" t="s">
        <v>1277</v>
      </c>
      <c r="Q26" s="2105" t="s">
        <v>1278</v>
      </c>
      <c r="R26" s="2105" t="s">
        <v>1231</v>
      </c>
      <c r="S26" s="2105" t="s">
        <v>1137</v>
      </c>
      <c r="T26" s="2105" t="s">
        <v>1122</v>
      </c>
      <c r="U26" s="2105">
        <v>0</v>
      </c>
      <c r="V26" s="2105">
        <v>0</v>
      </c>
      <c r="W26" s="2105">
        <v>0</v>
      </c>
      <c r="X26" s="2105">
        <v>0</v>
      </c>
      <c r="Y26" s="2105">
        <v>43917.0004976852</v>
      </c>
      <c r="Z26" s="2109">
        <v>43944.0004976852</v>
      </c>
      <c r="AA26" s="2109">
        <v>43960.0004976852</v>
      </c>
      <c r="AB26" s="2109">
        <v>43960.0004976852</v>
      </c>
      <c r="AC26" s="2105" t="s">
        <v>1279</v>
      </c>
      <c r="AD26" s="2105" t="s">
        <v>1124</v>
      </c>
      <c r="AE26" s="2105" t="s">
        <v>1280</v>
      </c>
      <c r="AF26" s="2105" t="s">
        <v>1245</v>
      </c>
      <c r="AG26" s="2105" t="s">
        <v>1155</v>
      </c>
      <c r="AH26" s="2105">
        <v>142400</v>
      </c>
      <c r="AI26" s="2105">
        <v>28500</v>
      </c>
      <c r="AJ26" s="2105" t="s">
        <v>1281</v>
      </c>
      <c r="AK26" s="2105">
        <v>167000</v>
      </c>
      <c r="AL26" s="2105">
        <v>1645.1</v>
      </c>
      <c r="AM26" s="2105">
        <v>1929.3</v>
      </c>
      <c r="AN26" s="2105">
        <v>16479</v>
      </c>
      <c r="AO26" s="2105">
        <v>19326</v>
      </c>
      <c r="AP26" s="2105" t="s">
        <v>1122</v>
      </c>
      <c r="AQ26" s="2105" t="s">
        <v>1122</v>
      </c>
      <c r="AR26" s="2105">
        <v>17.28</v>
      </c>
      <c r="AS26" s="2105" t="s">
        <v>1210</v>
      </c>
      <c r="AT26" s="2105" t="s">
        <v>1117</v>
      </c>
      <c r="AU26" s="2105" t="s">
        <v>1122</v>
      </c>
      <c r="AV26" s="2105" t="s">
        <v>1117</v>
      </c>
      <c r="AW26" s="2105" t="s">
        <v>1122</v>
      </c>
      <c r="AX26" s="2105" t="s">
        <v>1122</v>
      </c>
      <c r="AY26" s="2105" t="s">
        <v>1122</v>
      </c>
    </row>
    <row r="27" spans="1:51" s="2105" customFormat="1">
      <c r="A27" s="2105" t="s">
        <v>1282</v>
      </c>
      <c r="B27" s="2105" t="s">
        <v>342</v>
      </c>
      <c r="C27" s="2105" t="s">
        <v>1283</v>
      </c>
      <c r="D27" s="2105" t="s">
        <v>1108</v>
      </c>
      <c r="E27" s="2105" t="s">
        <v>1109</v>
      </c>
      <c r="F27" s="2105" t="s">
        <v>1171</v>
      </c>
      <c r="G27" s="2105" t="s">
        <v>1205</v>
      </c>
      <c r="H27" s="2105" t="s">
        <v>1112</v>
      </c>
      <c r="I27" s="2105">
        <v>87328.39</v>
      </c>
      <c r="J27" s="2105">
        <v>135355.79999999999</v>
      </c>
      <c r="K27" s="2105" t="s">
        <v>1284</v>
      </c>
      <c r="L27" s="2105" t="s">
        <v>1114</v>
      </c>
      <c r="M27" s="2105" t="s">
        <v>1285</v>
      </c>
      <c r="N27" s="2105" t="s">
        <v>1215</v>
      </c>
      <c r="O27" s="2105" t="s">
        <v>1117</v>
      </c>
      <c r="P27" s="2105" t="s">
        <v>1286</v>
      </c>
      <c r="Q27" s="2105" t="s">
        <v>1287</v>
      </c>
      <c r="R27" s="2105" t="s">
        <v>1231</v>
      </c>
      <c r="S27" s="2105" t="s">
        <v>1137</v>
      </c>
      <c r="T27" s="2105" t="s">
        <v>1122</v>
      </c>
      <c r="U27" s="2105">
        <v>0</v>
      </c>
      <c r="V27" s="2105">
        <v>0</v>
      </c>
      <c r="W27" s="2105">
        <v>0</v>
      </c>
      <c r="X27" s="2105">
        <v>0</v>
      </c>
      <c r="Y27" s="2105">
        <v>43917.0004976852</v>
      </c>
      <c r="Z27" s="2109">
        <v>43944.0004976852</v>
      </c>
      <c r="AA27" s="2109">
        <v>43960.0004976852</v>
      </c>
      <c r="AB27" s="2109">
        <v>43960.0004976852</v>
      </c>
      <c r="AC27" s="2105" t="s">
        <v>1288</v>
      </c>
      <c r="AD27" s="2105" t="s">
        <v>1124</v>
      </c>
      <c r="AE27" s="2105" t="s">
        <v>1289</v>
      </c>
      <c r="AF27" s="2105" t="s">
        <v>1290</v>
      </c>
      <c r="AG27" s="2105" t="s">
        <v>1141</v>
      </c>
      <c r="AH27" s="2105">
        <v>241000</v>
      </c>
      <c r="AI27" s="2105">
        <v>48200</v>
      </c>
      <c r="AJ27" s="2105" t="s">
        <v>1281</v>
      </c>
      <c r="AK27" s="2105">
        <v>241000</v>
      </c>
      <c r="AL27" s="2105">
        <v>1839.8</v>
      </c>
      <c r="AM27" s="2105">
        <v>1839.8</v>
      </c>
      <c r="AN27" s="2105">
        <v>17805</v>
      </c>
      <c r="AO27" s="2105">
        <v>17805</v>
      </c>
      <c r="AP27" s="2105" t="s">
        <v>1122</v>
      </c>
      <c r="AQ27" s="2105" t="s">
        <v>1122</v>
      </c>
      <c r="AR27" s="2105">
        <v>0</v>
      </c>
      <c r="AS27" s="2105" t="s">
        <v>1210</v>
      </c>
      <c r="AT27" s="2105" t="s">
        <v>1117</v>
      </c>
      <c r="AU27" s="2105" t="s">
        <v>1122</v>
      </c>
      <c r="AV27" s="2105" t="s">
        <v>1117</v>
      </c>
      <c r="AW27" s="2105" t="s">
        <v>1122</v>
      </c>
      <c r="AX27" s="2105" t="s">
        <v>1122</v>
      </c>
      <c r="AY27" s="2105" t="s">
        <v>1122</v>
      </c>
    </row>
    <row r="28" spans="1:51">
      <c r="A28" s="2106" t="s">
        <v>1246</v>
      </c>
      <c r="B28" s="2106" t="s">
        <v>342</v>
      </c>
      <c r="C28" s="2106" t="s">
        <v>1291</v>
      </c>
      <c r="D28" s="2106" t="s">
        <v>1108</v>
      </c>
      <c r="E28" s="2106" t="s">
        <v>1109</v>
      </c>
      <c r="F28" s="2106" t="s">
        <v>1110</v>
      </c>
      <c r="G28" s="2106" t="s">
        <v>1248</v>
      </c>
      <c r="H28" s="2106" t="s">
        <v>1112</v>
      </c>
      <c r="I28" s="2106">
        <v>122243.7</v>
      </c>
      <c r="J28" s="2106">
        <v>206085.13</v>
      </c>
      <c r="K28" s="2106" t="s">
        <v>1292</v>
      </c>
      <c r="L28" s="2106" t="s">
        <v>1114</v>
      </c>
      <c r="M28" s="2106" t="s">
        <v>1250</v>
      </c>
      <c r="N28" s="2106" t="s">
        <v>1215</v>
      </c>
      <c r="O28" s="2106" t="s">
        <v>1117</v>
      </c>
      <c r="P28" s="2106" t="s">
        <v>1122</v>
      </c>
      <c r="Q28" s="2106" t="s">
        <v>1293</v>
      </c>
      <c r="R28" s="2106" t="s">
        <v>1231</v>
      </c>
      <c r="S28" s="2106" t="s">
        <v>1137</v>
      </c>
      <c r="T28" s="2106" t="s">
        <v>1122</v>
      </c>
      <c r="U28" s="2106">
        <v>0</v>
      </c>
      <c r="V28" s="2106">
        <v>0</v>
      </c>
      <c r="W28" s="2106">
        <v>0</v>
      </c>
      <c r="X28" s="2106">
        <v>0</v>
      </c>
      <c r="Y28" s="2106">
        <v>43784.0004976852</v>
      </c>
      <c r="Z28" s="2107">
        <v>43804.0004976852</v>
      </c>
      <c r="AA28" s="2107">
        <v>43818.0004976852</v>
      </c>
      <c r="AB28" s="2107" t="s">
        <v>1122</v>
      </c>
      <c r="AC28" s="2106" t="s">
        <v>1294</v>
      </c>
      <c r="AD28" s="2106" t="s">
        <v>1200</v>
      </c>
      <c r="AE28" s="2106" t="s">
        <v>1117</v>
      </c>
      <c r="AF28" s="2106" t="s">
        <v>1122</v>
      </c>
      <c r="AG28" s="2106" t="s">
        <v>1122</v>
      </c>
      <c r="AH28" s="2106">
        <v>513500</v>
      </c>
      <c r="AI28" s="2106">
        <v>103000</v>
      </c>
      <c r="AJ28" s="2106" t="s">
        <v>1295</v>
      </c>
      <c r="AK28" s="2106" t="s">
        <v>1122</v>
      </c>
      <c r="AL28" s="2106">
        <v>2800.42</v>
      </c>
      <c r="AM28" s="2106" t="s">
        <v>1122</v>
      </c>
      <c r="AN28" s="2106">
        <v>24917</v>
      </c>
      <c r="AO28" s="2106" t="s">
        <v>1122</v>
      </c>
      <c r="AP28" s="2106" t="s">
        <v>1122</v>
      </c>
      <c r="AQ28" s="2106" t="s">
        <v>1122</v>
      </c>
      <c r="AR28" s="2106">
        <v>0</v>
      </c>
      <c r="AS28" s="2106" t="s">
        <v>1210</v>
      </c>
      <c r="AT28" s="2106" t="s">
        <v>1117</v>
      </c>
      <c r="AU28" s="2106" t="s">
        <v>1122</v>
      </c>
      <c r="AV28" s="2106" t="s">
        <v>1117</v>
      </c>
      <c r="AW28" s="2106" t="s">
        <v>1122</v>
      </c>
      <c r="AX28" s="2106" t="s">
        <v>1122</v>
      </c>
      <c r="AY28" s="2106" t="s">
        <v>1122</v>
      </c>
    </row>
    <row r="29" spans="1:51">
      <c r="A29" s="2106" t="s">
        <v>1296</v>
      </c>
      <c r="B29" s="2106" t="s">
        <v>342</v>
      </c>
      <c r="C29" s="2106" t="s">
        <v>1297</v>
      </c>
      <c r="D29" s="2106" t="s">
        <v>1108</v>
      </c>
      <c r="E29" s="2106" t="s">
        <v>1109</v>
      </c>
      <c r="F29" s="2106" t="s">
        <v>1145</v>
      </c>
      <c r="G29" s="2106" t="s">
        <v>1298</v>
      </c>
      <c r="H29" s="2106" t="s">
        <v>1112</v>
      </c>
      <c r="I29" s="2106">
        <v>271565.40000000002</v>
      </c>
      <c r="J29" s="2106">
        <v>169126</v>
      </c>
      <c r="K29" s="2106" t="s">
        <v>1122</v>
      </c>
      <c r="L29" s="2106" t="s">
        <v>1299</v>
      </c>
      <c r="M29" s="2106" t="s">
        <v>1300</v>
      </c>
      <c r="N29" s="2106" t="s">
        <v>1215</v>
      </c>
      <c r="O29" s="2106" t="s">
        <v>1117</v>
      </c>
      <c r="P29" s="2106" t="s">
        <v>1122</v>
      </c>
      <c r="Q29" s="2106" t="s">
        <v>1122</v>
      </c>
      <c r="R29" s="2106" t="s">
        <v>1122</v>
      </c>
      <c r="S29" s="2106" t="s">
        <v>1122</v>
      </c>
      <c r="T29" s="2106" t="s">
        <v>1122</v>
      </c>
      <c r="U29" s="2106">
        <v>0</v>
      </c>
      <c r="V29" s="2106">
        <v>0</v>
      </c>
      <c r="W29" s="2106">
        <v>0</v>
      </c>
      <c r="X29" s="2106">
        <v>0</v>
      </c>
      <c r="Y29" s="2106">
        <v>43774.0004976852</v>
      </c>
      <c r="Z29" s="2107">
        <v>40137.0004976852</v>
      </c>
      <c r="AA29" s="2107">
        <v>40137.0004976852</v>
      </c>
      <c r="AB29" s="2107" t="s">
        <v>1122</v>
      </c>
      <c r="AC29" s="2106" t="s">
        <v>1301</v>
      </c>
      <c r="AD29" s="2106" t="s">
        <v>1302</v>
      </c>
      <c r="AE29" s="2106" t="s">
        <v>1117</v>
      </c>
      <c r="AF29" s="2106" t="s">
        <v>1122</v>
      </c>
      <c r="AG29" s="2106" t="s">
        <v>1122</v>
      </c>
      <c r="AH29" s="2106">
        <v>141000</v>
      </c>
      <c r="AI29" s="2106">
        <v>20000</v>
      </c>
      <c r="AJ29" s="2106" t="s">
        <v>1295</v>
      </c>
      <c r="AK29" s="2106" t="s">
        <v>1122</v>
      </c>
      <c r="AL29" s="2106">
        <v>346.14</v>
      </c>
      <c r="AM29" s="2106" t="s">
        <v>1122</v>
      </c>
      <c r="AN29" s="2106">
        <v>8337</v>
      </c>
      <c r="AO29" s="2106" t="s">
        <v>1122</v>
      </c>
      <c r="AP29" s="2106" t="s">
        <v>1122</v>
      </c>
      <c r="AQ29" s="2106" t="s">
        <v>1122</v>
      </c>
      <c r="AR29" s="2106">
        <v>0</v>
      </c>
      <c r="AS29" s="2106" t="s">
        <v>1303</v>
      </c>
      <c r="AT29" s="2106" t="s">
        <v>1117</v>
      </c>
      <c r="AU29" s="2106" t="s">
        <v>1122</v>
      </c>
      <c r="AV29" s="2106" t="s">
        <v>1117</v>
      </c>
      <c r="AW29" s="2106" t="s">
        <v>1122</v>
      </c>
      <c r="AX29" s="2106" t="s">
        <v>1122</v>
      </c>
      <c r="AY29" s="2106" t="s">
        <v>1122</v>
      </c>
    </row>
    <row r="30" spans="1:51">
      <c r="A30" s="2106" t="s">
        <v>1304</v>
      </c>
      <c r="B30" s="2106" t="s">
        <v>342</v>
      </c>
      <c r="C30" s="2106" t="s">
        <v>1305</v>
      </c>
      <c r="D30" s="2106" t="s">
        <v>1108</v>
      </c>
      <c r="E30" s="2106" t="s">
        <v>1109</v>
      </c>
      <c r="F30" s="2106" t="s">
        <v>1306</v>
      </c>
      <c r="G30" s="2106" t="s">
        <v>1307</v>
      </c>
      <c r="H30" s="2106" t="s">
        <v>1112</v>
      </c>
      <c r="I30" s="2106">
        <v>146640.21</v>
      </c>
      <c r="J30" s="2106">
        <v>288410</v>
      </c>
      <c r="K30" s="2106" t="s">
        <v>1308</v>
      </c>
      <c r="L30" s="2106" t="s">
        <v>1114</v>
      </c>
      <c r="M30" s="2106" t="s">
        <v>1309</v>
      </c>
      <c r="N30" s="2106" t="s">
        <v>1215</v>
      </c>
      <c r="O30" s="2106" t="s">
        <v>1117</v>
      </c>
      <c r="P30" s="2106" t="s">
        <v>1229</v>
      </c>
      <c r="Q30" s="2106" t="s">
        <v>1310</v>
      </c>
      <c r="R30" s="2106" t="s">
        <v>1311</v>
      </c>
      <c r="S30" s="2106" t="s">
        <v>1312</v>
      </c>
      <c r="T30" s="2106" t="s">
        <v>1122</v>
      </c>
      <c r="U30" s="2106">
        <v>0</v>
      </c>
      <c r="V30" s="2106">
        <v>0</v>
      </c>
      <c r="W30" s="2106">
        <v>0</v>
      </c>
      <c r="X30" s="2106">
        <v>0</v>
      </c>
      <c r="Y30" s="2106">
        <v>43672.0004976852</v>
      </c>
      <c r="Z30" s="2107">
        <v>43692.0004976852</v>
      </c>
      <c r="AA30" s="2107">
        <v>43706.0004976852</v>
      </c>
      <c r="AB30" s="2107">
        <v>43706.0004976852</v>
      </c>
      <c r="AC30" s="2106" t="s">
        <v>1313</v>
      </c>
      <c r="AD30" s="2106" t="s">
        <v>1124</v>
      </c>
      <c r="AE30" s="2106" t="s">
        <v>1314</v>
      </c>
      <c r="AF30" s="2106" t="s">
        <v>1315</v>
      </c>
      <c r="AG30" s="2106" t="s">
        <v>1316</v>
      </c>
      <c r="AH30" s="2106">
        <v>430000</v>
      </c>
      <c r="AI30" s="2106">
        <v>86000</v>
      </c>
      <c r="AJ30" s="2106" t="s">
        <v>1317</v>
      </c>
      <c r="AK30" s="2106">
        <v>430000</v>
      </c>
      <c r="AL30" s="2106">
        <v>1954.9</v>
      </c>
      <c r="AM30" s="2106">
        <v>1954.9</v>
      </c>
      <c r="AN30" s="2106">
        <v>14909</v>
      </c>
      <c r="AO30" s="2106">
        <v>14909</v>
      </c>
      <c r="AP30" s="2106" t="s">
        <v>1122</v>
      </c>
      <c r="AQ30" s="2106" t="s">
        <v>1122</v>
      </c>
      <c r="AR30" s="2106">
        <v>0</v>
      </c>
      <c r="AS30" s="2106" t="s">
        <v>1210</v>
      </c>
      <c r="AT30" s="2106" t="s">
        <v>1117</v>
      </c>
      <c r="AU30" s="2106" t="s">
        <v>1122</v>
      </c>
      <c r="AV30" s="2106">
        <v>36903</v>
      </c>
      <c r="AW30" s="2106" t="s">
        <v>1122</v>
      </c>
      <c r="AX30" s="2106" t="s">
        <v>1122</v>
      </c>
      <c r="AY30" s="2106">
        <v>21994</v>
      </c>
    </row>
    <row r="31" spans="1:51">
      <c r="A31" s="2106" t="s">
        <v>1318</v>
      </c>
      <c r="B31" s="2106" t="s">
        <v>342</v>
      </c>
      <c r="C31" s="2106" t="s">
        <v>1319</v>
      </c>
      <c r="D31" s="2106" t="s">
        <v>1108</v>
      </c>
      <c r="E31" s="2106" t="s">
        <v>1109</v>
      </c>
      <c r="F31" s="2106" t="s">
        <v>1320</v>
      </c>
      <c r="G31" s="2106" t="s">
        <v>1321</v>
      </c>
      <c r="H31" s="2106" t="s">
        <v>1134</v>
      </c>
      <c r="I31" s="2106">
        <v>96884.68</v>
      </c>
      <c r="J31" s="2106">
        <v>145327</v>
      </c>
      <c r="K31" s="2106" t="s">
        <v>1322</v>
      </c>
      <c r="L31" s="2106" t="s">
        <v>1114</v>
      </c>
      <c r="M31" s="2106" t="s">
        <v>1135</v>
      </c>
      <c r="N31" s="2106" t="s">
        <v>1215</v>
      </c>
      <c r="O31" s="2106" t="s">
        <v>1117</v>
      </c>
      <c r="P31" s="2106" t="s">
        <v>1229</v>
      </c>
      <c r="Q31" s="2106" t="s">
        <v>1278</v>
      </c>
      <c r="R31" s="2106" t="s">
        <v>1323</v>
      </c>
      <c r="S31" s="2106" t="s">
        <v>1324</v>
      </c>
      <c r="T31" s="2106" t="s">
        <v>1122</v>
      </c>
      <c r="U31" s="2106">
        <v>0</v>
      </c>
      <c r="V31" s="2106">
        <v>0</v>
      </c>
      <c r="W31" s="2106">
        <v>0</v>
      </c>
      <c r="X31" s="2106">
        <v>0</v>
      </c>
      <c r="Y31" s="2106">
        <v>43609.0004976852</v>
      </c>
      <c r="Z31" s="2107">
        <v>43629.0004976852</v>
      </c>
      <c r="AA31" s="2107">
        <v>43643.0004976852</v>
      </c>
      <c r="AB31" s="2107">
        <v>43643.0004976852</v>
      </c>
      <c r="AC31" s="2106" t="s">
        <v>1325</v>
      </c>
      <c r="AD31" s="2106" t="s">
        <v>1124</v>
      </c>
      <c r="AE31" s="2106" t="s">
        <v>1326</v>
      </c>
      <c r="AF31" s="2106" t="s">
        <v>1327</v>
      </c>
      <c r="AG31" s="2106" t="s">
        <v>1328</v>
      </c>
      <c r="AH31" s="2106">
        <v>340000</v>
      </c>
      <c r="AI31" s="2106">
        <v>68000</v>
      </c>
      <c r="AJ31" s="2106" t="s">
        <v>1295</v>
      </c>
      <c r="AK31" s="2106">
        <v>410000</v>
      </c>
      <c r="AL31" s="2106">
        <v>2339.5500000000002</v>
      </c>
      <c r="AM31" s="2106">
        <v>2821.22</v>
      </c>
      <c r="AN31" s="2106">
        <v>23396</v>
      </c>
      <c r="AO31" s="2106">
        <v>28212</v>
      </c>
      <c r="AP31" s="2106" t="s">
        <v>1122</v>
      </c>
      <c r="AQ31" s="2106" t="s">
        <v>1122</v>
      </c>
      <c r="AR31" s="2106">
        <v>20.59</v>
      </c>
      <c r="AS31" s="2106" t="s">
        <v>1210</v>
      </c>
      <c r="AT31" s="2106" t="s">
        <v>1117</v>
      </c>
      <c r="AU31" s="2106" t="s">
        <v>1122</v>
      </c>
      <c r="AV31" s="2106" t="s">
        <v>1117</v>
      </c>
      <c r="AW31" s="2106" t="s">
        <v>1122</v>
      </c>
      <c r="AX31" s="2106" t="s">
        <v>1122</v>
      </c>
      <c r="AY31" s="2106" t="s">
        <v>1122</v>
      </c>
    </row>
    <row r="32" spans="1:51">
      <c r="A32" s="2106" t="s">
        <v>1329</v>
      </c>
      <c r="B32" s="2106" t="s">
        <v>342</v>
      </c>
      <c r="C32" s="2106" t="s">
        <v>1330</v>
      </c>
      <c r="D32" s="2106" t="s">
        <v>1108</v>
      </c>
      <c r="E32" s="2106" t="s">
        <v>1109</v>
      </c>
      <c r="F32" s="2106" t="s">
        <v>1331</v>
      </c>
      <c r="G32" s="2106" t="s">
        <v>1332</v>
      </c>
      <c r="H32" s="2106" t="s">
        <v>1134</v>
      </c>
      <c r="I32" s="2106">
        <v>21403.13</v>
      </c>
      <c r="J32" s="2106">
        <v>38526</v>
      </c>
      <c r="K32" s="2106">
        <v>1.8</v>
      </c>
      <c r="L32" s="2106" t="s">
        <v>1114</v>
      </c>
      <c r="M32" s="2106" t="s">
        <v>1135</v>
      </c>
      <c r="N32" s="2106" t="s">
        <v>1215</v>
      </c>
      <c r="O32" s="2106" t="s">
        <v>1117</v>
      </c>
      <c r="P32" s="2106" t="s">
        <v>1229</v>
      </c>
      <c r="Q32" s="2106" t="s">
        <v>1333</v>
      </c>
      <c r="R32" s="2106" t="s">
        <v>1311</v>
      </c>
      <c r="S32" s="2106" t="s">
        <v>1312</v>
      </c>
      <c r="T32" s="2106" t="s">
        <v>1122</v>
      </c>
      <c r="U32" s="2106">
        <v>0</v>
      </c>
      <c r="V32" s="2106">
        <v>0</v>
      </c>
      <c r="W32" s="2106">
        <v>0</v>
      </c>
      <c r="X32" s="2106">
        <v>0</v>
      </c>
      <c r="Y32" s="2106">
        <v>43411.0004976852</v>
      </c>
      <c r="Z32" s="2107">
        <v>43431.0004976852</v>
      </c>
      <c r="AA32" s="2107">
        <v>43445.0004976852</v>
      </c>
      <c r="AB32" s="2107">
        <v>43445.0004976852</v>
      </c>
      <c r="AC32" s="2106" t="s">
        <v>1334</v>
      </c>
      <c r="AD32" s="2106" t="s">
        <v>1124</v>
      </c>
      <c r="AE32" s="2106" t="s">
        <v>1335</v>
      </c>
      <c r="AF32" s="2106" t="s">
        <v>1336</v>
      </c>
      <c r="AG32" s="2106" t="s">
        <v>1141</v>
      </c>
      <c r="AH32" s="2106">
        <v>71000</v>
      </c>
      <c r="AI32" s="2106">
        <v>14200</v>
      </c>
      <c r="AJ32" s="2106" t="s">
        <v>1295</v>
      </c>
      <c r="AK32" s="2106">
        <v>92000</v>
      </c>
      <c r="AL32" s="2106">
        <v>2211.5100000000002</v>
      </c>
      <c r="AM32" s="2106">
        <v>2865.62</v>
      </c>
      <c r="AN32" s="2106">
        <v>18429</v>
      </c>
      <c r="AO32" s="2106">
        <v>23880</v>
      </c>
      <c r="AP32" s="2106" t="s">
        <v>1122</v>
      </c>
      <c r="AQ32" s="2106" t="s">
        <v>1122</v>
      </c>
      <c r="AR32" s="2106">
        <v>29.58</v>
      </c>
      <c r="AS32" s="2106" t="s">
        <v>1210</v>
      </c>
      <c r="AT32" s="2106" t="s">
        <v>1117</v>
      </c>
      <c r="AU32" s="2106" t="s">
        <v>1122</v>
      </c>
      <c r="AV32" s="2106">
        <v>40935</v>
      </c>
      <c r="AW32" s="2106" t="s">
        <v>1122</v>
      </c>
      <c r="AX32" s="2106" t="s">
        <v>1122</v>
      </c>
      <c r="AY32" s="2106">
        <v>22506</v>
      </c>
    </row>
    <row r="33" spans="1:51">
      <c r="A33" s="2106" t="s">
        <v>1337</v>
      </c>
      <c r="B33" s="2106" t="s">
        <v>342</v>
      </c>
      <c r="C33" s="2106" t="s">
        <v>1338</v>
      </c>
      <c r="D33" s="2106" t="s">
        <v>1108</v>
      </c>
      <c r="E33" s="2106" t="s">
        <v>1109</v>
      </c>
      <c r="F33" s="2106" t="s">
        <v>1320</v>
      </c>
      <c r="G33" s="2106" t="s">
        <v>1339</v>
      </c>
      <c r="H33" s="2106" t="s">
        <v>1134</v>
      </c>
      <c r="I33" s="2106">
        <v>43325.9</v>
      </c>
      <c r="J33" s="2106">
        <v>64988</v>
      </c>
      <c r="K33" s="2106">
        <v>1.5</v>
      </c>
      <c r="L33" s="2106" t="s">
        <v>1114</v>
      </c>
      <c r="M33" s="2106" t="s">
        <v>1135</v>
      </c>
      <c r="N33" s="2106" t="s">
        <v>1215</v>
      </c>
      <c r="O33" s="2106" t="s">
        <v>1117</v>
      </c>
      <c r="P33" s="2106" t="s">
        <v>1229</v>
      </c>
      <c r="Q33" s="2106" t="s">
        <v>1340</v>
      </c>
      <c r="R33" s="2106" t="s">
        <v>1323</v>
      </c>
      <c r="S33" s="2106" t="s">
        <v>1324</v>
      </c>
      <c r="T33" s="2106" t="s">
        <v>1122</v>
      </c>
      <c r="U33" s="2106">
        <v>0</v>
      </c>
      <c r="V33" s="2106">
        <v>0</v>
      </c>
      <c r="W33" s="2106">
        <v>0</v>
      </c>
      <c r="X33" s="2106">
        <v>0</v>
      </c>
      <c r="Y33" s="2106">
        <v>43411.0004976852</v>
      </c>
      <c r="Z33" s="2107">
        <v>43431.0004976852</v>
      </c>
      <c r="AA33" s="2107">
        <v>43445.0004976852</v>
      </c>
      <c r="AB33" s="2107">
        <v>43445.0004976852</v>
      </c>
      <c r="AC33" s="2106" t="s">
        <v>1341</v>
      </c>
      <c r="AD33" s="2106" t="s">
        <v>1124</v>
      </c>
      <c r="AE33" s="2106" t="s">
        <v>1342</v>
      </c>
      <c r="AF33" s="2106" t="s">
        <v>1343</v>
      </c>
      <c r="AG33" s="2106" t="s">
        <v>1344</v>
      </c>
      <c r="AH33" s="2106">
        <v>190000</v>
      </c>
      <c r="AI33" s="2106">
        <v>38000</v>
      </c>
      <c r="AJ33" s="2106" t="s">
        <v>1295</v>
      </c>
      <c r="AK33" s="2106">
        <v>204000</v>
      </c>
      <c r="AL33" s="2106">
        <v>2923.58</v>
      </c>
      <c r="AM33" s="2106">
        <v>3139</v>
      </c>
      <c r="AN33" s="2106">
        <v>29236</v>
      </c>
      <c r="AO33" s="2106">
        <v>31390</v>
      </c>
      <c r="AP33" s="2106" t="s">
        <v>1122</v>
      </c>
      <c r="AQ33" s="2106" t="s">
        <v>1122</v>
      </c>
      <c r="AR33" s="2106">
        <v>7.37</v>
      </c>
      <c r="AS33" s="2106" t="s">
        <v>1210</v>
      </c>
      <c r="AT33" s="2106" t="s">
        <v>1117</v>
      </c>
      <c r="AU33" s="2106" t="s">
        <v>1122</v>
      </c>
      <c r="AV33" s="2106">
        <v>55711</v>
      </c>
      <c r="AW33" s="2106" t="s">
        <v>1122</v>
      </c>
      <c r="AX33" s="2106" t="s">
        <v>1122</v>
      </c>
      <c r="AY33" s="2106">
        <v>26475</v>
      </c>
    </row>
    <row r="34" spans="1:51">
      <c r="A34" s="2106" t="s">
        <v>1345</v>
      </c>
      <c r="B34" s="2106" t="s">
        <v>342</v>
      </c>
      <c r="C34" s="2106" t="s">
        <v>1346</v>
      </c>
      <c r="D34" s="2106" t="s">
        <v>1108</v>
      </c>
      <c r="E34" s="2106" t="s">
        <v>1109</v>
      </c>
      <c r="F34" s="2106" t="s">
        <v>1171</v>
      </c>
      <c r="G34" s="2106" t="s">
        <v>1347</v>
      </c>
      <c r="H34" s="2106" t="s">
        <v>1112</v>
      </c>
      <c r="I34" s="2106">
        <v>28367.279999999999</v>
      </c>
      <c r="J34" s="2106">
        <v>42028</v>
      </c>
      <c r="K34" s="2106">
        <v>1.48</v>
      </c>
      <c r="L34" s="2106" t="s">
        <v>1114</v>
      </c>
      <c r="M34" s="2106" t="s">
        <v>1309</v>
      </c>
      <c r="N34" s="2106" t="s">
        <v>1215</v>
      </c>
      <c r="O34" s="2106" t="s">
        <v>1117</v>
      </c>
      <c r="P34" s="2106" t="s">
        <v>1229</v>
      </c>
      <c r="Q34" s="2106" t="s">
        <v>1348</v>
      </c>
      <c r="R34" s="2106" t="s">
        <v>1311</v>
      </c>
      <c r="S34" s="2106" t="s">
        <v>1312</v>
      </c>
      <c r="T34" s="2106" t="s">
        <v>1122</v>
      </c>
      <c r="U34" s="2106">
        <v>0</v>
      </c>
      <c r="V34" s="2106">
        <v>0</v>
      </c>
      <c r="W34" s="2106">
        <v>0</v>
      </c>
      <c r="X34" s="2106">
        <v>0</v>
      </c>
      <c r="Y34" s="2106">
        <v>43404.0004976852</v>
      </c>
      <c r="Z34" s="2107">
        <v>43424.0004976852</v>
      </c>
      <c r="AA34" s="2107">
        <v>43438.0004976852</v>
      </c>
      <c r="AB34" s="2107">
        <v>43438.0004976852</v>
      </c>
      <c r="AC34" s="2106" t="s">
        <v>1349</v>
      </c>
      <c r="AD34" s="2106" t="s">
        <v>1124</v>
      </c>
      <c r="AE34" s="2106" t="s">
        <v>1350</v>
      </c>
      <c r="AF34" s="2106" t="s">
        <v>1351</v>
      </c>
      <c r="AG34" s="2106" t="s">
        <v>1155</v>
      </c>
      <c r="AH34" s="2106">
        <v>76000</v>
      </c>
      <c r="AI34" s="2106">
        <v>15200</v>
      </c>
      <c r="AJ34" s="2106" t="s">
        <v>1295</v>
      </c>
      <c r="AK34" s="2106">
        <v>88500</v>
      </c>
      <c r="AL34" s="2106">
        <v>1786.1</v>
      </c>
      <c r="AM34" s="2106">
        <v>2079.86</v>
      </c>
      <c r="AN34" s="2106">
        <v>18083</v>
      </c>
      <c r="AO34" s="2106">
        <v>21057</v>
      </c>
      <c r="AP34" s="2106" t="s">
        <v>1122</v>
      </c>
      <c r="AQ34" s="2106" t="s">
        <v>1122</v>
      </c>
      <c r="AR34" s="2106">
        <v>16.45</v>
      </c>
      <c r="AS34" s="2106" t="s">
        <v>1210</v>
      </c>
      <c r="AT34" s="2106" t="s">
        <v>1117</v>
      </c>
      <c r="AU34" s="2106" t="s">
        <v>1122</v>
      </c>
      <c r="AV34" s="2106">
        <v>43467</v>
      </c>
      <c r="AW34" s="2106" t="s">
        <v>1122</v>
      </c>
      <c r="AX34" s="2106" t="s">
        <v>1122</v>
      </c>
      <c r="AY34" s="2106">
        <v>25384</v>
      </c>
    </row>
    <row r="35" spans="1:51">
      <c r="A35" s="2106" t="s">
        <v>1352</v>
      </c>
      <c r="B35" s="2106" t="s">
        <v>342</v>
      </c>
      <c r="C35" s="2106" t="s">
        <v>1353</v>
      </c>
      <c r="D35" s="2106" t="s">
        <v>1108</v>
      </c>
      <c r="E35" s="2106" t="s">
        <v>1109</v>
      </c>
      <c r="F35" s="2106" t="s">
        <v>1171</v>
      </c>
      <c r="G35" s="2106" t="s">
        <v>1205</v>
      </c>
      <c r="H35" s="2106" t="s">
        <v>1112</v>
      </c>
      <c r="I35" s="2106">
        <v>69856.02</v>
      </c>
      <c r="J35" s="2106">
        <v>104180</v>
      </c>
      <c r="K35" s="2106">
        <v>1.49</v>
      </c>
      <c r="L35" s="2106" t="s">
        <v>1114</v>
      </c>
      <c r="M35" s="2106" t="s">
        <v>1354</v>
      </c>
      <c r="N35" s="2106" t="s">
        <v>1215</v>
      </c>
      <c r="O35" s="2106" t="s">
        <v>1117</v>
      </c>
      <c r="P35" s="2106" t="s">
        <v>1229</v>
      </c>
      <c r="Q35" s="2106" t="s">
        <v>1355</v>
      </c>
      <c r="R35" s="2106" t="s">
        <v>1311</v>
      </c>
      <c r="S35" s="2106" t="s">
        <v>1312</v>
      </c>
      <c r="T35" s="2106" t="s">
        <v>1122</v>
      </c>
      <c r="U35" s="2106">
        <v>0</v>
      </c>
      <c r="V35" s="2106">
        <v>0</v>
      </c>
      <c r="W35" s="2106">
        <v>0</v>
      </c>
      <c r="X35" s="2106">
        <v>0</v>
      </c>
      <c r="Y35" s="2106">
        <v>43404.0004976852</v>
      </c>
      <c r="Z35" s="2107">
        <v>43424.0004976852</v>
      </c>
      <c r="AA35" s="2107">
        <v>43438.0004976852</v>
      </c>
      <c r="AB35" s="2107">
        <v>43438.0004976852</v>
      </c>
      <c r="AC35" s="2106" t="s">
        <v>1356</v>
      </c>
      <c r="AD35" s="2106" t="s">
        <v>1124</v>
      </c>
      <c r="AE35" s="2106" t="s">
        <v>1357</v>
      </c>
      <c r="AF35" s="2106" t="s">
        <v>1358</v>
      </c>
      <c r="AG35" s="2106" t="s">
        <v>1141</v>
      </c>
      <c r="AH35" s="2106">
        <v>190000</v>
      </c>
      <c r="AI35" s="2106">
        <v>38000</v>
      </c>
      <c r="AJ35" s="2106" t="s">
        <v>1295</v>
      </c>
      <c r="AK35" s="2106">
        <v>233000</v>
      </c>
      <c r="AL35" s="2106">
        <v>1813.25</v>
      </c>
      <c r="AM35" s="2106">
        <v>2223.62</v>
      </c>
      <c r="AN35" s="2106">
        <v>18238</v>
      </c>
      <c r="AO35" s="2106">
        <v>22365</v>
      </c>
      <c r="AP35" s="2106" t="s">
        <v>1122</v>
      </c>
      <c r="AQ35" s="2106" t="s">
        <v>1122</v>
      </c>
      <c r="AR35" s="2106">
        <v>22.63</v>
      </c>
      <c r="AS35" s="2106" t="s">
        <v>1210</v>
      </c>
      <c r="AT35" s="2106" t="s">
        <v>1117</v>
      </c>
      <c r="AU35" s="2106" t="s">
        <v>1122</v>
      </c>
      <c r="AV35" s="2106">
        <v>43467</v>
      </c>
      <c r="AW35" s="2106" t="s">
        <v>1122</v>
      </c>
      <c r="AX35" s="2106" t="s">
        <v>1122</v>
      </c>
      <c r="AY35" s="2106">
        <v>25229</v>
      </c>
    </row>
    <row r="36" spans="1:51">
      <c r="A36" s="2106" t="s">
        <v>1359</v>
      </c>
      <c r="B36" s="2106" t="s">
        <v>342</v>
      </c>
      <c r="C36" s="2106" t="s">
        <v>1360</v>
      </c>
      <c r="D36" s="2106" t="s">
        <v>1108</v>
      </c>
      <c r="E36" s="2106" t="s">
        <v>1109</v>
      </c>
      <c r="F36" s="2106" t="s">
        <v>1171</v>
      </c>
      <c r="G36" s="2106" t="s">
        <v>1347</v>
      </c>
      <c r="H36" s="2106" t="s">
        <v>1134</v>
      </c>
      <c r="I36" s="2106">
        <v>41663.440000000002</v>
      </c>
      <c r="J36" s="2106">
        <v>70828</v>
      </c>
      <c r="K36" s="2106">
        <v>1.7</v>
      </c>
      <c r="L36" s="2106" t="s">
        <v>1114</v>
      </c>
      <c r="M36" s="2106" t="s">
        <v>1135</v>
      </c>
      <c r="N36" s="2106" t="s">
        <v>1215</v>
      </c>
      <c r="O36" s="2106" t="s">
        <v>1117</v>
      </c>
      <c r="P36" s="2106" t="s">
        <v>1229</v>
      </c>
      <c r="Q36" s="2106" t="s">
        <v>1361</v>
      </c>
      <c r="R36" s="2106" t="s">
        <v>1362</v>
      </c>
      <c r="S36" s="2106" t="s">
        <v>1362</v>
      </c>
      <c r="T36" s="2106" t="s">
        <v>1122</v>
      </c>
      <c r="U36" s="2106">
        <v>0</v>
      </c>
      <c r="V36" s="2106">
        <v>0</v>
      </c>
      <c r="W36" s="2106">
        <v>70828</v>
      </c>
      <c r="X36" s="2106">
        <v>70828</v>
      </c>
      <c r="Y36" s="2106">
        <v>43396.0004976852</v>
      </c>
      <c r="Z36" s="2107">
        <v>43416.0004976852</v>
      </c>
      <c r="AA36" s="2107">
        <v>43430.0004976852</v>
      </c>
      <c r="AB36" s="2107">
        <v>43430.0004976852</v>
      </c>
      <c r="AC36" s="2106" t="s">
        <v>1363</v>
      </c>
      <c r="AD36" s="2106" t="s">
        <v>1124</v>
      </c>
      <c r="AE36" s="2106" t="s">
        <v>1364</v>
      </c>
      <c r="AF36" s="2106" t="s">
        <v>1365</v>
      </c>
      <c r="AG36" s="2106" t="s">
        <v>1366</v>
      </c>
      <c r="AH36" s="2106">
        <v>76700</v>
      </c>
      <c r="AI36" s="2106">
        <v>15500</v>
      </c>
      <c r="AJ36" s="2106" t="s">
        <v>1295</v>
      </c>
      <c r="AK36" s="2106">
        <v>77900</v>
      </c>
      <c r="AL36" s="2106">
        <v>1227.3</v>
      </c>
      <c r="AM36" s="2106">
        <v>1246.5</v>
      </c>
      <c r="AN36" s="2106">
        <v>10829</v>
      </c>
      <c r="AO36" s="2106">
        <v>10998</v>
      </c>
      <c r="AP36" s="2106" t="s">
        <v>1122</v>
      </c>
      <c r="AQ36" s="2106" t="s">
        <v>1122</v>
      </c>
      <c r="AR36" s="2106">
        <v>1.56</v>
      </c>
      <c r="AS36" s="2106" t="s">
        <v>1210</v>
      </c>
      <c r="AT36" s="2106" t="s">
        <v>1117</v>
      </c>
      <c r="AU36" s="2106" t="s">
        <v>1122</v>
      </c>
      <c r="AV36" s="2106" t="s">
        <v>1117</v>
      </c>
      <c r="AW36" s="2106" t="s">
        <v>1122</v>
      </c>
      <c r="AX36" s="2106" t="s">
        <v>1122</v>
      </c>
      <c r="AY36" s="2106" t="s">
        <v>1122</v>
      </c>
    </row>
    <row r="37" spans="1:51">
      <c r="A37" s="2106" t="s">
        <v>1367</v>
      </c>
      <c r="B37" s="2106" t="s">
        <v>342</v>
      </c>
      <c r="C37" s="2106" t="s">
        <v>1368</v>
      </c>
      <c r="D37" s="2106" t="s">
        <v>1108</v>
      </c>
      <c r="E37" s="2106" t="s">
        <v>1109</v>
      </c>
      <c r="F37" s="2106" t="s">
        <v>1145</v>
      </c>
      <c r="G37" s="2106" t="s">
        <v>1298</v>
      </c>
      <c r="H37" s="2106" t="s">
        <v>1134</v>
      </c>
      <c r="I37" s="2106">
        <v>66475.23</v>
      </c>
      <c r="J37" s="2106">
        <v>132950</v>
      </c>
      <c r="K37" s="2106">
        <v>2</v>
      </c>
      <c r="L37" s="2106" t="s">
        <v>1114</v>
      </c>
      <c r="M37" s="2106" t="s">
        <v>1135</v>
      </c>
      <c r="N37" s="2106" t="s">
        <v>1215</v>
      </c>
      <c r="O37" s="2106" t="s">
        <v>1117</v>
      </c>
      <c r="P37" s="2106" t="s">
        <v>1229</v>
      </c>
      <c r="Q37" s="2106" t="s">
        <v>1369</v>
      </c>
      <c r="R37" s="2106" t="s">
        <v>1311</v>
      </c>
      <c r="S37" s="2106" t="s">
        <v>1312</v>
      </c>
      <c r="T37" s="2106" t="s">
        <v>1122</v>
      </c>
      <c r="U37" s="2106">
        <v>0</v>
      </c>
      <c r="V37" s="2106">
        <v>0</v>
      </c>
      <c r="W37" s="2106">
        <v>0</v>
      </c>
      <c r="X37" s="2106">
        <v>0</v>
      </c>
      <c r="Y37" s="2106">
        <v>43396.0004976852</v>
      </c>
      <c r="Z37" s="2107">
        <v>43416.0004976852</v>
      </c>
      <c r="AA37" s="2107">
        <v>43430.0004976852</v>
      </c>
      <c r="AB37" s="2107">
        <v>43430.0004976852</v>
      </c>
      <c r="AC37" s="2106" t="s">
        <v>1370</v>
      </c>
      <c r="AD37" s="2106" t="s">
        <v>1124</v>
      </c>
      <c r="AE37" s="2106" t="s">
        <v>1371</v>
      </c>
      <c r="AF37" s="2106" t="s">
        <v>1372</v>
      </c>
      <c r="AG37" s="2106" t="s">
        <v>1373</v>
      </c>
      <c r="AH37" s="2106">
        <v>380000</v>
      </c>
      <c r="AI37" s="2106">
        <v>76000</v>
      </c>
      <c r="AJ37" s="2106" t="s">
        <v>1295</v>
      </c>
      <c r="AK37" s="2106">
        <v>450000</v>
      </c>
      <c r="AL37" s="2106">
        <v>3810.94</v>
      </c>
      <c r="AM37" s="2106">
        <v>4512.96</v>
      </c>
      <c r="AN37" s="2106">
        <v>28582</v>
      </c>
      <c r="AO37" s="2106">
        <v>33847</v>
      </c>
      <c r="AP37" s="2106" t="s">
        <v>1122</v>
      </c>
      <c r="AQ37" s="2106" t="s">
        <v>1122</v>
      </c>
      <c r="AR37" s="2106">
        <v>18.420000000000002</v>
      </c>
      <c r="AS37" s="2106" t="s">
        <v>1210</v>
      </c>
      <c r="AT37" s="2106" t="s">
        <v>1117</v>
      </c>
      <c r="AU37" s="2106" t="s">
        <v>1122</v>
      </c>
      <c r="AV37" s="2106">
        <v>55711</v>
      </c>
      <c r="AW37" s="2106" t="s">
        <v>1122</v>
      </c>
      <c r="AX37" s="2106" t="s">
        <v>1122</v>
      </c>
      <c r="AY37" s="2106">
        <v>27129</v>
      </c>
    </row>
    <row r="38" spans="1:51">
      <c r="A38" s="2106" t="s">
        <v>1304</v>
      </c>
      <c r="B38" s="2106" t="s">
        <v>342</v>
      </c>
      <c r="C38" s="2106" t="s">
        <v>1374</v>
      </c>
      <c r="D38" s="2106" t="s">
        <v>1108</v>
      </c>
      <c r="E38" s="2106" t="s">
        <v>1109</v>
      </c>
      <c r="F38" s="2106" t="s">
        <v>1306</v>
      </c>
      <c r="G38" s="2106" t="s">
        <v>1307</v>
      </c>
      <c r="H38" s="2106" t="s">
        <v>1112</v>
      </c>
      <c r="I38" s="2106">
        <v>146640.20000000001</v>
      </c>
      <c r="J38" s="2106">
        <v>288410</v>
      </c>
      <c r="K38" s="2106">
        <v>1.97</v>
      </c>
      <c r="L38" s="2106" t="s">
        <v>1114</v>
      </c>
      <c r="M38" s="2106" t="s">
        <v>1309</v>
      </c>
      <c r="N38" s="2106" t="s">
        <v>1215</v>
      </c>
      <c r="O38" s="2106" t="s">
        <v>1117</v>
      </c>
      <c r="P38" s="2106" t="s">
        <v>1229</v>
      </c>
      <c r="Q38" s="2106" t="s">
        <v>1375</v>
      </c>
      <c r="R38" s="2106" t="s">
        <v>1376</v>
      </c>
      <c r="S38" s="2106" t="s">
        <v>1122</v>
      </c>
      <c r="T38" s="2106" t="s">
        <v>1122</v>
      </c>
      <c r="U38" s="2106">
        <v>0</v>
      </c>
      <c r="V38" s="2106">
        <v>0</v>
      </c>
      <c r="W38" s="2106">
        <v>285163</v>
      </c>
      <c r="X38" s="2106">
        <v>0</v>
      </c>
      <c r="Y38" s="2106">
        <v>43395.0004976852</v>
      </c>
      <c r="Z38" s="2107">
        <v>43416.0004976852</v>
      </c>
      <c r="AA38" s="2107">
        <v>43430.0004976852</v>
      </c>
      <c r="AB38" s="2107" t="s">
        <v>1122</v>
      </c>
      <c r="AC38" s="2106" t="s">
        <v>1377</v>
      </c>
      <c r="AD38" s="2106" t="s">
        <v>1378</v>
      </c>
      <c r="AE38" s="2106" t="s">
        <v>1117</v>
      </c>
      <c r="AF38" s="2106" t="s">
        <v>1122</v>
      </c>
      <c r="AG38" s="2106" t="s">
        <v>1122</v>
      </c>
      <c r="AH38" s="2106">
        <v>239500</v>
      </c>
      <c r="AI38" s="2106">
        <v>47900</v>
      </c>
      <c r="AJ38" s="2106" t="s">
        <v>1295</v>
      </c>
      <c r="AK38" s="2106" t="s">
        <v>1122</v>
      </c>
      <c r="AL38" s="2106">
        <v>1088.83</v>
      </c>
      <c r="AM38" s="2106" t="s">
        <v>1122</v>
      </c>
      <c r="AN38" s="2106">
        <v>8304</v>
      </c>
      <c r="AO38" s="2106" t="s">
        <v>1122</v>
      </c>
      <c r="AP38" s="2106" t="s">
        <v>1122</v>
      </c>
      <c r="AQ38" s="2106" t="s">
        <v>1122</v>
      </c>
      <c r="AR38" s="2106">
        <v>0</v>
      </c>
      <c r="AS38" s="2106" t="s">
        <v>1210</v>
      </c>
      <c r="AT38" s="2106" t="s">
        <v>1117</v>
      </c>
      <c r="AU38" s="2106" t="s">
        <v>1122</v>
      </c>
      <c r="AV38" s="2106" t="s">
        <v>1117</v>
      </c>
      <c r="AW38" s="2106" t="s">
        <v>1122</v>
      </c>
      <c r="AX38" s="2106" t="s">
        <v>1122</v>
      </c>
      <c r="AY38" s="2106" t="s">
        <v>1122</v>
      </c>
    </row>
    <row r="39" spans="1:51">
      <c r="A39" s="2106" t="s">
        <v>1379</v>
      </c>
      <c r="B39" s="2106" t="s">
        <v>342</v>
      </c>
      <c r="C39" s="2106" t="s">
        <v>1380</v>
      </c>
      <c r="D39" s="2106" t="s">
        <v>1108</v>
      </c>
      <c r="E39" s="2106" t="s">
        <v>1109</v>
      </c>
      <c r="F39" s="2106" t="s">
        <v>1145</v>
      </c>
      <c r="G39" s="2106" t="s">
        <v>1298</v>
      </c>
      <c r="H39" s="2106" t="s">
        <v>1112</v>
      </c>
      <c r="I39" s="2106">
        <v>76571.12</v>
      </c>
      <c r="J39" s="2106">
        <v>132728</v>
      </c>
      <c r="K39" s="2106">
        <v>1.73</v>
      </c>
      <c r="L39" s="2106" t="s">
        <v>1114</v>
      </c>
      <c r="M39" s="2106" t="s">
        <v>1309</v>
      </c>
      <c r="N39" s="2106" t="s">
        <v>1215</v>
      </c>
      <c r="O39" s="2106" t="s">
        <v>1117</v>
      </c>
      <c r="P39" s="2106" t="s">
        <v>1229</v>
      </c>
      <c r="Q39" s="2106" t="s">
        <v>1375</v>
      </c>
      <c r="R39" s="2106" t="s">
        <v>1362</v>
      </c>
      <c r="S39" s="2106" t="s">
        <v>1362</v>
      </c>
      <c r="T39" s="2106" t="s">
        <v>1122</v>
      </c>
      <c r="U39" s="2106">
        <v>0</v>
      </c>
      <c r="V39" s="2106">
        <v>0</v>
      </c>
      <c r="W39" s="2106">
        <v>128648</v>
      </c>
      <c r="X39" s="2106">
        <v>128648</v>
      </c>
      <c r="Y39" s="2106">
        <v>43395.0004976852</v>
      </c>
      <c r="Z39" s="2107">
        <v>43416.0004976852</v>
      </c>
      <c r="AA39" s="2107">
        <v>43430.0004976852</v>
      </c>
      <c r="AB39" s="2107">
        <v>43430.0004976852</v>
      </c>
      <c r="AC39" s="2106" t="s">
        <v>1381</v>
      </c>
      <c r="AD39" s="2106" t="s">
        <v>1124</v>
      </c>
      <c r="AE39" s="2106" t="s">
        <v>1382</v>
      </c>
      <c r="AF39" s="2106" t="s">
        <v>1245</v>
      </c>
      <c r="AG39" s="2106" t="s">
        <v>1155</v>
      </c>
      <c r="AH39" s="2106">
        <v>165000</v>
      </c>
      <c r="AI39" s="2106">
        <v>33000</v>
      </c>
      <c r="AJ39" s="2106" t="s">
        <v>1295</v>
      </c>
      <c r="AK39" s="2106">
        <v>194500</v>
      </c>
      <c r="AL39" s="2106">
        <v>1436.57</v>
      </c>
      <c r="AM39" s="2106">
        <v>1693.41</v>
      </c>
      <c r="AN39" s="2106">
        <v>12431</v>
      </c>
      <c r="AO39" s="2106">
        <v>14654</v>
      </c>
      <c r="AP39" s="2106" t="s">
        <v>1122</v>
      </c>
      <c r="AQ39" s="2106" t="s">
        <v>1122</v>
      </c>
      <c r="AR39" s="2106">
        <v>17.88</v>
      </c>
      <c r="AS39" s="2106" t="s">
        <v>1210</v>
      </c>
      <c r="AT39" s="2106" t="s">
        <v>1117</v>
      </c>
      <c r="AU39" s="2106" t="s">
        <v>1122</v>
      </c>
      <c r="AV39" s="2106" t="s">
        <v>1117</v>
      </c>
      <c r="AW39" s="2106" t="s">
        <v>1122</v>
      </c>
      <c r="AX39" s="2106" t="s">
        <v>1122</v>
      </c>
      <c r="AY39" s="2106" t="s">
        <v>1122</v>
      </c>
    </row>
    <row r="40" spans="1:51">
      <c r="A40" s="2106" t="s">
        <v>1383</v>
      </c>
      <c r="B40" s="2106" t="s">
        <v>342</v>
      </c>
      <c r="C40" s="2106" t="s">
        <v>1384</v>
      </c>
      <c r="D40" s="2106" t="s">
        <v>1108</v>
      </c>
      <c r="E40" s="2106" t="s">
        <v>1109</v>
      </c>
      <c r="F40" s="2106" t="s">
        <v>1145</v>
      </c>
      <c r="G40" s="2106" t="s">
        <v>1385</v>
      </c>
      <c r="H40" s="2106" t="s">
        <v>1134</v>
      </c>
      <c r="I40" s="2106">
        <v>36365.370000000003</v>
      </c>
      <c r="J40" s="2106">
        <v>65458</v>
      </c>
      <c r="K40" s="2106">
        <v>1.8</v>
      </c>
      <c r="L40" s="2106" t="s">
        <v>1114</v>
      </c>
      <c r="M40" s="2106" t="s">
        <v>1135</v>
      </c>
      <c r="N40" s="2106" t="s">
        <v>1215</v>
      </c>
      <c r="O40" s="2106" t="s">
        <v>1117</v>
      </c>
      <c r="P40" s="2106" t="s">
        <v>1229</v>
      </c>
      <c r="Q40" s="2106" t="s">
        <v>1369</v>
      </c>
      <c r="R40" s="2106" t="s">
        <v>1311</v>
      </c>
      <c r="S40" s="2106" t="s">
        <v>1312</v>
      </c>
      <c r="T40" s="2106" t="s">
        <v>1122</v>
      </c>
      <c r="U40" s="2106">
        <v>0</v>
      </c>
      <c r="V40" s="2106">
        <v>0</v>
      </c>
      <c r="W40" s="2106">
        <v>0</v>
      </c>
      <c r="X40" s="2106">
        <v>0</v>
      </c>
      <c r="Y40" s="2106">
        <v>43251.0004976852</v>
      </c>
      <c r="Z40" s="2107">
        <v>43271.0004976852</v>
      </c>
      <c r="AA40" s="2107">
        <v>43285.0004976852</v>
      </c>
      <c r="AB40" s="2107">
        <v>43285.0004976852</v>
      </c>
      <c r="AC40" s="2106" t="s">
        <v>1386</v>
      </c>
      <c r="AD40" s="2106" t="s">
        <v>1124</v>
      </c>
      <c r="AE40" s="2106" t="s">
        <v>1387</v>
      </c>
      <c r="AF40" s="2106" t="s">
        <v>1388</v>
      </c>
      <c r="AG40" s="2106" t="s">
        <v>1127</v>
      </c>
      <c r="AH40" s="2106">
        <v>180000</v>
      </c>
      <c r="AI40" s="2106">
        <v>54000</v>
      </c>
      <c r="AJ40" s="2106" t="s">
        <v>1295</v>
      </c>
      <c r="AK40" s="2106">
        <v>260000</v>
      </c>
      <c r="AL40" s="2106">
        <v>3299.84</v>
      </c>
      <c r="AM40" s="2106">
        <v>4766.4399999999996</v>
      </c>
      <c r="AN40" s="2106">
        <v>27499</v>
      </c>
      <c r="AO40" s="2106">
        <v>39720</v>
      </c>
      <c r="AP40" s="2106" t="s">
        <v>1122</v>
      </c>
      <c r="AQ40" s="2106" t="s">
        <v>1122</v>
      </c>
      <c r="AR40" s="2106">
        <v>44.44</v>
      </c>
      <c r="AS40" s="2106" t="s">
        <v>1210</v>
      </c>
      <c r="AT40" s="2106" t="s">
        <v>1117</v>
      </c>
      <c r="AU40" s="2106" t="s">
        <v>1122</v>
      </c>
      <c r="AV40" s="2106">
        <v>55583</v>
      </c>
      <c r="AW40" s="2106" t="s">
        <v>1122</v>
      </c>
      <c r="AX40" s="2106" t="s">
        <v>1122</v>
      </c>
      <c r="AY40" s="2106">
        <v>28084</v>
      </c>
    </row>
    <row r="41" spans="1:51">
      <c r="A41" s="2106" t="s">
        <v>1389</v>
      </c>
      <c r="B41" s="2106" t="s">
        <v>342</v>
      </c>
      <c r="C41" s="2106" t="s">
        <v>1390</v>
      </c>
      <c r="D41" s="2106" t="s">
        <v>1108</v>
      </c>
      <c r="E41" s="2106" t="s">
        <v>1109</v>
      </c>
      <c r="F41" s="2106" t="s">
        <v>1145</v>
      </c>
      <c r="G41" s="2106" t="s">
        <v>1298</v>
      </c>
      <c r="H41" s="2106" t="s">
        <v>1112</v>
      </c>
      <c r="I41" s="2106">
        <v>151738.6</v>
      </c>
      <c r="J41" s="2106">
        <v>152374</v>
      </c>
      <c r="K41" s="2106">
        <v>1</v>
      </c>
      <c r="L41" s="2106" t="s">
        <v>1114</v>
      </c>
      <c r="M41" s="2106" t="s">
        <v>1309</v>
      </c>
      <c r="N41" s="2106" t="s">
        <v>1215</v>
      </c>
      <c r="O41" s="2106" t="s">
        <v>1117</v>
      </c>
      <c r="P41" s="2106" t="s">
        <v>1391</v>
      </c>
      <c r="Q41" s="2106" t="s">
        <v>1391</v>
      </c>
      <c r="R41" s="2106" t="s">
        <v>1323</v>
      </c>
      <c r="S41" s="2106" t="s">
        <v>1392</v>
      </c>
      <c r="T41" s="2106" t="s">
        <v>1122</v>
      </c>
      <c r="U41" s="2106">
        <v>0</v>
      </c>
      <c r="V41" s="2106">
        <v>0</v>
      </c>
      <c r="W41" s="2106">
        <v>0</v>
      </c>
      <c r="X41" s="2106">
        <v>0</v>
      </c>
      <c r="Y41" s="2106">
        <v>43238.0004976852</v>
      </c>
      <c r="Z41" s="2107">
        <v>43258.0004976852</v>
      </c>
      <c r="AA41" s="2107">
        <v>43273.0004976852</v>
      </c>
      <c r="AB41" s="2107">
        <v>43273.0004976852</v>
      </c>
      <c r="AC41" s="2106" t="s">
        <v>1393</v>
      </c>
      <c r="AD41" s="2106" t="s">
        <v>1124</v>
      </c>
      <c r="AE41" s="2106" t="s">
        <v>1394</v>
      </c>
      <c r="AF41" s="2106" t="s">
        <v>1395</v>
      </c>
      <c r="AG41" s="2106" t="s">
        <v>1155</v>
      </c>
      <c r="AH41" s="2106">
        <v>460000</v>
      </c>
      <c r="AI41" s="2106">
        <v>140000</v>
      </c>
      <c r="AJ41" s="2106" t="s">
        <v>1295</v>
      </c>
      <c r="AK41" s="2106">
        <v>685400</v>
      </c>
      <c r="AL41" s="2106">
        <v>2021.02</v>
      </c>
      <c r="AM41" s="2106">
        <v>3011.32</v>
      </c>
      <c r="AN41" s="2106">
        <v>30189</v>
      </c>
      <c r="AO41" s="2106">
        <v>44981</v>
      </c>
      <c r="AP41" s="2106" t="s">
        <v>1122</v>
      </c>
      <c r="AQ41" s="2106" t="s">
        <v>1122</v>
      </c>
      <c r="AR41" s="2106">
        <v>49</v>
      </c>
      <c r="AS41" s="2106" t="s">
        <v>1210</v>
      </c>
      <c r="AT41" s="2106" t="s">
        <v>1117</v>
      </c>
      <c r="AU41" s="2106" t="s">
        <v>1122</v>
      </c>
      <c r="AV41" s="2106">
        <v>62102</v>
      </c>
      <c r="AW41" s="2106" t="s">
        <v>1122</v>
      </c>
      <c r="AX41" s="2106" t="s">
        <v>1122</v>
      </c>
      <c r="AY41" s="2106">
        <v>31913</v>
      </c>
    </row>
  </sheetData>
  <phoneticPr fontId="215"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G8" sqref="G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0" t="s">
        <v>3158</v>
      </c>
      <c r="C1" s="2091" t="s">
        <v>1492</v>
      </c>
      <c r="D1" s="146"/>
      <c r="E1" s="146"/>
      <c r="F1" s="146"/>
      <c r="G1" s="2092" t="e">
        <f>MATCH(B1,'数据-取费表'!A6:A16,0)+5</f>
        <v>#N/A</v>
      </c>
      <c r="H1" s="1943" t="str">
        <f>IF(ISERROR(FIND("住宅",B1)),"非住宅","住宅")</f>
        <v>住宅</v>
      </c>
    </row>
    <row r="2" spans="1:8" s="136" customFormat="1" ht="18" customHeight="1">
      <c r="A2" s="148" t="s">
        <v>941</v>
      </c>
      <c r="B2" s="149" t="e">
        <f ca="1">ROUND(IF(D2="——",C52/10000,C52/10000-E2),0)</f>
        <v>#N/A</v>
      </c>
      <c r="C2" s="147" t="s">
        <v>1397</v>
      </c>
      <c r="D2" s="2093" t="s">
        <v>124</v>
      </c>
      <c r="E2" s="2094" t="e">
        <f ca="1">SUMIF(INDIRECT("'"&amp;G2&amp;"'"&amp;"!A:A"),"承租人权益价值",INDIRECT("'"&amp;G2&amp;"'"&amp;"!c:c"))</f>
        <v>#REF!</v>
      </c>
      <c r="F2" s="2095" t="s">
        <v>1397</v>
      </c>
      <c r="G2" s="2096"/>
    </row>
    <row r="3" spans="1:8" s="136" customFormat="1" ht="18" customHeight="1" thickBot="1">
      <c r="A3" s="151" t="s">
        <v>942</v>
      </c>
      <c r="B3" s="152" t="e">
        <f ca="1">ROUND(B2*10000/(IF(B1="",'数据-汇总表'!E3,INDIRECT("'数据-取费表'!k"&amp;$G$1))),0)</f>
        <v>#N/A</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t="e">
        <f ca="1">C6+C7+C8</f>
        <v>#N/A</v>
      </c>
      <c r="D5" s="158" t="s">
        <v>1402</v>
      </c>
      <c r="E5" s="159" t="s">
        <v>1403</v>
      </c>
      <c r="F5" s="159" t="s">
        <v>841</v>
      </c>
      <c r="G5" s="160"/>
    </row>
    <row r="6" spans="1:8" s="138" customFormat="1" ht="13.5" customHeight="1">
      <c r="A6" s="161" t="s">
        <v>1404</v>
      </c>
      <c r="B6" s="162" t="s">
        <v>1405</v>
      </c>
      <c r="C6" s="163" t="e">
        <f ca="1">ROUND('土地比较法-住宅、综合'!B56*'成本法 (元)'!D9,0)</f>
        <v>#N/A</v>
      </c>
      <c r="D6" s="164"/>
      <c r="E6" s="165"/>
      <c r="F6" s="165"/>
      <c r="G6" s="166"/>
    </row>
    <row r="7" spans="1:8" s="138" customFormat="1" ht="13.5" customHeight="1">
      <c r="A7" s="161" t="s">
        <v>1406</v>
      </c>
      <c r="B7" s="162" t="s">
        <v>1407</v>
      </c>
      <c r="C7" s="167" t="e">
        <f ca="1">ROUND(C6*F7,0)</f>
        <v>#N/A</v>
      </c>
      <c r="D7" s="167"/>
      <c r="E7" s="165"/>
      <c r="F7" s="168">
        <f>IF(项目基本情况!B8="出让",0,'数据-取费表'!B48+'数据-取费表'!B49)</f>
        <v>3.0499999999999999E-2</v>
      </c>
      <c r="G7" s="166"/>
    </row>
    <row r="8" spans="1:8" s="139" customFormat="1">
      <c r="A8" s="161" t="s">
        <v>1408</v>
      </c>
      <c r="B8" s="162" t="s">
        <v>1409</v>
      </c>
      <c r="C8" s="167" t="e">
        <f ca="1">IF(G8="已包含在土地购买价格中",0,C9+C10)</f>
        <v>#N/A</v>
      </c>
      <c r="D8" s="169"/>
      <c r="E8" s="167"/>
      <c r="F8" s="168"/>
      <c r="G8" s="2097" t="s">
        <v>3034</v>
      </c>
    </row>
    <row r="9" spans="1:8" s="138" customFormat="1" ht="13.5" customHeight="1">
      <c r="A9" s="171" t="s">
        <v>1410</v>
      </c>
      <c r="B9" s="172" t="s">
        <v>1411</v>
      </c>
      <c r="C9" s="173" t="e">
        <f ca="1">ROUND(D9*E9,0)</f>
        <v>#N/A</v>
      </c>
      <c r="D9" s="174" t="e">
        <f ca="1">IF(B1="",'数据-汇总表'!E5,IF(INDIRECT("'数据-取费表'!c"&amp;$G$1)="住宅",INDIRECT("'数据-取费表'!k"&amp;$G$1),0))</f>
        <v>#N/A</v>
      </c>
      <c r="E9" s="173">
        <f>'数据-取费表'!B27</f>
        <v>160</v>
      </c>
      <c r="F9" s="168"/>
      <c r="G9" s="175"/>
    </row>
    <row r="10" spans="1:8" s="138" customFormat="1" ht="13.5" customHeight="1">
      <c r="A10" s="171" t="s">
        <v>1413</v>
      </c>
      <c r="B10" s="172" t="s">
        <v>1414</v>
      </c>
      <c r="C10" s="173" t="e">
        <f ca="1">ROUND(D10*E10,0)</f>
        <v>#N/A</v>
      </c>
      <c r="D10" s="174" t="e">
        <f ca="1">IF(B1="",'数据-汇总表'!E6,IF(INDIRECT("'数据-取费表'!c"&amp;$G$1)="住宅",INDIRECT("'数据-取费表'!s"&amp;$G$1),INDIRECT("'数据-取费表'!k"&amp;$G$1)+INDIRECT("'数据-取费表'!s"&amp;$G$1)))</f>
        <v>#N/A</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t="e">
        <f ca="1">D9+D10</f>
        <v>#N/A</v>
      </c>
      <c r="E19" s="158">
        <f>'数据-取费表'!B31</f>
        <v>200</v>
      </c>
      <c r="F19" s="180"/>
      <c r="G19" s="2097" t="s">
        <v>1433</v>
      </c>
    </row>
    <row r="20" spans="1:7" s="138" customFormat="1" ht="13.5" customHeight="1">
      <c r="A20" s="156" t="s">
        <v>1434</v>
      </c>
      <c r="B20" s="157" t="s">
        <v>1435</v>
      </c>
      <c r="C20" s="181" t="e">
        <f ca="1">ROUND((C5+C19)*F20,0)</f>
        <v>#N/A</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t="e">
        <f ca="1">ROUND(SUM(C23:C25),0)</f>
        <v>#N/A</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t="e">
        <f ca="1">ROUND(IF('数据-取费表'!B22&lt;=1,C5*F22*'数据-取费表'!B22,C5*(POWER((1+F22),'数据-取费表'!B22)-1)),0)</f>
        <v>#N/A</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t="e">
        <f ca="1">ROUND(IF('数据-取费表'!B22&lt;=1,C20*F22*'数据-取费表'!B22/2,C20*(POWER((1+F22),'数据-取费表'!B22/2)-1)),0)</f>
        <v>#N/A</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t="e">
        <f ca="1">C28</f>
        <v>#N/A</v>
      </c>
      <c r="D27" s="184" t="e">
        <f ca="1">C29</f>
        <v>#N/A</v>
      </c>
      <c r="E27" s="185" t="s">
        <v>1439</v>
      </c>
      <c r="F27" s="199" t="e">
        <f ca="1">IF(B1="",'数据-取费表'!Q16,INDIRECT("'数据-取费表'!q"&amp;$G$1))</f>
        <v>#N/A</v>
      </c>
      <c r="G27" s="200" t="s">
        <v>1453</v>
      </c>
    </row>
    <row r="28" spans="1:7" s="138" customFormat="1" ht="13.5" customHeight="1">
      <c r="A28" s="189" t="s">
        <v>1404</v>
      </c>
      <c r="B28" s="201" t="s">
        <v>1454</v>
      </c>
      <c r="C28" s="202" t="e">
        <f ca="1">ROUND((C5+C19+C20)*F27,0)</f>
        <v>#N/A</v>
      </c>
      <c r="D28" s="184"/>
      <c r="E28" s="185"/>
      <c r="F28" s="199"/>
      <c r="G28" s="200"/>
    </row>
    <row r="29" spans="1:7" s="138" customFormat="1" ht="13.5" customHeight="1">
      <c r="A29" s="189" t="s">
        <v>1406</v>
      </c>
      <c r="B29" s="201" t="s">
        <v>1455</v>
      </c>
      <c r="C29" s="191" t="e">
        <f ca="1">ROUND(C21*F27,4)</f>
        <v>#N/A</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t="e">
        <f ca="1">ROUND((C5+C19+C20+C22+C27)/(1-C21-D22-D27-C30),0)</f>
        <v>#N/A</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t="e">
        <f ca="1">SUM(C34:C38)</f>
        <v>#N/A</v>
      </c>
      <c r="D33" s="181"/>
      <c r="E33" s="159"/>
      <c r="F33" s="194"/>
      <c r="G33" s="186"/>
    </row>
    <row r="34" spans="1:7" s="140" customFormat="1" ht="13.5" customHeight="1">
      <c r="A34" s="189" t="s">
        <v>1404</v>
      </c>
      <c r="B34" s="162" t="s">
        <v>1463</v>
      </c>
      <c r="C34" s="167" t="e">
        <f ca="1">ROUND(IF(B1="",SUMPRODUCT('数据-取费表'!K6:K14,'数据-取费表'!L6:L14),INDIRECT("'数据-取费表'!l"&amp;$G$1)*INDIRECT("'数据-取费表'!k"&amp;$G$1)+'数据-取费表'!L14*INDIRECT("'数据-取费表'!S"&amp;$G$1)),0)</f>
        <v>#N/A</v>
      </c>
      <c r="D34" s="164"/>
      <c r="E34" s="167"/>
      <c r="F34" s="210"/>
      <c r="G34" s="166"/>
    </row>
    <row r="35" spans="1:7" ht="13.5" customHeight="1">
      <c r="A35" s="189" t="s">
        <v>1406</v>
      </c>
      <c r="B35" s="162" t="s">
        <v>1465</v>
      </c>
      <c r="C35" s="167" t="e">
        <f ca="1">ROUND(C34*F35,0)</f>
        <v>#N/A</v>
      </c>
      <c r="D35" s="167"/>
      <c r="E35" s="167"/>
      <c r="F35" s="211">
        <f>'数据-取费表'!B33</f>
        <v>0.03</v>
      </c>
      <c r="G35" s="166" t="s">
        <v>1466</v>
      </c>
    </row>
    <row r="36" spans="1:7" ht="24">
      <c r="A36" s="189" t="s">
        <v>1408</v>
      </c>
      <c r="B36" s="162" t="s">
        <v>1467</v>
      </c>
      <c r="C36" s="167" t="e">
        <f ca="1">ROUND(IF(B1="",SUM('数据-取费表'!AP6:AP13)*F36,IF(INDIRECT("'数据-取费表'!c"&amp;$G$1)="住宅",INDIRECT("'数据-取费表'!k"&amp;$G$1)*INDIRECT("'数据-取费表'!l"&amp;$G$1)*F36,0)),0)</f>
        <v>#N/A</v>
      </c>
      <c r="D36" s="167"/>
      <c r="E36" s="167"/>
      <c r="F36" s="211">
        <f>'数据-取费表'!B34</f>
        <v>0.05</v>
      </c>
      <c r="G36" s="212" t="s">
        <v>1468</v>
      </c>
    </row>
    <row r="37" spans="1:7" s="140" customFormat="1" ht="13.5" customHeight="1">
      <c r="A37" s="189" t="s">
        <v>1449</v>
      </c>
      <c r="B37" s="162" t="s">
        <v>1469</v>
      </c>
      <c r="C37" s="202" t="e">
        <f ca="1">ROUND(E37*D37,0)</f>
        <v>#N/A</v>
      </c>
      <c r="D37" s="164" t="e">
        <f ca="1">D19</f>
        <v>#N/A</v>
      </c>
      <c r="E37" s="202">
        <f>'数据-取费表'!B35</f>
        <v>200</v>
      </c>
      <c r="F37" s="211"/>
      <c r="G37" s="213"/>
    </row>
    <row r="38" spans="1:7" ht="13.5" customHeight="1">
      <c r="A38" s="189" t="s">
        <v>1471</v>
      </c>
      <c r="B38" s="162" t="s">
        <v>878</v>
      </c>
      <c r="C38" s="167" t="e">
        <f ca="1">ROUND(C34*F38,0)</f>
        <v>#N/A</v>
      </c>
      <c r="D38" s="167"/>
      <c r="E38" s="167"/>
      <c r="F38" s="211">
        <f>'数据-取费表'!B36</f>
        <v>1.4999999999999999E-2</v>
      </c>
      <c r="G38" s="166" t="s">
        <v>1466</v>
      </c>
    </row>
    <row r="39" spans="1:7" s="138" customFormat="1" ht="13.5" customHeight="1">
      <c r="A39" s="156" t="s">
        <v>1431</v>
      </c>
      <c r="B39" s="157" t="s">
        <v>1435</v>
      </c>
      <c r="C39" s="181" t="e">
        <f ca="1">ROUND(C33*F20,0)</f>
        <v>#N/A</v>
      </c>
      <c r="D39" s="181"/>
      <c r="E39" s="181"/>
      <c r="F39" s="2098">
        <f>F20</f>
        <v>0.02</v>
      </c>
      <c r="G39" s="186" t="s">
        <v>1472</v>
      </c>
    </row>
    <row r="40" spans="1:7" s="138" customFormat="1" ht="13.5" customHeight="1">
      <c r="A40" s="156" t="s">
        <v>1434</v>
      </c>
      <c r="B40" s="157" t="s">
        <v>1438</v>
      </c>
      <c r="C40" s="184">
        <f>F21</f>
        <v>0.02</v>
      </c>
      <c r="D40" s="185" t="s">
        <v>1473</v>
      </c>
      <c r="E40" s="181"/>
      <c r="F40" s="2098">
        <f>F21</f>
        <v>0.02</v>
      </c>
      <c r="G40" s="186" t="s">
        <v>1474</v>
      </c>
    </row>
    <row r="41" spans="1:7" s="138" customFormat="1" ht="13.5" customHeight="1">
      <c r="A41" s="156" t="s">
        <v>1437</v>
      </c>
      <c r="B41" s="157" t="s">
        <v>1442</v>
      </c>
      <c r="C41" s="181" t="e">
        <f ca="1">ROUND(SUM(C42:C43),0)</f>
        <v>#N/A</v>
      </c>
      <c r="D41" s="184">
        <f>C44</f>
        <v>1E-3</v>
      </c>
      <c r="E41" s="185" t="s">
        <v>1473</v>
      </c>
      <c r="F41" s="2099">
        <f>F22</f>
        <v>3.4500000000000003E-2</v>
      </c>
      <c r="G41" s="186" t="str">
        <f>IF('数据-取费表'!B22&lt;=1,"单利计息","复利计息")</f>
        <v>复利计息</v>
      </c>
    </row>
    <row r="42" spans="1:7" ht="13.5" customHeight="1">
      <c r="A42" s="189" t="s">
        <v>1404</v>
      </c>
      <c r="B42" s="162" t="s">
        <v>1443</v>
      </c>
      <c r="C42" s="191" t="e">
        <f ca="1">ROUND(IF('数据-取费表'!B22&lt;=1,C33*F22*'数据-取费表'!B20/2,C33*(POWER((1+F22),'数据-取费表'!B20/2)-1)),0)</f>
        <v>#N/A</v>
      </c>
      <c r="D42" s="191"/>
      <c r="E42" s="191"/>
      <c r="F42" s="192"/>
      <c r="G42" s="3312" t="s">
        <v>1495</v>
      </c>
    </row>
    <row r="43" spans="1:7" ht="13.5" customHeight="1">
      <c r="A43" s="189" t="s">
        <v>1406</v>
      </c>
      <c r="B43" s="162" t="s">
        <v>1445</v>
      </c>
      <c r="C43" s="191" t="e">
        <f ca="1">ROUND(IF('数据-取费表'!B22&lt;=1,C39*F22*'数据-取费表'!B20/2,C39*(POWER((1+F22),'数据-取费表'!B20/2)-1)),0)</f>
        <v>#N/A</v>
      </c>
      <c r="D43" s="191"/>
      <c r="E43" s="191"/>
      <c r="F43" s="192"/>
      <c r="G43" s="3313"/>
    </row>
    <row r="44" spans="1:7" ht="13.5" customHeight="1">
      <c r="A44" s="189" t="s">
        <v>1408</v>
      </c>
      <c r="B44" s="162" t="s">
        <v>1447</v>
      </c>
      <c r="C44" s="191">
        <f>ROUND(IF('数据-取费表'!B22&lt;=1,C40*F22*'数据-取费表'!B20/2,C40*(POWER((1+F22),'数据-取费表'!B20/2)-1)),4)</f>
        <v>1E-3</v>
      </c>
      <c r="D44" s="191"/>
      <c r="E44" s="191"/>
      <c r="F44" s="192"/>
      <c r="G44" s="3314"/>
    </row>
    <row r="45" spans="1:7" s="138" customFormat="1" ht="13.5" customHeight="1">
      <c r="A45" s="156" t="s">
        <v>1441</v>
      </c>
      <c r="B45" s="197" t="s">
        <v>1452</v>
      </c>
      <c r="C45" s="198" t="e">
        <f ca="1">C46</f>
        <v>#N/A</v>
      </c>
      <c r="D45" s="184" t="e">
        <f ca="1">C47</f>
        <v>#N/A</v>
      </c>
      <c r="E45" s="185" t="s">
        <v>1473</v>
      </c>
      <c r="F45" s="2100" t="e">
        <f ca="1">F27</f>
        <v>#N/A</v>
      </c>
      <c r="G45" s="200" t="s">
        <v>1476</v>
      </c>
    </row>
    <row r="46" spans="1:7" s="138" customFormat="1" ht="13.5" customHeight="1">
      <c r="A46" s="189" t="s">
        <v>1404</v>
      </c>
      <c r="B46" s="201" t="s">
        <v>1477</v>
      </c>
      <c r="C46" s="202" t="e">
        <f ca="1">ROUND((C33+C39)*F27,0)</f>
        <v>#N/A</v>
      </c>
      <c r="D46" s="215"/>
      <c r="E46" s="185"/>
      <c r="F46" s="199"/>
      <c r="G46" s="200"/>
    </row>
    <row r="47" spans="1:7" s="138" customFormat="1" ht="13.5" customHeight="1">
      <c r="A47" s="189" t="s">
        <v>1406</v>
      </c>
      <c r="B47" s="201" t="s">
        <v>1478</v>
      </c>
      <c r="C47" s="191" t="e">
        <f ca="1">ROUND(C40*F27,4)</f>
        <v>#N/A</v>
      </c>
      <c r="D47" s="215"/>
      <c r="E47" s="185"/>
      <c r="F47" s="199"/>
      <c r="G47" s="200"/>
    </row>
    <row r="48" spans="1:7" s="138" customFormat="1" ht="13.5" customHeight="1">
      <c r="A48" s="156" t="s">
        <v>1451</v>
      </c>
      <c r="B48" s="157" t="s">
        <v>1457</v>
      </c>
      <c r="C48" s="214">
        <f>ROUND(F30/(1+'数据-取费表'!C42),4)</f>
        <v>5.2400000000000002E-2</v>
      </c>
      <c r="D48" s="185" t="s">
        <v>1473</v>
      </c>
      <c r="E48" s="181"/>
      <c r="F48" s="2099">
        <f>F30</f>
        <v>5.5E-2</v>
      </c>
      <c r="G48" s="186" t="s">
        <v>1479</v>
      </c>
    </row>
    <row r="49" spans="1:7" ht="16.5" customHeight="1">
      <c r="A49" s="156" t="s">
        <v>1456</v>
      </c>
      <c r="B49" s="157" t="s">
        <v>1496</v>
      </c>
      <c r="C49" s="181" t="e">
        <f ca="1">ROUND((C33+C39+C41+C45)/(1-C40-D41-D45-C48),0)</f>
        <v>#N/A</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t="e">
        <f ca="1">ROUND(C49*F50,0)</f>
        <v>#N/A</v>
      </c>
      <c r="D51" s="181"/>
      <c r="E51" s="181"/>
      <c r="F51" s="216"/>
      <c r="G51" s="186" t="s">
        <v>1487</v>
      </c>
    </row>
    <row r="52" spans="1:7" s="137" customFormat="1" ht="16.5" thickBot="1">
      <c r="A52" s="217" t="s">
        <v>1488</v>
      </c>
      <c r="B52" s="218"/>
      <c r="C52" s="219" t="e">
        <f ca="1">C31+C51</f>
        <v>#N/A</v>
      </c>
      <c r="D52" s="218"/>
      <c r="E52" s="218"/>
      <c r="F52" s="218"/>
      <c r="G52" s="220"/>
    </row>
    <row r="55" spans="1:7" ht="15">
      <c r="B55" s="221" t="s">
        <v>1489</v>
      </c>
      <c r="C55" s="222"/>
    </row>
    <row r="56" spans="1:7">
      <c r="B56" s="223" t="s">
        <v>1490</v>
      </c>
      <c r="C56" s="225" t="e">
        <f ca="1">1-C57</f>
        <v>#N/A</v>
      </c>
    </row>
    <row r="57" spans="1:7">
      <c r="B57" s="223" t="s">
        <v>1491</v>
      </c>
      <c r="C57" s="224" t="e">
        <f ca="1">ROUND(C51/C52,3)</f>
        <v>#N/A</v>
      </c>
    </row>
  </sheetData>
  <sheetProtection password="CEE9" sheet="1" objects="1" scenarios="1" formatCells="0"/>
  <mergeCells count="1">
    <mergeCell ref="G42:G44"/>
  </mergeCells>
  <phoneticPr fontId="2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N40" sqref="N40"/>
    </sheetView>
  </sheetViews>
  <sheetFormatPr defaultColWidth="6.625" defaultRowHeight="12.75"/>
  <cols>
    <col min="1" max="1" width="9.75" style="323" customWidth="1"/>
    <col min="2" max="2" width="25.75" style="2005" customWidth="1"/>
    <col min="3" max="3" width="10.375" style="2006" customWidth="1"/>
    <col min="4" max="4" width="9.875" style="2005" customWidth="1"/>
    <col min="5" max="5" width="9.5" style="323"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spans="1:33" ht="20.25">
      <c r="A1" s="144" t="s">
        <v>1498</v>
      </c>
      <c r="B1" s="274"/>
      <c r="C1" s="2007"/>
      <c r="D1" s="2008"/>
      <c r="E1" s="2009"/>
      <c r="F1" s="2009"/>
      <c r="G1" s="2010"/>
      <c r="H1" s="2009"/>
      <c r="I1" s="2009"/>
      <c r="J1" s="2009"/>
      <c r="K1" s="2078">
        <f>MATCH(C1,'数据-取费表'!A6:A16,0)+5</f>
        <v>10</v>
      </c>
    </row>
    <row r="2" spans="1:33" ht="18" customHeight="1">
      <c r="A2" s="148" t="s">
        <v>941</v>
      </c>
      <c r="B2" s="152">
        <f ca="1">C32</f>
        <v>145809</v>
      </c>
      <c r="C2" s="2011" t="s">
        <v>1499</v>
      </c>
      <c r="D2" s="2011"/>
      <c r="E2" s="2009"/>
      <c r="F2" s="2009"/>
      <c r="G2" s="2009"/>
      <c r="H2" s="2009"/>
      <c r="I2" s="2009"/>
      <c r="J2" s="2009"/>
      <c r="K2" s="2009"/>
    </row>
    <row r="3" spans="1:33" ht="18" customHeight="1">
      <c r="A3" s="151" t="s">
        <v>942</v>
      </c>
      <c r="B3" s="152">
        <f ca="1">ROUND(B2*10000/IF(C1="",'数据-汇总表'!E3,INDIRECT("'数据-取费表'!K"&amp;$K$1)),0)</f>
        <v>20165</v>
      </c>
      <c r="C3" s="2011" t="s">
        <v>1500</v>
      </c>
      <c r="D3" s="2011"/>
      <c r="E3" s="2009"/>
      <c r="F3" s="2009"/>
      <c r="G3" s="2009"/>
      <c r="H3" s="2009"/>
      <c r="I3" s="2009"/>
      <c r="J3" s="2009"/>
      <c r="K3" s="2009"/>
    </row>
    <row r="4" spans="1:33" s="1997" customFormat="1" ht="16.5" customHeight="1">
      <c r="A4" s="2012" t="s">
        <v>1501</v>
      </c>
      <c r="B4" s="2013"/>
      <c r="C4" s="2014">
        <f ca="1">SUM(C8:K8)</f>
        <v>161672</v>
      </c>
      <c r="D4" s="2013"/>
      <c r="E4" s="2013"/>
      <c r="F4" s="2013"/>
      <c r="G4" s="2013"/>
      <c r="H4" s="2013"/>
      <c r="I4" s="2013"/>
      <c r="J4" s="2013"/>
      <c r="K4" s="2079"/>
    </row>
    <row r="5" spans="1:33" s="1998" customFormat="1" ht="15">
      <c r="A5" s="2015" t="s">
        <v>1502</v>
      </c>
      <c r="B5" s="2016" t="s">
        <v>1503</v>
      </c>
      <c r="C5" s="2017" t="s">
        <v>463</v>
      </c>
      <c r="D5" s="2017" t="s">
        <v>466</v>
      </c>
      <c r="E5" s="2017" t="s">
        <v>464</v>
      </c>
      <c r="F5" s="2017" t="s">
        <v>491</v>
      </c>
      <c r="G5" s="2017"/>
      <c r="H5" s="2017"/>
      <c r="I5" s="2017"/>
      <c r="J5" s="2017"/>
      <c r="K5" s="2017"/>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pans="1:33" s="231" customFormat="1" ht="13.5" customHeight="1">
      <c r="A6" s="2018" t="s">
        <v>846</v>
      </c>
      <c r="B6" s="1676" t="s">
        <v>1504</v>
      </c>
      <c r="C6" s="2019">
        <f>典型户型修正!R22</f>
        <v>27300</v>
      </c>
      <c r="D6" s="2019">
        <f ca="1">收益法商!B3</f>
        <v>15362</v>
      </c>
      <c r="E6" s="2019">
        <v>0</v>
      </c>
      <c r="F6" s="2019">
        <f>'比较法-车位'!B3</f>
        <v>2921</v>
      </c>
      <c r="G6" s="2019"/>
      <c r="H6" s="2019"/>
      <c r="I6" s="2019"/>
      <c r="J6" s="2019"/>
      <c r="K6" s="2081"/>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8" t="s">
        <v>850</v>
      </c>
      <c r="B7" s="1676" t="s">
        <v>362</v>
      </c>
      <c r="C7" s="2020">
        <f>SUMIF('数据-汇总表'!$C19:$C33,假设开发法!C5,'数据-汇总表'!$E19:$E33)</f>
        <v>56359.41</v>
      </c>
      <c r="D7" s="2020">
        <f>SUMIF('数据-汇总表'!$C19:$C33,假设开发法!D5,'数据-汇总表'!$E19:$E33)</f>
        <v>2338.25</v>
      </c>
      <c r="E7" s="2020">
        <f>SUMIF('数据-汇总表'!$C19:$C33,假设开发法!E5,'数据-汇总表'!$E19:$E33)</f>
        <v>0</v>
      </c>
      <c r="F7" s="2020">
        <f>SUMIF('数据-汇总表'!$C19:$C33,假设开发法!F5,'数据-汇总表'!$E19:$E33)</f>
        <v>13611.27</v>
      </c>
      <c r="G7" s="2020">
        <f>SUMIF('数据-汇总表'!$C19:$C33,假设开发法!G5,'数据-汇总表'!$E19:$E33)</f>
        <v>0</v>
      </c>
      <c r="H7" s="2020">
        <f>SUMIF('数据-汇总表'!$C19:$C33,假设开发法!H5,'数据-汇总表'!$E19:$E33)</f>
        <v>0</v>
      </c>
      <c r="I7" s="2020">
        <f>SUMIF('数据-汇总表'!$C19:$C33,假设开发法!I5,'数据-汇总表'!$E19:$E33)</f>
        <v>0</v>
      </c>
      <c r="J7" s="2020">
        <f>SUMIF('数据-汇总表'!$C19:$C33,假设开发法!J5,'数据-汇总表'!$E19:$E33)</f>
        <v>0</v>
      </c>
      <c r="K7" s="2082">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1" t="s">
        <v>898</v>
      </c>
      <c r="B8" s="2022" t="s">
        <v>1505</v>
      </c>
      <c r="C8" s="2023">
        <f>典型户型修正!S22</f>
        <v>154104</v>
      </c>
      <c r="D8" s="2023">
        <f ca="1">收益法商!B2</f>
        <v>3592</v>
      </c>
      <c r="E8" s="2023">
        <v>0</v>
      </c>
      <c r="F8" s="2023">
        <f>'比较法-车位'!B2</f>
        <v>3976</v>
      </c>
      <c r="G8" s="2024"/>
      <c r="H8" s="2024"/>
      <c r="I8" s="2024"/>
      <c r="J8" s="2024"/>
      <c r="K8" s="2083"/>
      <c r="L8" s="232"/>
      <c r="M8" s="232"/>
      <c r="N8" s="232"/>
      <c r="O8" s="232"/>
      <c r="P8" s="232"/>
      <c r="Q8" s="232"/>
      <c r="R8" s="232"/>
      <c r="S8" s="232"/>
      <c r="T8" s="232"/>
      <c r="U8" s="232"/>
      <c r="V8" s="232"/>
      <c r="W8" s="232"/>
      <c r="X8" s="232"/>
      <c r="Y8" s="232"/>
      <c r="Z8" s="232"/>
      <c r="AA8" s="232"/>
      <c r="AB8" s="232"/>
      <c r="AC8" s="232"/>
      <c r="AD8" s="232"/>
      <c r="AE8" s="232"/>
      <c r="AF8" s="232"/>
      <c r="AG8" s="232"/>
    </row>
    <row r="9" spans="1:33" s="1997" customFormat="1" ht="16.5" customHeight="1">
      <c r="A9" s="2012" t="s">
        <v>1506</v>
      </c>
      <c r="B9" s="2013"/>
      <c r="C9" s="2013"/>
      <c r="D9" s="2013"/>
      <c r="E9" s="2013"/>
      <c r="F9" s="2013"/>
      <c r="G9" s="2013"/>
      <c r="H9" s="2013"/>
      <c r="I9" s="2013"/>
      <c r="J9" s="2013"/>
      <c r="K9" s="2079"/>
    </row>
    <row r="10" spans="1:33" s="1999" customFormat="1" ht="13.5" customHeight="1">
      <c r="A10" s="2015" t="s">
        <v>1502</v>
      </c>
      <c r="B10" s="2025" t="s">
        <v>1503</v>
      </c>
      <c r="C10" s="2026" t="s">
        <v>1507</v>
      </c>
      <c r="D10" s="2027" t="s">
        <v>1508</v>
      </c>
      <c r="E10" s="2027" t="s">
        <v>1509</v>
      </c>
      <c r="F10" s="2027" t="s">
        <v>1510</v>
      </c>
      <c r="G10" s="2025"/>
      <c r="H10" s="2028"/>
      <c r="I10" s="2028"/>
      <c r="J10" s="2028"/>
      <c r="K10" s="2084"/>
    </row>
    <row r="11" spans="1:33" s="2000" customFormat="1" ht="13.5" customHeight="1">
      <c r="A11" s="2029" t="s">
        <v>1410</v>
      </c>
      <c r="B11" s="2030" t="s">
        <v>1511</v>
      </c>
      <c r="C11" s="2031">
        <f ca="1">IF(C1="",'数据-取费表'!P16,INDIRECT("'数据-取费表'!p"&amp;$K$1)+INDIRECT("'数据-取费表'!ar"&amp;$K$1))</f>
        <v>1238</v>
      </c>
      <c r="D11" s="2032"/>
      <c r="E11" s="233"/>
      <c r="F11" s="2033">
        <f ca="1">1-IF('数据-取费表'!B24=0,1,IF(C1="",'数据-取费表'!N16,INDIRECT("'数据-取费表'!n"&amp;$K$1)))</f>
        <v>4.0000000000000036E-2</v>
      </c>
      <c r="G11" s="2025"/>
      <c r="H11" s="2028"/>
      <c r="I11" s="2028"/>
      <c r="J11" s="2028"/>
      <c r="K11" s="2084"/>
    </row>
    <row r="12" spans="1:33" s="2000" customFormat="1" ht="13.5" customHeight="1">
      <c r="A12" s="2029" t="s">
        <v>1413</v>
      </c>
      <c r="B12" s="2030" t="s">
        <v>1512</v>
      </c>
      <c r="C12" s="285">
        <f ca="1">ROUND(C11*F12,0)</f>
        <v>37</v>
      </c>
      <c r="D12" s="2032"/>
      <c r="E12" s="233"/>
      <c r="F12" s="2034">
        <f>'数据-取费表'!B33</f>
        <v>0.03</v>
      </c>
      <c r="G12" s="2025" t="s">
        <v>1513</v>
      </c>
      <c r="H12" s="2028"/>
      <c r="I12" s="2028"/>
      <c r="J12" s="2028"/>
      <c r="K12" s="2084"/>
    </row>
    <row r="13" spans="1:33" s="2000" customFormat="1" ht="13.5" customHeight="1">
      <c r="A13" s="2029" t="s">
        <v>1514</v>
      </c>
      <c r="B13" s="2030" t="s">
        <v>1515</v>
      </c>
      <c r="C13" s="285">
        <f ca="1">ROUND(IF(C1="",SUMIF('数据-取费表'!C:C,"住宅",'数据-取费表'!P:P)*F13,IF(INDIRECT("'数据-取费表'!c"&amp;$K$1)="住宅",INDIRECT("'数据-取费表'!P"&amp;$K$1)*F13,0)),0)</f>
        <v>51</v>
      </c>
      <c r="D13" s="2035"/>
      <c r="E13" s="233"/>
      <c r="F13" s="2034">
        <f>'数据-取费表'!B34</f>
        <v>0.05</v>
      </c>
      <c r="G13" s="2025" t="s">
        <v>1516</v>
      </c>
      <c r="H13" s="2028"/>
      <c r="I13" s="2028"/>
      <c r="J13" s="2028"/>
      <c r="K13" s="2084"/>
    </row>
    <row r="14" spans="1:33" s="2001" customFormat="1" ht="13.5" customHeight="1">
      <c r="A14" s="2029" t="s">
        <v>1517</v>
      </c>
      <c r="B14" s="2030" t="s">
        <v>1518</v>
      </c>
      <c r="C14" s="285">
        <f ca="1">ROUND(D14*E14*F11/10000,0)</f>
        <v>58</v>
      </c>
      <c r="D14" s="2035">
        <f ca="1">IF(C1="",'数据-汇总表'!E3,INDIRECT("'数据-取费表'!K"&amp;$K$1)+INDIRECT("'数据-取费表'!S"&amp;$K$1))</f>
        <v>72308.930000000008</v>
      </c>
      <c r="E14" s="285">
        <f>'数据-取费表'!B35</f>
        <v>200</v>
      </c>
      <c r="F14" s="2034"/>
      <c r="G14" s="2025" t="s">
        <v>1519</v>
      </c>
      <c r="H14" s="2028"/>
      <c r="I14" s="2028"/>
      <c r="J14" s="2028"/>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pans="1:33" s="2001" customFormat="1" ht="13.5" customHeight="1">
      <c r="A15" s="2029" t="s">
        <v>1520</v>
      </c>
      <c r="B15" s="2030" t="s">
        <v>1521</v>
      </c>
      <c r="C15" s="2036">
        <f ca="1">ROUND(C11*F15,0)</f>
        <v>19</v>
      </c>
      <c r="D15" s="2037"/>
      <c r="E15" s="2036"/>
      <c r="F15" s="2038">
        <f>'数据-取费表'!B36</f>
        <v>1.4999999999999999E-2</v>
      </c>
      <c r="G15" s="1676" t="s">
        <v>1522</v>
      </c>
      <c r="H15" s="1786"/>
      <c r="I15" s="1786"/>
      <c r="J15" s="1786"/>
      <c r="K15" s="1787"/>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pans="1:33" s="2001" customFormat="1" ht="13.5" customHeight="1">
      <c r="A16" s="2029" t="s">
        <v>869</v>
      </c>
      <c r="B16" s="2030" t="s">
        <v>1523</v>
      </c>
      <c r="C16" s="2036">
        <f ca="1">SUM(C11:C15)</f>
        <v>1403</v>
      </c>
      <c r="D16" s="2037"/>
      <c r="E16" s="2036"/>
      <c r="F16" s="2038"/>
      <c r="G16" s="1676"/>
      <c r="H16" s="2039"/>
      <c r="I16" s="1786"/>
      <c r="J16" s="1786"/>
      <c r="K16" s="1787"/>
      <c r="L16" s="2000"/>
      <c r="M16" s="2000">
        <f>F8*0.7</f>
        <v>2783.2</v>
      </c>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pans="1:33" s="2001" customFormat="1" ht="13.5" customHeight="1">
      <c r="A17" s="2029" t="s">
        <v>873</v>
      </c>
      <c r="B17" s="2030" t="s">
        <v>1524</v>
      </c>
      <c r="C17" s="285">
        <f ca="1">ROUND(D17*E17/10000,0)</f>
        <v>0</v>
      </c>
      <c r="D17" s="2035">
        <f ca="1">D14</f>
        <v>72308.930000000008</v>
      </c>
      <c r="E17" s="285">
        <f>'数据-取费表'!B32</f>
        <v>0</v>
      </c>
      <c r="F17" s="2037"/>
      <c r="G17" s="1676" t="s">
        <v>1525</v>
      </c>
      <c r="H17" s="2039"/>
      <c r="I17" s="1786"/>
      <c r="J17" s="1786"/>
      <c r="K17" s="1787"/>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pans="1:33" s="2000" customFormat="1" ht="13.5" customHeight="1">
      <c r="A18" s="2029" t="s">
        <v>1526</v>
      </c>
      <c r="B18" s="2030" t="s">
        <v>1527</v>
      </c>
      <c r="C18" s="285">
        <f ca="1">C19+C20-IF(C1="",'数据-取费表'!B29,IF(G18="已全部缴纳",C19+C20,H18))</f>
        <v>0</v>
      </c>
      <c r="D18" s="2035"/>
      <c r="E18" s="285"/>
      <c r="F18" s="2034"/>
      <c r="G18" s="2040"/>
      <c r="H18" s="2041"/>
      <c r="I18" s="2085" t="s">
        <v>1528</v>
      </c>
      <c r="J18" s="1786"/>
      <c r="K18" s="1787"/>
    </row>
    <row r="19" spans="1:33" s="2000" customFormat="1" ht="13.5" customHeight="1">
      <c r="A19" s="2029" t="s">
        <v>1410</v>
      </c>
      <c r="B19" s="2030" t="s">
        <v>350</v>
      </c>
      <c r="C19" s="285">
        <f ca="1">ROUND(D19*E19/10000,0)</f>
        <v>902</v>
      </c>
      <c r="D19" s="2035">
        <f ca="1">IF(C1="",'数据-汇总表'!E5,IF(INDIRECT("'数据-取费表'!c"&amp;$K$1)="住宅",INDIRECT("'数据-取费表'!k"&amp;$K$1),0))</f>
        <v>56359.41</v>
      </c>
      <c r="E19" s="285">
        <f>'数据-取费表'!B27</f>
        <v>160</v>
      </c>
      <c r="F19" s="2034"/>
      <c r="G19" s="1785"/>
      <c r="H19" s="2042"/>
      <c r="I19" s="2043"/>
      <c r="J19" s="2043"/>
      <c r="K19" s="2086"/>
    </row>
    <row r="20" spans="1:33" s="2000" customFormat="1" ht="13.5" customHeight="1">
      <c r="A20" s="2029" t="s">
        <v>1413</v>
      </c>
      <c r="B20" s="2030" t="s">
        <v>1529</v>
      </c>
      <c r="C20" s="285">
        <f ca="1">ROUND(D20*E20/10000,0)</f>
        <v>319</v>
      </c>
      <c r="D20" s="2035">
        <f ca="1">IF(C1="",'数据-汇总表'!E6,IF(INDIRECT("'数据-取费表'!c"&amp;$K$1)="住宅",INDIRECT("'数据-取费表'!s"&amp;$K$1),INDIRECT("'数据-取费表'!k"&amp;$K$1)+INDIRECT("'数据-取费表'!s"&amp;$K$1)))</f>
        <v>15949.520000000004</v>
      </c>
      <c r="E20" s="285">
        <f>'数据-取费表'!B28</f>
        <v>200</v>
      </c>
      <c r="F20" s="2034"/>
      <c r="G20" s="1785"/>
      <c r="H20" s="2043"/>
      <c r="I20" s="2043"/>
      <c r="J20" s="2043"/>
      <c r="K20" s="2086"/>
    </row>
    <row r="21" spans="1:33" s="2000" customFormat="1" ht="13.5" customHeight="1">
      <c r="A21" s="2018" t="s">
        <v>846</v>
      </c>
      <c r="B21" s="2044" t="s">
        <v>1530</v>
      </c>
      <c r="C21" s="2045">
        <f ca="1">C16+C17+C18</f>
        <v>1403</v>
      </c>
      <c r="D21" s="2046"/>
      <c r="E21" s="2047"/>
      <c r="F21" s="2047"/>
      <c r="G21" s="1676" t="s">
        <v>1531</v>
      </c>
      <c r="H21" s="1786"/>
      <c r="I21" s="1786"/>
      <c r="J21" s="1786"/>
      <c r="K21" s="1787"/>
      <c r="M21" s="2000">
        <f ca="1">结果表!G19-16000</f>
        <v>143143</v>
      </c>
    </row>
    <row r="22" spans="1:33" s="2000" customFormat="1" ht="13.5" customHeight="1">
      <c r="A22" s="2018" t="s">
        <v>850</v>
      </c>
      <c r="B22" s="2044" t="s">
        <v>1532</v>
      </c>
      <c r="C22" s="2045">
        <f ca="1">ROUND(C21*F22,0)</f>
        <v>28</v>
      </c>
      <c r="D22" s="2047"/>
      <c r="E22" s="2047"/>
      <c r="F22" s="2048">
        <f>'数据-取费表'!B37</f>
        <v>0.02</v>
      </c>
      <c r="G22" s="2025" t="s">
        <v>1533</v>
      </c>
      <c r="H22" s="2028"/>
      <c r="I22" s="2028"/>
      <c r="J22" s="2028"/>
      <c r="K22" s="2084"/>
      <c r="M22" s="2000">
        <f ca="1">M21/'数据-汇总表'!F31</f>
        <v>2.4386491727268171</v>
      </c>
    </row>
    <row r="23" spans="1:33" s="2000" customFormat="1" ht="13.5" customHeight="1">
      <c r="A23" s="2018" t="s">
        <v>898</v>
      </c>
      <c r="B23" s="2044" t="s">
        <v>1534</v>
      </c>
      <c r="C23" s="2045">
        <f ca="1">ROUND(C4*F23*F11,0)</f>
        <v>129</v>
      </c>
      <c r="D23" s="2047"/>
      <c r="E23" s="2047"/>
      <c r="F23" s="2048">
        <f>'数据-取费表'!B38</f>
        <v>0.02</v>
      </c>
      <c r="G23" s="2025" t="s">
        <v>1535</v>
      </c>
      <c r="H23" s="2028"/>
      <c r="I23" s="2028"/>
      <c r="J23" s="2028"/>
      <c r="K23" s="2084"/>
    </row>
    <row r="24" spans="1:33" s="2000" customFormat="1" ht="13.5" customHeight="1">
      <c r="A24" s="2018" t="s">
        <v>901</v>
      </c>
      <c r="B24" s="2044" t="s">
        <v>1536</v>
      </c>
      <c r="C24" s="2049">
        <f>ROUND(F24/(1+'数据-取费表'!C42),4)</f>
        <v>2.9000000000000001E-2</v>
      </c>
      <c r="D24" s="2047" t="s">
        <v>1537</v>
      </c>
      <c r="E24" s="2047"/>
      <c r="F24" s="2048">
        <f>IF(项目基本情况!B8="出让",0,'数据-取费表'!B48+'数据-取费表'!B49)</f>
        <v>3.0499999999999999E-2</v>
      </c>
      <c r="G24" s="2025" t="s">
        <v>1538</v>
      </c>
      <c r="H24" s="2050"/>
      <c r="I24" s="2050"/>
      <c r="J24" s="2050"/>
      <c r="K24" s="2087"/>
    </row>
    <row r="25" spans="1:33" s="2000" customFormat="1" ht="13.5" customHeight="1">
      <c r="A25" s="2018" t="s">
        <v>905</v>
      </c>
      <c r="B25" s="2046" t="s">
        <v>1539</v>
      </c>
      <c r="C25" s="2051">
        <f ca="1">C27</f>
        <v>3</v>
      </c>
      <c r="D25" s="2049">
        <f>C26</f>
        <v>4.1999999999999997E-3</v>
      </c>
      <c r="E25" s="2052" t="s">
        <v>1537</v>
      </c>
      <c r="F25" s="2053">
        <f>'数据-取费表'!B40</f>
        <v>3.4500000000000003E-2</v>
      </c>
      <c r="G25" s="1676" t="str">
        <f>IF('数据-取费表'!B22&lt;=1,"单利计息。","复利计息。")&amp;"后续开发成本、管理费用及销售费用产生的利息。"</f>
        <v>复利计息。后续开发成本、管理费用及销售费用产生的利息。</v>
      </c>
      <c r="H25" s="2050"/>
      <c r="I25" s="2050"/>
      <c r="J25" s="2050"/>
      <c r="K25" s="2087"/>
    </row>
    <row r="26" spans="1:33" s="2002" customFormat="1" ht="13.5" customHeight="1">
      <c r="A26" s="2029" t="s">
        <v>869</v>
      </c>
      <c r="B26" s="2054" t="s">
        <v>1540</v>
      </c>
      <c r="C26" s="2055">
        <f>ROUND(IF('数据-取费表'!B22&lt;=1,(1+C24)*F25*'数据-取费表'!B24,(1+C24)*(POWER((1+F25),'数据-取费表'!B24)-1)),4)</f>
        <v>4.1999999999999997E-3</v>
      </c>
      <c r="D26" s="2056"/>
      <c r="E26" s="2057"/>
      <c r="F26" s="2058"/>
      <c r="G26" s="2059" t="str">
        <f>IF('数据-取费表'!B22&lt;=1,"（(1)+取得税费率/(1+5%)）×年利率×建设期","（(1)+取得税费率）/(1+5%)×((1+年利率)^建设期-1)")</f>
        <v>（(1)+取得税费率）/(1+5%)×((1+年利率)^建设期-1)</v>
      </c>
      <c r="H26" s="1786"/>
      <c r="I26" s="1786"/>
      <c r="J26" s="1786"/>
      <c r="K26" s="1787"/>
    </row>
    <row r="27" spans="1:33" s="2002" customFormat="1" ht="13.5" customHeight="1">
      <c r="A27" s="2029" t="s">
        <v>873</v>
      </c>
      <c r="B27" s="2054" t="s">
        <v>1541</v>
      </c>
      <c r="C27" s="2060">
        <f ca="1">ROUND(IF('数据-取费表'!B22&lt;=1,(C21+C22+C23)*F25*'数据-取费表'!B24/2,(C21+C22+C23)*(POWER((1+F25),'数据-取费表'!B24/2)-1)),0)</f>
        <v>3</v>
      </c>
      <c r="D27" s="2056"/>
      <c r="E27" s="2057"/>
      <c r="F27" s="2058"/>
      <c r="G27" s="2059" t="str">
        <f>IF('数据-取费表'!B22&lt;=1,"（1）-（3）项×年利率×建设期÷2","（1）-（3）项×((1+年利率)^(建设期÷2)-1)")</f>
        <v>（1）-（3）项×((1+年利率)^(建设期÷2)-1)</v>
      </c>
      <c r="H27" s="1786"/>
      <c r="I27" s="1786"/>
      <c r="J27" s="1786"/>
      <c r="K27" s="1787"/>
    </row>
    <row r="28" spans="1:33" s="2003" customFormat="1" ht="13.5" customHeight="1">
      <c r="A28" s="2018" t="s">
        <v>906</v>
      </c>
      <c r="B28" s="2061" t="s">
        <v>1542</v>
      </c>
      <c r="C28" s="2062">
        <f ca="1">C30</f>
        <v>203</v>
      </c>
      <c r="D28" s="2049">
        <f ca="1">C29</f>
        <v>5.4000000000000003E-3</v>
      </c>
      <c r="E28" s="2052" t="s">
        <v>1537</v>
      </c>
      <c r="F28" s="1089">
        <f ca="1">IF(C1="",'数据-取费表'!Q16,INDIRECT("'数据-取费表'!q"&amp;$K$1))</f>
        <v>0.13</v>
      </c>
      <c r="G28" s="2063"/>
      <c r="H28" s="2050"/>
      <c r="I28" s="2050"/>
      <c r="J28" s="2050"/>
      <c r="K28" s="2087"/>
    </row>
    <row r="29" spans="1:33" s="2004" customFormat="1" ht="13.5" customHeight="1">
      <c r="A29" s="2029" t="s">
        <v>869</v>
      </c>
      <c r="B29" s="2064" t="s">
        <v>1543</v>
      </c>
      <c r="C29" s="2056">
        <f ca="1">ROUND((1+C24)*F28*'数据-取费表'!B24/'数据-取费表'!B20,4)</f>
        <v>5.4000000000000003E-3</v>
      </c>
      <c r="D29" s="2056"/>
      <c r="E29" s="2057"/>
      <c r="F29" s="2065"/>
      <c r="G29" s="1676" t="s">
        <v>1544</v>
      </c>
      <c r="H29" s="1786"/>
      <c r="I29" s="1786"/>
      <c r="J29" s="1786"/>
      <c r="K29" s="1787"/>
    </row>
    <row r="30" spans="1:33" s="2004" customFormat="1" ht="13.5" customHeight="1">
      <c r="A30" s="2029" t="s">
        <v>873</v>
      </c>
      <c r="B30" s="2064" t="s">
        <v>1545</v>
      </c>
      <c r="C30" s="2066">
        <f ca="1">ROUND((C21+C22+C23)*F28,0)</f>
        <v>203</v>
      </c>
      <c r="D30" s="2056"/>
      <c r="E30" s="2057"/>
      <c r="F30" s="2065"/>
      <c r="G30" s="1676"/>
      <c r="H30" s="1786"/>
      <c r="I30" s="1786"/>
      <c r="J30" s="1786"/>
      <c r="K30" s="1787"/>
    </row>
    <row r="31" spans="1:33" s="2000" customFormat="1" ht="13.5" customHeight="1">
      <c r="A31" s="2067" t="s">
        <v>1546</v>
      </c>
      <c r="B31" s="2068" t="s">
        <v>1547</v>
      </c>
      <c r="C31" s="2069">
        <f ca="1">ROUND(C4*F31/(1+'数据-取费表'!C42),0)</f>
        <v>8469</v>
      </c>
      <c r="D31" s="2070"/>
      <c r="E31" s="2071"/>
      <c r="F31" s="2072">
        <f>'数据-取费表'!B41</f>
        <v>5.5E-2</v>
      </c>
      <c r="G31" s="2073" t="s">
        <v>1548</v>
      </c>
      <c r="H31" s="2074"/>
      <c r="I31" s="2074"/>
      <c r="J31" s="2074"/>
      <c r="K31" s="2088"/>
    </row>
    <row r="32" spans="1:33" s="1999" customFormat="1" ht="13.5" customHeight="1">
      <c r="A32" s="1091" t="s">
        <v>1549</v>
      </c>
      <c r="B32" s="2075"/>
      <c r="C32" s="2076">
        <f ca="1">ROUND((C4-C21-C22-C23-C25-C28-C31)/(1+C24+D25+D28),0)</f>
        <v>145809</v>
      </c>
      <c r="D32" s="2075"/>
      <c r="E32" s="2075"/>
      <c r="F32" s="2075"/>
      <c r="G32" s="2077" t="s">
        <v>1550</v>
      </c>
      <c r="H32" s="2075"/>
      <c r="I32" s="2075"/>
      <c r="J32" s="2075"/>
      <c r="K32" s="2089"/>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N36" sqref="N36"/>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3"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1551</v>
      </c>
      <c r="B1" s="1394" t="s">
        <v>1552</v>
      </c>
      <c r="C1" s="1240" t="s">
        <v>1553</v>
      </c>
      <c r="D1" s="1189" t="s">
        <v>3161</v>
      </c>
      <c r="E1" s="1882"/>
      <c r="F1" s="1191" t="s">
        <v>1554</v>
      </c>
      <c r="G1" s="1192" t="s">
        <v>940</v>
      </c>
      <c r="H1" s="1190"/>
      <c r="I1" s="1190"/>
      <c r="J1" s="1190"/>
      <c r="K1" s="1238"/>
      <c r="L1" s="1239"/>
      <c r="M1" s="1240"/>
      <c r="N1" s="1240"/>
      <c r="O1" s="1240"/>
      <c r="P1" s="1912"/>
      <c r="Q1" s="1188"/>
      <c r="R1" s="1188"/>
      <c r="S1" s="1188"/>
      <c r="T1" s="1188"/>
      <c r="U1" s="1188"/>
      <c r="V1" s="1188"/>
      <c r="W1" s="1188"/>
      <c r="X1" s="1188"/>
      <c r="Y1" s="1188"/>
      <c r="Z1" s="1188"/>
      <c r="AA1" s="1188"/>
      <c r="AB1" s="1188"/>
      <c r="AC1" s="1245"/>
    </row>
    <row r="2" spans="1:29" s="1881" customFormat="1" ht="28.5" customHeight="1">
      <c r="A2" s="1193" t="s">
        <v>941</v>
      </c>
      <c r="B2" s="1194">
        <f>IF(C2="——",ROUND(C49*D3/10000,0),ROUND(C49*D3/10000,0)-D2)</f>
        <v>0</v>
      </c>
      <c r="C2" s="1195" t="s">
        <v>124</v>
      </c>
      <c r="D2" s="1373" t="e">
        <f ca="1">SUMIF(INDIRECT("'"&amp;F2&amp;"'"&amp;"!A:A"),"承租人权益价值",INDIRECT("'"&amp;F2&amp;"'"&amp;"!c:c"))</f>
        <v>#REF!</v>
      </c>
      <c r="E2" s="1197" t="s">
        <v>1397</v>
      </c>
      <c r="F2" s="1198"/>
      <c r="G2" s="1196"/>
      <c r="H2" s="1196"/>
      <c r="I2" s="1196"/>
      <c r="J2" s="1196"/>
      <c r="K2" s="1913"/>
      <c r="L2" s="1914"/>
      <c r="M2" s="1915"/>
      <c r="N2" s="1915"/>
      <c r="O2" s="1915"/>
      <c r="P2" s="1916"/>
      <c r="Q2" s="1942"/>
      <c r="R2" s="1942"/>
      <c r="S2" s="1942"/>
      <c r="T2" s="1942"/>
      <c r="U2" s="1942"/>
      <c r="V2" s="1942"/>
      <c r="W2" s="1942"/>
      <c r="X2" s="1942"/>
      <c r="Y2" s="1942"/>
      <c r="Z2" s="1942"/>
      <c r="AA2" s="1942"/>
      <c r="AB2" s="1942"/>
      <c r="AC2" s="1943"/>
    </row>
    <row r="3" spans="1:29" s="1881" customFormat="1" ht="28.5" customHeight="1">
      <c r="A3" s="151" t="s">
        <v>942</v>
      </c>
      <c r="B3" s="1200">
        <f>IF(C2="——",C49,ROUND(B2*10000/D3,0))</f>
        <v>27888</v>
      </c>
      <c r="C3" s="1199" t="s">
        <v>943</v>
      </c>
      <c r="D3" s="1200">
        <f>IF(D1="",'数据-汇总表'!E3,SUMIF('数据-汇总表'!$C19:$C33,D1,'数据-汇总表'!$E19:$E33))</f>
        <v>0</v>
      </c>
      <c r="E3" s="1196"/>
      <c r="F3" s="1883"/>
      <c r="G3" s="1196"/>
      <c r="H3" s="1196"/>
      <c r="I3" s="1196"/>
      <c r="J3" s="1196"/>
      <c r="K3" s="1913"/>
      <c r="L3" s="1914"/>
      <c r="M3" s="1915"/>
      <c r="N3" s="1915"/>
      <c r="O3" s="1915"/>
      <c r="P3" s="1916"/>
      <c r="Q3" s="1942"/>
      <c r="R3" s="1942"/>
      <c r="S3" s="1942"/>
      <c r="T3" s="1942"/>
      <c r="U3" s="1942"/>
      <c r="V3" s="1942"/>
      <c r="W3" s="1942"/>
      <c r="X3" s="1942"/>
      <c r="Y3" s="1942"/>
      <c r="Z3" s="1942"/>
      <c r="AA3" s="1942"/>
      <c r="AB3" s="1942"/>
      <c r="AC3" s="1943"/>
    </row>
    <row r="4" spans="1:29" ht="15">
      <c r="A4" s="874" t="s">
        <v>944</v>
      </c>
      <c r="B4" s="875"/>
      <c r="C4" s="3315" t="s">
        <v>945</v>
      </c>
      <c r="D4" s="3316"/>
      <c r="E4" s="3317" t="s">
        <v>946</v>
      </c>
      <c r="F4" s="3318"/>
      <c r="G4" s="3315" t="s">
        <v>947</v>
      </c>
      <c r="H4" s="3316"/>
      <c r="I4" s="3315" t="s">
        <v>948</v>
      </c>
      <c r="J4" s="3316"/>
      <c r="K4" s="1917" t="s">
        <v>949</v>
      </c>
      <c r="L4" s="1021"/>
      <c r="M4" s="971"/>
      <c r="N4" s="971"/>
      <c r="O4" s="971"/>
      <c r="P4" s="3341" t="s">
        <v>950</v>
      </c>
      <c r="Q4" s="3342"/>
      <c r="R4" s="3347" t="s">
        <v>946</v>
      </c>
      <c r="S4" s="3348"/>
      <c r="T4" s="3347" t="s">
        <v>947</v>
      </c>
      <c r="U4" s="3348"/>
      <c r="V4" s="3331" t="s">
        <v>948</v>
      </c>
      <c r="W4" s="3331"/>
      <c r="X4" s="1069"/>
      <c r="Y4" s="3347" t="s">
        <v>950</v>
      </c>
      <c r="Z4" s="3348"/>
      <c r="AA4" s="3336" t="s">
        <v>946</v>
      </c>
      <c r="AB4" s="3336" t="s">
        <v>947</v>
      </c>
      <c r="AC4" s="3336" t="s">
        <v>948</v>
      </c>
    </row>
    <row r="5" spans="1:29" ht="15">
      <c r="A5" s="878"/>
      <c r="B5" s="879"/>
      <c r="C5" s="3319" t="s">
        <v>951</v>
      </c>
      <c r="D5" s="3320"/>
      <c r="E5" s="3357" t="s">
        <v>3153</v>
      </c>
      <c r="F5" s="3358"/>
      <c r="G5" s="3359" t="s">
        <v>3155</v>
      </c>
      <c r="H5" s="3360"/>
      <c r="I5" s="3361" t="s">
        <v>3154</v>
      </c>
      <c r="J5" s="3360"/>
      <c r="K5" s="1918"/>
      <c r="L5" s="1021"/>
      <c r="M5" s="971"/>
      <c r="N5" s="971"/>
      <c r="O5" s="971"/>
      <c r="P5" s="3343"/>
      <c r="Q5" s="3344"/>
      <c r="R5" s="3349"/>
      <c r="S5" s="3350"/>
      <c r="T5" s="3349"/>
      <c r="U5" s="3350"/>
      <c r="V5" s="3331"/>
      <c r="W5" s="3331"/>
      <c r="X5" s="1069"/>
      <c r="Y5" s="3349"/>
      <c r="Z5" s="3350"/>
      <c r="AA5" s="3337"/>
      <c r="AB5" s="3337"/>
      <c r="AC5" s="3337"/>
    </row>
    <row r="6" spans="1:29" ht="15">
      <c r="A6" s="880"/>
      <c r="B6" s="881"/>
      <c r="C6" s="3323" t="s">
        <v>952</v>
      </c>
      <c r="D6" s="3324"/>
      <c r="E6" s="3362" t="s">
        <v>1555</v>
      </c>
      <c r="F6" s="3363"/>
      <c r="G6" s="3364" t="s">
        <v>1555</v>
      </c>
      <c r="H6" s="3365"/>
      <c r="I6" s="3364" t="s">
        <v>1555</v>
      </c>
      <c r="J6" s="3365"/>
      <c r="K6" s="1918" t="s">
        <v>953</v>
      </c>
      <c r="L6" s="1021"/>
      <c r="M6" s="971"/>
      <c r="N6" s="971"/>
      <c r="O6" s="971"/>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1884">
        <v>45413</v>
      </c>
      <c r="F7" s="888">
        <f>SUMIF(58:58,YEAR(E7)&amp;"-"&amp;MONTH(E7),59:59)</f>
        <v>100</v>
      </c>
      <c r="G7" s="1884">
        <v>45413</v>
      </c>
      <c r="H7" s="886">
        <f>SUMIF(58:58,YEAR(G7)&amp;"-"&amp;MONTH(G7),59:59)</f>
        <v>100</v>
      </c>
      <c r="I7" s="1884">
        <v>45413</v>
      </c>
      <c r="J7" s="886">
        <f>SUMIF(58:58,YEAR(I7)&amp;"-"&amp;MONTH(I7),59:59)</f>
        <v>100</v>
      </c>
      <c r="K7" s="1919"/>
      <c r="L7" s="1026"/>
      <c r="M7" s="1027"/>
      <c r="N7" s="1027"/>
      <c r="O7" s="1027"/>
      <c r="P7" s="3327" t="s">
        <v>955</v>
      </c>
      <c r="Q7" s="3328"/>
      <c r="R7" s="1070" t="s">
        <v>956</v>
      </c>
      <c r="S7" s="1071">
        <f t="shared" ref="S7:S15" si="0">F7</f>
        <v>100</v>
      </c>
      <c r="T7" s="1070" t="s">
        <v>956</v>
      </c>
      <c r="U7" s="1071">
        <f t="shared" ref="U7:U15" si="1">H7</f>
        <v>100</v>
      </c>
      <c r="V7" s="1070" t="s">
        <v>956</v>
      </c>
      <c r="W7" s="1071">
        <f t="shared" ref="W7:W15" si="2">J7</f>
        <v>100</v>
      </c>
      <c r="X7" s="1072"/>
      <c r="Y7" s="3327" t="s">
        <v>955</v>
      </c>
      <c r="Z7" s="3329"/>
      <c r="AA7" s="1082">
        <f>D7/F7</f>
        <v>1</v>
      </c>
      <c r="AB7" s="1082">
        <f>D7/H7</f>
        <v>1</v>
      </c>
      <c r="AC7" s="1082">
        <f>D7/J7</f>
        <v>1</v>
      </c>
    </row>
    <row r="8" spans="1:29" s="855" customFormat="1" ht="15">
      <c r="A8" s="883" t="s">
        <v>957</v>
      </c>
      <c r="B8" s="884"/>
      <c r="C8" s="890" t="s">
        <v>958</v>
      </c>
      <c r="D8" s="886">
        <v>100</v>
      </c>
      <c r="E8" s="1885" t="s">
        <v>824</v>
      </c>
      <c r="F8" s="888">
        <f>SUMIF(61:61,E8,62:62)-SUMIF(61:61,C8,62:62)+100</f>
        <v>100</v>
      </c>
      <c r="G8" s="1885" t="s">
        <v>824</v>
      </c>
      <c r="H8" s="886">
        <f>SUMIF(61:61,G8,62:62)-SUMIF(61:61,C8,62:62)+100</f>
        <v>100</v>
      </c>
      <c r="I8" s="1920" t="s">
        <v>824</v>
      </c>
      <c r="J8" s="886">
        <f>SUMIF(61:61,I8,62:62)-SUMIF(61:61,C8,62:62)+100</f>
        <v>100</v>
      </c>
      <c r="K8" s="1919"/>
      <c r="L8" s="1026"/>
      <c r="M8" s="1027"/>
      <c r="N8" s="1027"/>
      <c r="O8" s="1027"/>
      <c r="P8" s="3327" t="s">
        <v>959</v>
      </c>
      <c r="Q8" s="3329"/>
      <c r="R8" s="1070" t="s">
        <v>956</v>
      </c>
      <c r="S8" s="1071">
        <f t="shared" si="0"/>
        <v>100</v>
      </c>
      <c r="T8" s="1070" t="s">
        <v>956</v>
      </c>
      <c r="U8" s="1071">
        <f t="shared" si="1"/>
        <v>100</v>
      </c>
      <c r="V8" s="1070" t="s">
        <v>956</v>
      </c>
      <c r="W8" s="1071">
        <f t="shared" si="2"/>
        <v>100</v>
      </c>
      <c r="X8" s="1072"/>
      <c r="Y8" s="3327" t="s">
        <v>959</v>
      </c>
      <c r="Z8" s="3329"/>
      <c r="AA8" s="1082">
        <f t="shared" ref="AA8:AA19" si="3">D8/F8</f>
        <v>1</v>
      </c>
      <c r="AB8" s="1082">
        <f t="shared" ref="AB8:AB19" si="4">D8/H8</f>
        <v>1</v>
      </c>
      <c r="AC8" s="1082">
        <f t="shared" ref="AC8:AC19" si="5">D8/J8</f>
        <v>1</v>
      </c>
    </row>
    <row r="9" spans="1:29" s="855" customFormat="1">
      <c r="A9" s="891" t="s">
        <v>960</v>
      </c>
      <c r="B9" s="892" t="s">
        <v>961</v>
      </c>
      <c r="C9" s="1262" t="s">
        <v>463</v>
      </c>
      <c r="D9" s="894">
        <v>100</v>
      </c>
      <c r="E9" s="1886" t="s">
        <v>463</v>
      </c>
      <c r="F9" s="892">
        <f>SUMIF(63:63,E9,64:64)-SUMIF(63:63,C9,64:64)+100</f>
        <v>100</v>
      </c>
      <c r="G9" s="1886" t="s">
        <v>463</v>
      </c>
      <c r="H9" s="894">
        <f>SUMIF(63:63,G9,64:64)-SUMIF(63:63,C9,64:64)+100</f>
        <v>100</v>
      </c>
      <c r="I9" s="1886" t="s">
        <v>463</v>
      </c>
      <c r="J9" s="894">
        <f>SUMIF(63:63,I9,64:64)-SUMIF(63:63,C9,64:64)+100</f>
        <v>100</v>
      </c>
      <c r="K9" s="1919"/>
      <c r="L9" s="1026"/>
      <c r="M9" s="1027"/>
      <c r="N9" s="1027"/>
      <c r="O9" s="1027"/>
      <c r="P9" s="334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082">
        <f t="shared" si="5"/>
        <v>1</v>
      </c>
    </row>
    <row r="10" spans="1:29" s="856" customFormat="1" ht="27">
      <c r="A10" s="895"/>
      <c r="B10" s="896" t="s">
        <v>964</v>
      </c>
      <c r="C10" s="1206" t="s">
        <v>1556</v>
      </c>
      <c r="D10" s="898">
        <v>100</v>
      </c>
      <c r="E10" s="1206" t="s">
        <v>1556</v>
      </c>
      <c r="F10" s="896">
        <f>SUMIF(65:65,E10,66:66)-SUMIF(65:65,C10,66:66)+100</f>
        <v>100</v>
      </c>
      <c r="G10" s="1887" t="s">
        <v>1556</v>
      </c>
      <c r="H10" s="898">
        <f>SUMIF(65:65,G10,66:66)-SUMIF(65:65,C10,66:66)+100</f>
        <v>100</v>
      </c>
      <c r="I10" s="1887" t="s">
        <v>1556</v>
      </c>
      <c r="J10" s="898">
        <f>SUMIF(65:65,I10,66:66)-SUMIF(65:65,C10,66:66)+100</f>
        <v>100</v>
      </c>
      <c r="K10" s="1921">
        <v>1</v>
      </c>
      <c r="L10" s="1031"/>
      <c r="M10" s="1032"/>
      <c r="N10" s="1032"/>
      <c r="O10" s="1032"/>
      <c r="P10" s="334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082">
        <f t="shared" si="5"/>
        <v>1</v>
      </c>
    </row>
    <row r="11" spans="1:29" ht="15">
      <c r="A11" s="899"/>
      <c r="B11" s="896" t="s">
        <v>965</v>
      </c>
      <c r="C11" s="1888">
        <f>'土地比较法-住宅、综合'!C11</f>
        <v>2</v>
      </c>
      <c r="D11" s="898">
        <v>100</v>
      </c>
      <c r="E11" s="1888">
        <v>1.3</v>
      </c>
      <c r="F11" s="896">
        <f>LOOKUP(E11,68:68,69:69)-LOOKUP(C11,68:68,69:69)+100</f>
        <v>105</v>
      </c>
      <c r="G11" s="1888">
        <v>1.37</v>
      </c>
      <c r="H11" s="898">
        <f>LOOKUP(G11,68:68,69:69)-LOOKUP(C11,68:68,69:69)+100</f>
        <v>105</v>
      </c>
      <c r="I11" s="1888">
        <v>1.5</v>
      </c>
      <c r="J11" s="898">
        <f>LOOKUP(I11,68:68,69:69)-LOOKUP(C11,68:68,69:69)+100</f>
        <v>105</v>
      </c>
      <c r="K11" s="1921">
        <f>'土地比较法-住宅、综合'!K11</f>
        <v>5</v>
      </c>
      <c r="L11" s="1035"/>
      <c r="M11" s="971"/>
      <c r="N11" s="971"/>
      <c r="O11" s="971"/>
      <c r="P11" s="3340"/>
      <c r="Q11" s="795" t="str">
        <f t="shared" si="6"/>
        <v>容积率</v>
      </c>
      <c r="R11" s="1070" t="s">
        <v>956</v>
      </c>
      <c r="S11" s="1071">
        <f t="shared" si="0"/>
        <v>105</v>
      </c>
      <c r="T11" s="1070" t="s">
        <v>956</v>
      </c>
      <c r="U11" s="1071">
        <f t="shared" si="1"/>
        <v>105</v>
      </c>
      <c r="V11" s="1070" t="s">
        <v>956</v>
      </c>
      <c r="W11" s="1071">
        <f t="shared" si="2"/>
        <v>105</v>
      </c>
      <c r="X11" s="1072"/>
      <c r="Y11" s="3306"/>
      <c r="Z11" s="1082" t="str">
        <f t="shared" si="7"/>
        <v>容积率</v>
      </c>
      <c r="AA11" s="1082">
        <f t="shared" si="3"/>
        <v>0.95238095238095233</v>
      </c>
      <c r="AB11" s="1082">
        <f t="shared" si="4"/>
        <v>0.95238095238095233</v>
      </c>
      <c r="AC11" s="1082">
        <f t="shared" si="5"/>
        <v>0.95238095238095233</v>
      </c>
    </row>
    <row r="12" spans="1:29" s="855" customFormat="1" ht="15">
      <c r="A12" s="902"/>
      <c r="B12" s="903">
        <v>111</v>
      </c>
      <c r="C12" s="897"/>
      <c r="D12" s="904">
        <v>100</v>
      </c>
      <c r="E12" s="897"/>
      <c r="F12" s="896">
        <f>SUMIF(70:70,E12,71:71)-SUMIF(70:70,C12,71:71)+100</f>
        <v>100</v>
      </c>
      <c r="G12" s="1889"/>
      <c r="H12" s="898">
        <f>SUMIF(70:70,G12,71:71)-SUMIF(70:70,C12,71:71)+100</f>
        <v>100</v>
      </c>
      <c r="I12" s="1889"/>
      <c r="J12" s="898">
        <f>SUMIF(70:70,I12,71:71)-SUMIF(70:70,C12,71:71)+100</f>
        <v>100</v>
      </c>
      <c r="K12" s="1922"/>
      <c r="L12" s="1026"/>
      <c r="M12" s="1027"/>
      <c r="N12" s="1027"/>
      <c r="O12" s="1027"/>
      <c r="P12" s="334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1890"/>
      <c r="H13" s="765">
        <f>SUMIF(72:72,G13,73:73)-SUMIF(72:72,C13,73:73)+100</f>
        <v>100</v>
      </c>
      <c r="I13" s="1890"/>
      <c r="J13" s="765">
        <f>SUMIF(72:72,I13,73:73)-SUMIF(72:72,C13,73:73)+100</f>
        <v>100</v>
      </c>
      <c r="K13" s="1922"/>
      <c r="L13" s="1037"/>
      <c r="M13" s="971"/>
      <c r="N13" s="971"/>
      <c r="O13" s="971"/>
      <c r="P13" s="334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08"/>
      <c r="B14" s="909">
        <v>111</v>
      </c>
      <c r="C14" s="910"/>
      <c r="D14" s="911">
        <v>100</v>
      </c>
      <c r="E14" s="910"/>
      <c r="F14" s="1225">
        <f>SUMIF(74:74,E14,75:75)-SUMIF(74:74,C14,75:75)+100</f>
        <v>100</v>
      </c>
      <c r="G14" s="1891"/>
      <c r="H14" s="911">
        <f>SUMIF(74:74,G14,75:75)-SUMIF(74:74,C14,75:75)+100</f>
        <v>100</v>
      </c>
      <c r="I14" s="1891"/>
      <c r="J14" s="911">
        <f>SUMIF(74:74,I14,75:75)-SUMIF(74:74,C14,75:75)+100</f>
        <v>100</v>
      </c>
      <c r="K14" s="1922"/>
      <c r="L14" s="1037"/>
      <c r="M14" s="971"/>
      <c r="N14" s="971"/>
      <c r="O14" s="971"/>
      <c r="P14" s="334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082">
        <f t="shared" si="5"/>
        <v>1</v>
      </c>
    </row>
    <row r="15" spans="1:29" ht="31.5" customHeight="1">
      <c r="A15" s="912" t="s">
        <v>967</v>
      </c>
      <c r="B15" s="1209" t="s">
        <v>968</v>
      </c>
      <c r="C15" s="1396" t="str">
        <f>估价对象房地状况!C3</f>
        <v>一般</v>
      </c>
      <c r="D15" s="915">
        <v>100</v>
      </c>
      <c r="E15" s="1892"/>
      <c r="F15" s="915">
        <f>SUMIF(76:76,E16,77:77)-SUMIF(76:76,C16,77:77)+100</f>
        <v>105</v>
      </c>
      <c r="G15" s="1892"/>
      <c r="H15" s="915">
        <f>SUMIF(76:76,G16,77:77)-SUMIF(76:76,C16,77:77)+100</f>
        <v>105</v>
      </c>
      <c r="I15" s="1923"/>
      <c r="J15" s="915">
        <f>SUMIF(76:76,I16,77:77)-SUMIF(76:76,C16,77:77)+100</f>
        <v>105</v>
      </c>
      <c r="K15" s="1924">
        <v>5</v>
      </c>
      <c r="L15" s="1037"/>
      <c r="M15" s="971"/>
      <c r="N15" s="971"/>
      <c r="O15" s="971"/>
      <c r="P15" s="3366" t="s">
        <v>969</v>
      </c>
      <c r="Q15" s="641" t="str">
        <f t="shared" si="6"/>
        <v>居住社区成熟度</v>
      </c>
      <c r="R15" s="1074" t="s">
        <v>956</v>
      </c>
      <c r="S15" s="1075">
        <f t="shared" si="0"/>
        <v>105</v>
      </c>
      <c r="T15" s="1074" t="s">
        <v>956</v>
      </c>
      <c r="U15" s="1075">
        <f t="shared" si="1"/>
        <v>105</v>
      </c>
      <c r="V15" s="1074" t="s">
        <v>956</v>
      </c>
      <c r="W15" s="1075">
        <f t="shared" si="2"/>
        <v>105</v>
      </c>
      <c r="X15" s="1069"/>
      <c r="Y15" s="3332" t="s">
        <v>969</v>
      </c>
      <c r="Z15" s="1058" t="str">
        <f t="shared" si="7"/>
        <v>居住社区成熟度</v>
      </c>
      <c r="AA15" s="1058">
        <f t="shared" si="3"/>
        <v>0.95238095238095233</v>
      </c>
      <c r="AB15" s="1058">
        <f t="shared" si="4"/>
        <v>0.95238095238095233</v>
      </c>
      <c r="AC15" s="1058">
        <f t="shared" si="5"/>
        <v>0.95238095238095233</v>
      </c>
    </row>
    <row r="16" spans="1:29" ht="15">
      <c r="A16" s="899"/>
      <c r="B16" s="1011"/>
      <c r="C16" s="918" t="s">
        <v>667</v>
      </c>
      <c r="D16" s="919"/>
      <c r="E16" s="918" t="s">
        <v>970</v>
      </c>
      <c r="F16" s="919"/>
      <c r="G16" s="1893" t="s">
        <v>970</v>
      </c>
      <c r="H16" s="921"/>
      <c r="I16" s="1925" t="s">
        <v>970</v>
      </c>
      <c r="J16" s="919"/>
      <c r="K16" s="1926"/>
      <c r="L16" s="1037"/>
      <c r="M16" s="971"/>
      <c r="N16" s="971"/>
      <c r="O16" s="971"/>
      <c r="P16" s="3367"/>
      <c r="Q16" s="641"/>
      <c r="R16" s="1074"/>
      <c r="S16" s="1075"/>
      <c r="T16" s="1074"/>
      <c r="U16" s="1075"/>
      <c r="V16" s="1074"/>
      <c r="W16" s="1075"/>
      <c r="X16" s="1069"/>
      <c r="Y16" s="3333"/>
      <c r="Z16" s="1058"/>
      <c r="AA16" s="1058">
        <v>1</v>
      </c>
      <c r="AB16" s="1058">
        <v>1</v>
      </c>
      <c r="AC16" s="1058">
        <v>1</v>
      </c>
    </row>
    <row r="17" spans="1:29" ht="27" customHeight="1">
      <c r="A17" s="899"/>
      <c r="B17" s="1211" t="s">
        <v>973</v>
      </c>
      <c r="C17" s="923" t="str">
        <f>估价对象房地状况!C6</f>
        <v>一般</v>
      </c>
      <c r="D17" s="921">
        <v>100</v>
      </c>
      <c r="E17" s="1894"/>
      <c r="F17" s="921">
        <f>SUMIF(78:78,E18,79:79)-SUMIF(78:78,C18,79:79)+100</f>
        <v>100</v>
      </c>
      <c r="G17" s="1894"/>
      <c r="H17" s="925">
        <f>SUMIF(78:78,G18,79:79)-SUMIF(78:78,C18,79:79)+100</f>
        <v>100</v>
      </c>
      <c r="I17" s="1927"/>
      <c r="J17" s="925">
        <f>SUMIF(78:78,I18,79:79)-SUMIF(78:78,C18,79:79)+100</f>
        <v>100</v>
      </c>
      <c r="K17" s="1924">
        <f>'土地比较法-住宅、综合'!K21</f>
        <v>3</v>
      </c>
      <c r="L17" s="1037"/>
      <c r="M17" s="971"/>
      <c r="N17" s="971"/>
      <c r="O17" s="971"/>
      <c r="P17" s="3367"/>
      <c r="Q17" s="641" t="str">
        <f>B17</f>
        <v>交通便捷度</v>
      </c>
      <c r="R17" s="1074" t="s">
        <v>956</v>
      </c>
      <c r="S17" s="1075">
        <f>F17</f>
        <v>100</v>
      </c>
      <c r="T17" s="1074" t="s">
        <v>956</v>
      </c>
      <c r="U17" s="1075">
        <f>H17</f>
        <v>100</v>
      </c>
      <c r="V17" s="1074" t="s">
        <v>956</v>
      </c>
      <c r="W17" s="1075">
        <f>J17</f>
        <v>100</v>
      </c>
      <c r="X17" s="1069"/>
      <c r="Y17" s="3333"/>
      <c r="Z17" s="1058" t="str">
        <f>Q17</f>
        <v>交通便捷度</v>
      </c>
      <c r="AA17" s="1058">
        <f t="shared" si="3"/>
        <v>1</v>
      </c>
      <c r="AB17" s="1058">
        <f t="shared" si="4"/>
        <v>1</v>
      </c>
      <c r="AC17" s="1058">
        <f t="shared" si="5"/>
        <v>1</v>
      </c>
    </row>
    <row r="18" spans="1:29" ht="15">
      <c r="A18" s="899"/>
      <c r="B18" s="945"/>
      <c r="C18" s="1214" t="s">
        <v>667</v>
      </c>
      <c r="D18" s="921"/>
      <c r="E18" s="1895" t="s">
        <v>667</v>
      </c>
      <c r="F18" s="921"/>
      <c r="G18" s="1895" t="s">
        <v>667</v>
      </c>
      <c r="H18" s="919"/>
      <c r="I18" s="1895" t="s">
        <v>667</v>
      </c>
      <c r="J18" s="919"/>
      <c r="K18" s="1926"/>
      <c r="L18" s="1037"/>
      <c r="M18" s="971"/>
      <c r="N18" s="971"/>
      <c r="O18" s="971"/>
      <c r="P18" s="3367"/>
      <c r="Q18" s="641"/>
      <c r="R18" s="1074"/>
      <c r="S18" s="1075"/>
      <c r="T18" s="1074"/>
      <c r="U18" s="1075"/>
      <c r="V18" s="1074"/>
      <c r="W18" s="1075"/>
      <c r="X18" s="1069"/>
      <c r="Y18" s="3333"/>
      <c r="Z18" s="1058"/>
      <c r="AA18" s="1058">
        <v>1</v>
      </c>
      <c r="AB18" s="1058">
        <v>1</v>
      </c>
      <c r="AC18" s="1058">
        <v>1</v>
      </c>
    </row>
    <row r="19" spans="1:29" ht="27.75" customHeight="1">
      <c r="A19" s="899"/>
      <c r="B19" s="1211" t="s">
        <v>976</v>
      </c>
      <c r="C19" s="923" t="str">
        <f>估价对象房地状况!C7</f>
        <v>一般</v>
      </c>
      <c r="D19" s="925">
        <v>100</v>
      </c>
      <c r="E19" s="1896" t="s">
        <v>970</v>
      </c>
      <c r="F19" s="925">
        <f>SUMIF(80:80,E20,81:81)-SUMIF(80:80,C20,81:81)+100</f>
        <v>104</v>
      </c>
      <c r="G19" s="1896" t="s">
        <v>970</v>
      </c>
      <c r="H19" s="921">
        <f>SUMIF(80:80,G20,81:81)-SUMIF(80:80,C20,81:81)+100</f>
        <v>104</v>
      </c>
      <c r="I19" s="1928" t="s">
        <v>970</v>
      </c>
      <c r="J19" s="921">
        <f>SUMIF(80:80,I20,81:81)-SUMIF(80:80,C20,81:81)+100</f>
        <v>104</v>
      </c>
      <c r="K19" s="1924">
        <v>4</v>
      </c>
      <c r="L19" s="1037"/>
      <c r="M19" s="971"/>
      <c r="N19" s="971"/>
      <c r="O19" s="971"/>
      <c r="P19" s="3367"/>
      <c r="Q19" s="641" t="str">
        <f>B19</f>
        <v>公共配套设施</v>
      </c>
      <c r="R19" s="1074" t="s">
        <v>956</v>
      </c>
      <c r="S19" s="1075">
        <f>F19</f>
        <v>104</v>
      </c>
      <c r="T19" s="1074" t="s">
        <v>956</v>
      </c>
      <c r="U19" s="1075">
        <f>H19</f>
        <v>104</v>
      </c>
      <c r="V19" s="1074" t="s">
        <v>956</v>
      </c>
      <c r="W19" s="1075">
        <f>J19</f>
        <v>104</v>
      </c>
      <c r="X19" s="1069"/>
      <c r="Y19" s="3333"/>
      <c r="Z19" s="1058" t="str">
        <f>Q19</f>
        <v>公共配套设施</v>
      </c>
      <c r="AA19" s="1058">
        <f t="shared" si="3"/>
        <v>0.96153846153846156</v>
      </c>
      <c r="AB19" s="1058">
        <f t="shared" si="4"/>
        <v>0.96153846153846156</v>
      </c>
      <c r="AC19" s="1058">
        <f t="shared" si="5"/>
        <v>0.96153846153846156</v>
      </c>
    </row>
    <row r="20" spans="1:29" ht="15">
      <c r="A20" s="899"/>
      <c r="B20" s="945"/>
      <c r="C20" s="918" t="s">
        <v>667</v>
      </c>
      <c r="D20" s="919"/>
      <c r="E20" s="918" t="s">
        <v>970</v>
      </c>
      <c r="F20" s="919"/>
      <c r="G20" s="918" t="s">
        <v>970</v>
      </c>
      <c r="H20" s="919"/>
      <c r="I20" s="918" t="s">
        <v>970</v>
      </c>
      <c r="J20" s="919"/>
      <c r="K20" s="1926"/>
      <c r="L20" s="1037"/>
      <c r="M20" s="971"/>
      <c r="N20" s="971"/>
      <c r="O20" s="971"/>
      <c r="P20" s="3367"/>
      <c r="Q20" s="641"/>
      <c r="R20" s="1074"/>
      <c r="S20" s="1075"/>
      <c r="T20" s="1074"/>
      <c r="U20" s="1075"/>
      <c r="V20" s="1074"/>
      <c r="W20" s="1075"/>
      <c r="X20" s="1069"/>
      <c r="Y20" s="3333"/>
      <c r="Z20" s="1058"/>
      <c r="AA20" s="1058">
        <v>1</v>
      </c>
      <c r="AB20" s="1058">
        <v>1</v>
      </c>
      <c r="AC20" s="1058">
        <v>1</v>
      </c>
    </row>
    <row r="21" spans="1:29" ht="15">
      <c r="A21" s="899"/>
      <c r="B21" s="1215" t="s">
        <v>977</v>
      </c>
      <c r="C21" s="923" t="str">
        <f>估价对象房地状况!C8</f>
        <v>七通</v>
      </c>
      <c r="D21" s="921">
        <v>100</v>
      </c>
      <c r="E21" s="1897" t="s">
        <v>236</v>
      </c>
      <c r="F21" s="925">
        <f>SUMIF(82:82,E22,83:83)-SUMIF(82:82,C22,83:83)+100</f>
        <v>100</v>
      </c>
      <c r="G21" s="1897" t="s">
        <v>236</v>
      </c>
      <c r="H21" s="921">
        <f>SUMIF(82:82,G22,83:83)-SUMIF(82:82,C22,83:83)+100</f>
        <v>100</v>
      </c>
      <c r="I21" s="1897" t="s">
        <v>236</v>
      </c>
      <c r="J21" s="921">
        <f>SUMIF(82:82,I22,83:83)-SUMIF(82:82,C22,83:83)+100</f>
        <v>100</v>
      </c>
      <c r="K21" s="1924">
        <f>'土地比较法-住宅、综合'!K29</f>
        <v>1</v>
      </c>
      <c r="L21" s="1037"/>
      <c r="M21" s="971"/>
      <c r="N21" s="971"/>
      <c r="O21" s="971"/>
      <c r="P21" s="3367"/>
      <c r="Q21" s="641" t="str">
        <f>B21</f>
        <v>基础设施水平</v>
      </c>
      <c r="R21" s="1074" t="s">
        <v>956</v>
      </c>
      <c r="S21" s="1075">
        <f>F21</f>
        <v>100</v>
      </c>
      <c r="T21" s="1074" t="s">
        <v>956</v>
      </c>
      <c r="U21" s="1075">
        <f>H21</f>
        <v>100</v>
      </c>
      <c r="V21" s="1074" t="s">
        <v>956</v>
      </c>
      <c r="W21" s="1075">
        <f>J21</f>
        <v>100</v>
      </c>
      <c r="X21" s="1069"/>
      <c r="Y21" s="3333"/>
      <c r="Z21" s="1058" t="str">
        <f>Q21</f>
        <v>基础设施水平</v>
      </c>
      <c r="AA21" s="1058">
        <f t="shared" ref="AA21" si="8">D21/F21</f>
        <v>1</v>
      </c>
      <c r="AB21" s="1058">
        <f t="shared" ref="AB21" si="9">D21/H21</f>
        <v>1</v>
      </c>
      <c r="AC21" s="1058">
        <f t="shared" ref="AC21" si="10">D21/J21</f>
        <v>1</v>
      </c>
    </row>
    <row r="22" spans="1:29" ht="15">
      <c r="A22" s="899"/>
      <c r="B22" s="1215"/>
      <c r="C22" s="1214" t="s">
        <v>236</v>
      </c>
      <c r="D22" s="919"/>
      <c r="E22" s="1895" t="s">
        <v>236</v>
      </c>
      <c r="F22" s="919"/>
      <c r="G22" s="1895" t="s">
        <v>236</v>
      </c>
      <c r="H22" s="919"/>
      <c r="I22" s="1895" t="s">
        <v>236</v>
      </c>
      <c r="J22" s="919"/>
      <c r="K22" s="1929"/>
      <c r="L22" s="1037"/>
      <c r="M22" s="971"/>
      <c r="N22" s="971"/>
      <c r="O22" s="971"/>
      <c r="P22" s="3367"/>
      <c r="Q22" s="641"/>
      <c r="R22" s="1074"/>
      <c r="S22" s="1075"/>
      <c r="T22" s="1074"/>
      <c r="U22" s="1075"/>
      <c r="V22" s="1074"/>
      <c r="W22" s="1075"/>
      <c r="X22" s="1069"/>
      <c r="Y22" s="3333"/>
      <c r="Z22" s="1058"/>
      <c r="AA22" s="1058">
        <v>1</v>
      </c>
      <c r="AB22" s="1058">
        <v>1</v>
      </c>
      <c r="AC22" s="1058">
        <v>1</v>
      </c>
    </row>
    <row r="23" spans="1:29" ht="15">
      <c r="A23" s="899"/>
      <c r="B23" s="1211" t="s">
        <v>1557</v>
      </c>
      <c r="C23" s="923" t="str">
        <f>估价对象房地状况!C9</f>
        <v>一般</v>
      </c>
      <c r="D23" s="921">
        <v>100</v>
      </c>
      <c r="E23" s="1898" t="s">
        <v>3027</v>
      </c>
      <c r="F23" s="921">
        <f>SUMIF(84:84,E24,85:85)-SUMIF(84:84,C24,85:85)+100</f>
        <v>100</v>
      </c>
      <c r="G23" s="1898" t="s">
        <v>3027</v>
      </c>
      <c r="H23" s="921">
        <f>SUMIF(84:84,G24,85:85)-SUMIF(84:84,C24,85:85)+100</f>
        <v>100</v>
      </c>
      <c r="I23" s="1898" t="s">
        <v>3027</v>
      </c>
      <c r="J23" s="921">
        <f>SUMIF(84:84,I24,85:85)-SUMIF(84:84,C24,85:85)+100</f>
        <v>100</v>
      </c>
      <c r="K23" s="1924">
        <f>'土地比较法-住宅、综合'!K25</f>
        <v>3</v>
      </c>
      <c r="L23" s="1037"/>
      <c r="M23" s="971"/>
      <c r="N23" s="971"/>
      <c r="O23" s="971"/>
      <c r="P23" s="3367"/>
      <c r="Q23" s="641" t="str">
        <f>B23</f>
        <v>自然及人文环境</v>
      </c>
      <c r="R23" s="1074" t="s">
        <v>956</v>
      </c>
      <c r="S23" s="1075">
        <f>F23</f>
        <v>100</v>
      </c>
      <c r="T23" s="1074" t="s">
        <v>956</v>
      </c>
      <c r="U23" s="1075">
        <f>H23</f>
        <v>100</v>
      </c>
      <c r="V23" s="1074" t="s">
        <v>956</v>
      </c>
      <c r="W23" s="1075">
        <f>J23</f>
        <v>100</v>
      </c>
      <c r="X23" s="1069"/>
      <c r="Y23" s="3333"/>
      <c r="Z23" s="1058" t="str">
        <f>Q23</f>
        <v>自然及人文环境</v>
      </c>
      <c r="AA23" s="1058">
        <f>D23/F23</f>
        <v>1</v>
      </c>
      <c r="AB23" s="1058">
        <f>D23/H23</f>
        <v>1</v>
      </c>
      <c r="AC23" s="1058">
        <f>D23/J23</f>
        <v>1</v>
      </c>
    </row>
    <row r="24" spans="1:29" ht="15">
      <c r="A24" s="899"/>
      <c r="B24" s="945"/>
      <c r="C24" s="918" t="s">
        <v>667</v>
      </c>
      <c r="D24" s="919"/>
      <c r="E24" s="918" t="s">
        <v>667</v>
      </c>
      <c r="F24" s="919"/>
      <c r="G24" s="918" t="s">
        <v>667</v>
      </c>
      <c r="H24" s="919"/>
      <c r="I24" s="918" t="s">
        <v>667</v>
      </c>
      <c r="J24" s="919"/>
      <c r="K24" s="1926"/>
      <c r="L24" s="1037"/>
      <c r="M24" s="971"/>
      <c r="N24" s="971"/>
      <c r="O24" s="971"/>
      <c r="P24" s="3367"/>
      <c r="Q24" s="641"/>
      <c r="R24" s="1074"/>
      <c r="S24" s="1075"/>
      <c r="T24" s="1074"/>
      <c r="U24" s="1075"/>
      <c r="V24" s="1074"/>
      <c r="W24" s="1075"/>
      <c r="X24" s="1069"/>
      <c r="Y24" s="3333"/>
      <c r="Z24" s="1058"/>
      <c r="AA24" s="1058">
        <v>1</v>
      </c>
      <c r="AB24" s="1058">
        <v>1</v>
      </c>
      <c r="AC24" s="1058">
        <v>1</v>
      </c>
    </row>
    <row r="25" spans="1:29" ht="15" hidden="1">
      <c r="A25" s="899"/>
      <c r="B25" s="896" t="s">
        <v>1558</v>
      </c>
      <c r="C25" s="1222"/>
      <c r="D25" s="765">
        <v>100</v>
      </c>
      <c r="E25" s="1222"/>
      <c r="F25" s="765">
        <f>SUMIF(86:86,E25,87:87)-SUMIF(86:86,C25,87:87)+100</f>
        <v>100</v>
      </c>
      <c r="G25" s="1899"/>
      <c r="H25" s="765">
        <f>SUMIF(86:86,G25,87:87)-SUMIF(86:86,C25,87:87)+100</f>
        <v>100</v>
      </c>
      <c r="I25" s="1905"/>
      <c r="J25" s="765">
        <f>SUMIF(86:86,I25,87:87)-SUMIF(86:86,C25,87:87)+100</f>
        <v>100</v>
      </c>
      <c r="K25" s="1921">
        <v>3</v>
      </c>
      <c r="L25" s="1037"/>
      <c r="M25" s="971"/>
      <c r="N25" s="971"/>
      <c r="O25" s="971"/>
      <c r="P25" s="3367"/>
      <c r="Q25" s="641" t="str">
        <f t="shared" ref="Q25:Q46" si="11">B25</f>
        <v>楼层-1</v>
      </c>
      <c r="R25" s="1074" t="s">
        <v>956</v>
      </c>
      <c r="S25" s="1075">
        <f t="shared" ref="S25:S46" si="12">F25</f>
        <v>100</v>
      </c>
      <c r="T25" s="1074" t="s">
        <v>956</v>
      </c>
      <c r="U25" s="1075">
        <f t="shared" ref="U25:U46" si="13">H25</f>
        <v>100</v>
      </c>
      <c r="V25" s="1074" t="s">
        <v>956</v>
      </c>
      <c r="W25" s="1075">
        <f t="shared" ref="W25:W46" si="14">J25</f>
        <v>100</v>
      </c>
      <c r="X25" s="1069"/>
      <c r="Y25" s="3333"/>
      <c r="Z25" s="1058" t="str">
        <f>Q25</f>
        <v>楼层-1</v>
      </c>
      <c r="AA25" s="1058">
        <f t="shared" ref="AA25:AA46" si="15">D25/F25</f>
        <v>1</v>
      </c>
      <c r="AB25" s="1058">
        <f t="shared" ref="AB25:AB46" si="16">D25/H25</f>
        <v>1</v>
      </c>
      <c r="AC25" s="1058">
        <f t="shared" ref="AC25:AC46" si="17">D25/J25</f>
        <v>1</v>
      </c>
    </row>
    <row r="26" spans="1:29" ht="15" hidden="1">
      <c r="A26" s="899"/>
      <c r="B26" s="896" t="s">
        <v>1559</v>
      </c>
      <c r="C26" s="1222"/>
      <c r="D26" s="765">
        <v>100</v>
      </c>
      <c r="E26" s="1899"/>
      <c r="F26" s="765">
        <f>SUMIF(88:88,E26,89:89)-SUMIF(88:88,C26,89:89)+100</f>
        <v>100</v>
      </c>
      <c r="G26" s="1899"/>
      <c r="H26" s="765">
        <f>SUMIF(88:88,G26,89:89)-SUMIF(88:88,C26,89:89)+100</f>
        <v>100</v>
      </c>
      <c r="I26" s="1905"/>
      <c r="J26" s="765">
        <f>SUMIF(88:88,I26,89:89)-SUMIF(88:88,C26,89:89)+100</f>
        <v>100</v>
      </c>
      <c r="K26" s="1921"/>
      <c r="L26" s="1037"/>
      <c r="M26" s="971"/>
      <c r="N26" s="971"/>
      <c r="O26" s="971"/>
      <c r="P26" s="3367"/>
      <c r="Q26" s="641" t="str">
        <f t="shared" si="11"/>
        <v>朝向</v>
      </c>
      <c r="R26" s="1074" t="s">
        <v>956</v>
      </c>
      <c r="S26" s="1075">
        <f t="shared" si="12"/>
        <v>100</v>
      </c>
      <c r="T26" s="1074" t="s">
        <v>956</v>
      </c>
      <c r="U26" s="1075">
        <f t="shared" si="13"/>
        <v>100</v>
      </c>
      <c r="V26" s="1074" t="s">
        <v>956</v>
      </c>
      <c r="W26" s="1075">
        <f t="shared" si="14"/>
        <v>100</v>
      </c>
      <c r="X26" s="1069"/>
      <c r="Y26" s="3333"/>
      <c r="Z26" s="1058" t="str">
        <f>Q26</f>
        <v>朝向</v>
      </c>
      <c r="AA26" s="1058">
        <f t="shared" si="15"/>
        <v>1</v>
      </c>
      <c r="AB26" s="1058">
        <f t="shared" si="16"/>
        <v>1</v>
      </c>
      <c r="AC26" s="1058">
        <f t="shared" si="17"/>
        <v>1</v>
      </c>
    </row>
    <row r="27" spans="1:29" s="855" customFormat="1" ht="15">
      <c r="A27" s="902"/>
      <c r="B27" s="1133" t="s">
        <v>3026</v>
      </c>
      <c r="C27" s="3078" t="s">
        <v>3023</v>
      </c>
      <c r="D27" s="926">
        <v>100</v>
      </c>
      <c r="E27" s="3078" t="s">
        <v>3025</v>
      </c>
      <c r="F27" s="926">
        <f>SUMIF(90:90,E27,91:91)-SUMIF(90:90,C27,91:91)+100</f>
        <v>97</v>
      </c>
      <c r="G27" s="3078" t="s">
        <v>3025</v>
      </c>
      <c r="H27" s="926">
        <f>SUMIF(90:90,G27,91:91)-SUMIF(90:90,C27,91:91)+100</f>
        <v>97</v>
      </c>
      <c r="I27" s="3078" t="s">
        <v>3025</v>
      </c>
      <c r="J27" s="926">
        <f>SUMIF(90:90,I27,91:91)-SUMIF(90:90,C27,91:91)+100</f>
        <v>97</v>
      </c>
      <c r="K27" s="1922"/>
      <c r="L27" s="1026"/>
      <c r="M27" s="1027"/>
      <c r="N27" s="1027"/>
      <c r="O27" s="1027"/>
      <c r="P27" s="3367"/>
      <c r="Q27" s="795" t="str">
        <f t="shared" si="11"/>
        <v>楼层-1</v>
      </c>
      <c r="R27" s="1070" t="s">
        <v>956</v>
      </c>
      <c r="S27" s="1071">
        <f t="shared" si="12"/>
        <v>97</v>
      </c>
      <c r="T27" s="1070" t="s">
        <v>956</v>
      </c>
      <c r="U27" s="1071">
        <f t="shared" si="13"/>
        <v>97</v>
      </c>
      <c r="V27" s="1070" t="s">
        <v>956</v>
      </c>
      <c r="W27" s="1071">
        <f t="shared" si="14"/>
        <v>97</v>
      </c>
      <c r="X27" s="1072"/>
      <c r="Y27" s="3333"/>
      <c r="Z27" s="1082" t="str">
        <f>Q27</f>
        <v>楼层-1</v>
      </c>
      <c r="AA27" s="1058">
        <f t="shared" si="15"/>
        <v>1.0309278350515463</v>
      </c>
      <c r="AB27" s="1058">
        <f t="shared" si="16"/>
        <v>1.0309278350515463</v>
      </c>
      <c r="AC27" s="1058">
        <f t="shared" si="17"/>
        <v>1.0309278350515463</v>
      </c>
    </row>
    <row r="28" spans="1:29" ht="15">
      <c r="A28" s="899"/>
      <c r="B28" s="1133">
        <v>111</v>
      </c>
      <c r="C28" s="907"/>
      <c r="D28" s="765">
        <v>100</v>
      </c>
      <c r="E28" s="907"/>
      <c r="F28" s="765">
        <f>SUMIF(92:92,E28,93:93)-SUMIF(92:92,C28,93:93)+100</f>
        <v>100</v>
      </c>
      <c r="G28" s="1890"/>
      <c r="H28" s="765">
        <f>SUMIF(92:92,G28,93:93)-SUMIF(92:92,C28,93:93)+100</f>
        <v>100</v>
      </c>
      <c r="I28" s="1890"/>
      <c r="J28" s="765">
        <f>SUMIF(92:92,I28,93:93)-SUMIF(92:92,C28,93:93)+100</f>
        <v>100</v>
      </c>
      <c r="K28" s="1922"/>
      <c r="L28" s="1037"/>
      <c r="M28" s="971"/>
      <c r="N28" s="971"/>
      <c r="O28" s="971"/>
      <c r="P28" s="3367"/>
      <c r="Q28" s="641">
        <f t="shared" si="11"/>
        <v>111</v>
      </c>
      <c r="R28" s="1074" t="s">
        <v>956</v>
      </c>
      <c r="S28" s="1075">
        <f t="shared" si="12"/>
        <v>100</v>
      </c>
      <c r="T28" s="1074" t="s">
        <v>956</v>
      </c>
      <c r="U28" s="1075">
        <f t="shared" si="13"/>
        <v>100</v>
      </c>
      <c r="V28" s="1074" t="s">
        <v>956</v>
      </c>
      <c r="W28" s="1075">
        <f t="shared" si="14"/>
        <v>100</v>
      </c>
      <c r="X28" s="1069"/>
      <c r="Y28" s="3333"/>
      <c r="Z28" s="1058">
        <f t="shared" ref="Z28:Z46" si="18">Q28</f>
        <v>111</v>
      </c>
      <c r="AA28" s="1058">
        <f t="shared" si="15"/>
        <v>1</v>
      </c>
      <c r="AB28" s="1058">
        <f t="shared" si="16"/>
        <v>1</v>
      </c>
      <c r="AC28" s="1058">
        <f t="shared" si="17"/>
        <v>1</v>
      </c>
    </row>
    <row r="29" spans="1:29" ht="15">
      <c r="A29" s="899"/>
      <c r="B29" s="1133">
        <v>111</v>
      </c>
      <c r="C29" s="907"/>
      <c r="D29" s="765">
        <v>100</v>
      </c>
      <c r="E29" s="907"/>
      <c r="F29" s="765">
        <f>SUMIF(94:94,E29,95:95)-SUMIF(94:94,C29,95:95)+100</f>
        <v>100</v>
      </c>
      <c r="G29" s="1890"/>
      <c r="H29" s="765">
        <f>SUMIF(94:94,G29,95:95)-SUMIF(94:94,C29,95:95)+100</f>
        <v>100</v>
      </c>
      <c r="I29" s="1890"/>
      <c r="J29" s="765">
        <f>SUMIF(94:94,I29,95:95)-SUMIF(94:94,C29,95:95)+100</f>
        <v>100</v>
      </c>
      <c r="K29" s="1922"/>
      <c r="L29" s="1037"/>
      <c r="M29" s="971"/>
      <c r="N29" s="971"/>
      <c r="O29" s="971"/>
      <c r="P29" s="3367"/>
      <c r="Q29" s="641">
        <f t="shared" si="11"/>
        <v>111</v>
      </c>
      <c r="R29" s="1074" t="s">
        <v>956</v>
      </c>
      <c r="S29" s="1075">
        <f t="shared" si="12"/>
        <v>100</v>
      </c>
      <c r="T29" s="1074" t="s">
        <v>956</v>
      </c>
      <c r="U29" s="1075">
        <f t="shared" si="13"/>
        <v>100</v>
      </c>
      <c r="V29" s="1074" t="s">
        <v>956</v>
      </c>
      <c r="W29" s="1075">
        <f t="shared" si="14"/>
        <v>100</v>
      </c>
      <c r="X29" s="1069"/>
      <c r="Y29" s="3333"/>
      <c r="Z29" s="1058">
        <f t="shared" si="18"/>
        <v>111</v>
      </c>
      <c r="AA29" s="1058">
        <f t="shared" si="15"/>
        <v>1</v>
      </c>
      <c r="AB29" s="1058">
        <f t="shared" si="16"/>
        <v>1</v>
      </c>
      <c r="AC29" s="1058">
        <f t="shared" si="17"/>
        <v>1</v>
      </c>
    </row>
    <row r="30" spans="1:29" ht="15">
      <c r="A30" s="899"/>
      <c r="B30" s="1133">
        <v>111</v>
      </c>
      <c r="C30" s="907"/>
      <c r="D30" s="765">
        <v>100</v>
      </c>
      <c r="E30" s="907"/>
      <c r="F30" s="765">
        <f>SUMIF(96:96,E30,97:97)-SUMIF(96:96,C30,97:97)+100</f>
        <v>100</v>
      </c>
      <c r="G30" s="1890"/>
      <c r="H30" s="765">
        <f>SUMIF(96:96,G30,97:97)-SUMIF(96:96,C30,97:97)+100</f>
        <v>100</v>
      </c>
      <c r="I30" s="1890"/>
      <c r="J30" s="765">
        <f>SUMIF(96:96,I30,97:97)-SUMIF(96:96,C30,97:97)+100</f>
        <v>100</v>
      </c>
      <c r="K30" s="1922"/>
      <c r="L30" s="1037"/>
      <c r="M30" s="971"/>
      <c r="N30" s="971"/>
      <c r="O30" s="971"/>
      <c r="P30" s="3367"/>
      <c r="Q30" s="641">
        <f t="shared" si="11"/>
        <v>111</v>
      </c>
      <c r="R30" s="1074" t="s">
        <v>956</v>
      </c>
      <c r="S30" s="1075">
        <f t="shared" si="12"/>
        <v>100</v>
      </c>
      <c r="T30" s="1074" t="s">
        <v>956</v>
      </c>
      <c r="U30" s="1075">
        <f t="shared" si="13"/>
        <v>100</v>
      </c>
      <c r="V30" s="1074" t="s">
        <v>956</v>
      </c>
      <c r="W30" s="1075">
        <f t="shared" si="14"/>
        <v>100</v>
      </c>
      <c r="X30" s="1069"/>
      <c r="Y30" s="3333"/>
      <c r="Z30" s="1058">
        <f t="shared" si="18"/>
        <v>111</v>
      </c>
      <c r="AA30" s="1058">
        <f t="shared" si="15"/>
        <v>1</v>
      </c>
      <c r="AB30" s="1058">
        <f t="shared" si="16"/>
        <v>1</v>
      </c>
      <c r="AC30" s="1058">
        <f t="shared" si="17"/>
        <v>1</v>
      </c>
    </row>
    <row r="31" spans="1:29" ht="15">
      <c r="A31" s="908"/>
      <c r="B31" s="1133">
        <v>111</v>
      </c>
      <c r="C31" s="910"/>
      <c r="D31" s="911">
        <v>100</v>
      </c>
      <c r="E31" s="910"/>
      <c r="F31" s="911">
        <f>SUMIF(98:98,E31,99:99)-SUMIF(98:98,C31,99:99)+100</f>
        <v>100</v>
      </c>
      <c r="G31" s="1891"/>
      <c r="H31" s="911">
        <f>SUMIF(98:98,G31,99:99)-SUMIF(98:98,C31,99:99)+100</f>
        <v>100</v>
      </c>
      <c r="I31" s="1891"/>
      <c r="J31" s="911">
        <f>SUMIF(98:98,I31,99:99)-SUMIF(98:98,C31,99:99)+100</f>
        <v>100</v>
      </c>
      <c r="K31" s="1922"/>
      <c r="L31" s="1037"/>
      <c r="M31" s="971"/>
      <c r="N31" s="971"/>
      <c r="O31" s="971"/>
      <c r="P31" s="3367"/>
      <c r="Q31" s="641">
        <f t="shared" si="11"/>
        <v>111</v>
      </c>
      <c r="R31" s="1074" t="s">
        <v>956</v>
      </c>
      <c r="S31" s="1075">
        <f t="shared" si="12"/>
        <v>100</v>
      </c>
      <c r="T31" s="1074" t="s">
        <v>956</v>
      </c>
      <c r="U31" s="1075">
        <f t="shared" si="13"/>
        <v>100</v>
      </c>
      <c r="V31" s="1074" t="s">
        <v>956</v>
      </c>
      <c r="W31" s="1075">
        <f t="shared" si="14"/>
        <v>100</v>
      </c>
      <c r="X31" s="1069"/>
      <c r="Y31" s="3333"/>
      <c r="Z31" s="1058">
        <f t="shared" si="18"/>
        <v>111</v>
      </c>
      <c r="AA31" s="1058">
        <f t="shared" si="15"/>
        <v>1</v>
      </c>
      <c r="AB31" s="1058">
        <f t="shared" si="16"/>
        <v>1</v>
      </c>
      <c r="AC31" s="1058">
        <f t="shared" si="17"/>
        <v>1</v>
      </c>
    </row>
    <row r="32" spans="1:29" ht="15">
      <c r="A32" s="912" t="s">
        <v>983</v>
      </c>
      <c r="B32" s="892" t="s">
        <v>1560</v>
      </c>
      <c r="C32" s="1218" t="s">
        <v>1561</v>
      </c>
      <c r="D32" s="876">
        <v>100</v>
      </c>
      <c r="E32" s="1901" t="s">
        <v>1561</v>
      </c>
      <c r="F32" s="1053">
        <f>SUMIF(100:100,E32,101:101)-SUMIF(100:100,C32,101:101)+100</f>
        <v>100</v>
      </c>
      <c r="G32" s="1901" t="s">
        <v>1561</v>
      </c>
      <c r="H32" s="876">
        <f>SUMIF(100:100,G32,101:101)-SUMIF(100:100,C32,101:101)+100</f>
        <v>100</v>
      </c>
      <c r="I32" s="1901" t="s">
        <v>1561</v>
      </c>
      <c r="J32" s="765">
        <f>SUMIF(100:100,I32,101:101)-SUMIF(100:100,C32,101:101)+100</f>
        <v>100</v>
      </c>
      <c r="K32" s="1921">
        <v>3</v>
      </c>
      <c r="L32" s="1037"/>
      <c r="M32" s="971"/>
      <c r="N32" s="971"/>
      <c r="O32" s="971"/>
      <c r="P32" s="3368" t="s">
        <v>982</v>
      </c>
      <c r="Q32" s="641" t="str">
        <f t="shared" si="11"/>
        <v>建筑类型</v>
      </c>
      <c r="R32" s="1074" t="s">
        <v>956</v>
      </c>
      <c r="S32" s="1075">
        <f t="shared" si="12"/>
        <v>100</v>
      </c>
      <c r="T32" s="1074" t="s">
        <v>956</v>
      </c>
      <c r="U32" s="1075">
        <f t="shared" si="13"/>
        <v>100</v>
      </c>
      <c r="V32" s="1074" t="s">
        <v>956</v>
      </c>
      <c r="W32" s="1075">
        <f t="shared" si="14"/>
        <v>100</v>
      </c>
      <c r="X32" s="1069"/>
      <c r="Y32" s="3335" t="s">
        <v>982</v>
      </c>
      <c r="Z32" s="1058" t="str">
        <f t="shared" si="18"/>
        <v>建筑类型</v>
      </c>
      <c r="AA32" s="1058">
        <f t="shared" si="15"/>
        <v>1</v>
      </c>
      <c r="AB32" s="1058">
        <f t="shared" si="16"/>
        <v>1</v>
      </c>
      <c r="AC32" s="1058">
        <f t="shared" si="17"/>
        <v>1</v>
      </c>
    </row>
    <row r="33" spans="1:29" s="857" customFormat="1" ht="15">
      <c r="A33" s="952"/>
      <c r="B33" s="896" t="s">
        <v>1563</v>
      </c>
      <c r="C33" s="1207">
        <f>清单!F166</f>
        <v>54.07</v>
      </c>
      <c r="D33" s="898">
        <v>100</v>
      </c>
      <c r="E33" s="901">
        <v>134</v>
      </c>
      <c r="F33" s="896">
        <f>LOOKUP(E33,103:103,104:104)-LOOKUP(C33,103:103,104:104)+100</f>
        <v>91</v>
      </c>
      <c r="G33" s="1888">
        <v>95</v>
      </c>
      <c r="H33" s="898">
        <f>LOOKUP(G33,103:103,104:104)-LOOKUP(C33,103:103,104:104)+100</f>
        <v>97</v>
      </c>
      <c r="I33" s="1930">
        <v>90</v>
      </c>
      <c r="J33" s="898">
        <f>LOOKUP(I33,103:103,104:104)-LOOKUP(C33,103:103,104:104)+100</f>
        <v>97</v>
      </c>
      <c r="K33" s="1922"/>
      <c r="L33" s="1035"/>
      <c r="M33" s="1045"/>
      <c r="N33" s="1045"/>
      <c r="O33" s="1045"/>
      <c r="P33" s="3369"/>
      <c r="Q33" s="1244" t="str">
        <f t="shared" si="11"/>
        <v>项目建筑规模</v>
      </c>
      <c r="R33" s="1076" t="s">
        <v>956</v>
      </c>
      <c r="S33" s="1077">
        <f t="shared" si="12"/>
        <v>91</v>
      </c>
      <c r="T33" s="1076" t="s">
        <v>956</v>
      </c>
      <c r="U33" s="1077">
        <f t="shared" si="13"/>
        <v>97</v>
      </c>
      <c r="V33" s="1076" t="s">
        <v>956</v>
      </c>
      <c r="W33" s="1077">
        <f t="shared" si="14"/>
        <v>97</v>
      </c>
      <c r="X33" s="1078"/>
      <c r="Y33" s="3335"/>
      <c r="Z33" s="1083" t="str">
        <f t="shared" si="18"/>
        <v>项目建筑规模</v>
      </c>
      <c r="AA33" s="1058">
        <f t="shared" si="15"/>
        <v>1.098901098901099</v>
      </c>
      <c r="AB33" s="1058">
        <f t="shared" si="16"/>
        <v>1.0309278350515463</v>
      </c>
      <c r="AC33" s="1058">
        <f t="shared" si="17"/>
        <v>1.0309278350515463</v>
      </c>
    </row>
    <row r="34" spans="1:29" ht="15">
      <c r="A34" s="947"/>
      <c r="B34" s="896" t="s">
        <v>1564</v>
      </c>
      <c r="C34" s="1902" t="s">
        <v>1565</v>
      </c>
      <c r="D34" s="765">
        <v>100</v>
      </c>
      <c r="E34" s="1902" t="s">
        <v>1565</v>
      </c>
      <c r="F34" s="1053">
        <f>SUMIF(105:105,E34,106:106)-SUMIF(105:105,C34,106:106)+100</f>
        <v>100</v>
      </c>
      <c r="G34" s="1902" t="s">
        <v>1565</v>
      </c>
      <c r="H34" s="765">
        <f>SUMIF(105:105,G34,106:106)-SUMIF(105:105,C34,106:106)+100</f>
        <v>100</v>
      </c>
      <c r="I34" s="1902" t="s">
        <v>1565</v>
      </c>
      <c r="J34" s="765">
        <f>SUMIF(105:105,I34,106:106)-SUMIF(105:105,C34,106:106)+100</f>
        <v>100</v>
      </c>
      <c r="K34" s="1921">
        <v>2</v>
      </c>
      <c r="L34" s="1037"/>
      <c r="M34" s="971"/>
      <c r="N34" s="971"/>
      <c r="O34" s="971"/>
      <c r="P34" s="3369"/>
      <c r="Q34" s="641" t="str">
        <f t="shared" si="11"/>
        <v>建筑结构</v>
      </c>
      <c r="R34" s="1074" t="s">
        <v>956</v>
      </c>
      <c r="S34" s="1075">
        <f t="shared" si="12"/>
        <v>100</v>
      </c>
      <c r="T34" s="1074" t="s">
        <v>956</v>
      </c>
      <c r="U34" s="1075">
        <f t="shared" si="13"/>
        <v>100</v>
      </c>
      <c r="V34" s="1074" t="s">
        <v>956</v>
      </c>
      <c r="W34" s="1075">
        <f t="shared" si="14"/>
        <v>100</v>
      </c>
      <c r="X34" s="1069"/>
      <c r="Y34" s="3335"/>
      <c r="Z34" s="1058" t="str">
        <f t="shared" si="18"/>
        <v>建筑结构</v>
      </c>
      <c r="AA34" s="1058">
        <f t="shared" si="15"/>
        <v>1</v>
      </c>
      <c r="AB34" s="1058">
        <f t="shared" si="16"/>
        <v>1</v>
      </c>
      <c r="AC34" s="1058">
        <f t="shared" si="17"/>
        <v>1</v>
      </c>
    </row>
    <row r="35" spans="1:29" ht="15">
      <c r="A35" s="947"/>
      <c r="B35" s="896" t="s">
        <v>1566</v>
      </c>
      <c r="C35" s="1899"/>
      <c r="D35" s="765">
        <v>100</v>
      </c>
      <c r="E35" s="1899"/>
      <c r="F35" s="1053">
        <f>SUMIF(107:107,E35,108:108)-SUMIF(107:107,C35,108:108)+100</f>
        <v>100</v>
      </c>
      <c r="G35" s="1899"/>
      <c r="H35" s="765">
        <f>SUMIF(107:107,G35,108:108)-SUMIF(107:107,C35,108:108)+100</f>
        <v>100</v>
      </c>
      <c r="I35" s="1905"/>
      <c r="J35" s="765">
        <f>SUMIF(107:107,I35,108:108)-SUMIF(107:107,C35,108:108)+100</f>
        <v>100</v>
      </c>
      <c r="K35" s="1921"/>
      <c r="L35" s="1037"/>
      <c r="M35" s="971"/>
      <c r="N35" s="971"/>
      <c r="O35" s="971"/>
      <c r="P35" s="3369"/>
      <c r="Q35" s="641" t="str">
        <f t="shared" si="11"/>
        <v>建筑品质</v>
      </c>
      <c r="R35" s="1074" t="s">
        <v>956</v>
      </c>
      <c r="S35" s="1075">
        <f t="shared" si="12"/>
        <v>100</v>
      </c>
      <c r="T35" s="1074" t="s">
        <v>956</v>
      </c>
      <c r="U35" s="1075">
        <f t="shared" si="13"/>
        <v>100</v>
      </c>
      <c r="V35" s="1074" t="s">
        <v>956</v>
      </c>
      <c r="W35" s="1075">
        <f t="shared" si="14"/>
        <v>100</v>
      </c>
      <c r="X35" s="1069"/>
      <c r="Y35" s="3335"/>
      <c r="Z35" s="1058" t="str">
        <f t="shared" si="18"/>
        <v>建筑品质</v>
      </c>
      <c r="AA35" s="1058">
        <f t="shared" si="15"/>
        <v>1</v>
      </c>
      <c r="AB35" s="1058">
        <f t="shared" si="16"/>
        <v>1</v>
      </c>
      <c r="AC35" s="1058">
        <f t="shared" si="17"/>
        <v>1</v>
      </c>
    </row>
    <row r="36" spans="1:29" ht="15">
      <c r="A36" s="947"/>
      <c r="B36" s="896" t="s">
        <v>1567</v>
      </c>
      <c r="C36" s="1899" t="s">
        <v>1568</v>
      </c>
      <c r="D36" s="765">
        <v>100</v>
      </c>
      <c r="E36" s="1899" t="s">
        <v>1568</v>
      </c>
      <c r="F36" s="1053">
        <f>SUMIF(109:109,E36,110:110)-SUMIF(109:109,C36,110:110)+100</f>
        <v>100</v>
      </c>
      <c r="G36" s="1899" t="s">
        <v>1568</v>
      </c>
      <c r="H36" s="765">
        <f>SUMIF(109:109,G36,110:110)-SUMIF(109:109,C36,110:110)+100</f>
        <v>100</v>
      </c>
      <c r="I36" s="1899" t="s">
        <v>1568</v>
      </c>
      <c r="J36" s="765">
        <f>SUMIF(109:109,I36,110:110)-SUMIF(109:109,C36,110:110)+100</f>
        <v>100</v>
      </c>
      <c r="K36" s="1921">
        <v>2</v>
      </c>
      <c r="L36" s="1037"/>
      <c r="M36" s="971"/>
      <c r="N36" s="971"/>
      <c r="O36" s="971"/>
      <c r="P36" s="3369"/>
      <c r="Q36" s="641" t="str">
        <f t="shared" si="11"/>
        <v>公共部分装修</v>
      </c>
      <c r="R36" s="1074" t="s">
        <v>956</v>
      </c>
      <c r="S36" s="1075">
        <f t="shared" si="12"/>
        <v>100</v>
      </c>
      <c r="T36" s="1074" t="s">
        <v>956</v>
      </c>
      <c r="U36" s="1075">
        <f t="shared" si="13"/>
        <v>100</v>
      </c>
      <c r="V36" s="1074" t="s">
        <v>956</v>
      </c>
      <c r="W36" s="1075">
        <f t="shared" si="14"/>
        <v>100</v>
      </c>
      <c r="X36" s="1069"/>
      <c r="Y36" s="3335"/>
      <c r="Z36" s="1058" t="str">
        <f t="shared" si="18"/>
        <v>公共部分装修</v>
      </c>
      <c r="AA36" s="1058">
        <f t="shared" si="15"/>
        <v>1</v>
      </c>
      <c r="AB36" s="1058">
        <f t="shared" si="16"/>
        <v>1</v>
      </c>
      <c r="AC36" s="1058">
        <f t="shared" si="17"/>
        <v>1</v>
      </c>
    </row>
    <row r="37" spans="1:29" s="855" customFormat="1" ht="15">
      <c r="A37" s="949"/>
      <c r="B37" s="896" t="s">
        <v>579</v>
      </c>
      <c r="C37" s="1903">
        <v>1</v>
      </c>
      <c r="D37" s="898">
        <v>100</v>
      </c>
      <c r="E37" s="1903">
        <v>1</v>
      </c>
      <c r="F37" s="896">
        <f>LOOKUP(E37,112:112,113:113)-LOOKUP(C37,112:112,113:113)+100</f>
        <v>100</v>
      </c>
      <c r="G37" s="1904">
        <v>1</v>
      </c>
      <c r="H37" s="898">
        <f>LOOKUP(G37,112:112,113:113)-LOOKUP(C37,112:112,113:113)+100</f>
        <v>100</v>
      </c>
      <c r="I37" s="1931">
        <v>1</v>
      </c>
      <c r="J37" s="898">
        <f>LOOKUP(I37,112:112,113:113)-LOOKUP(C37,112:112,113:113)+100</f>
        <v>100</v>
      </c>
      <c r="K37" s="1921">
        <v>1</v>
      </c>
      <c r="L37" s="1026"/>
      <c r="M37" s="1027"/>
      <c r="N37" s="1027"/>
      <c r="O37" s="1027"/>
      <c r="P37" s="3369"/>
      <c r="Q37" s="795" t="str">
        <f t="shared" si="11"/>
        <v>成新度</v>
      </c>
      <c r="R37" s="1070" t="s">
        <v>956</v>
      </c>
      <c r="S37" s="1071">
        <f t="shared" si="12"/>
        <v>100</v>
      </c>
      <c r="T37" s="1070" t="s">
        <v>956</v>
      </c>
      <c r="U37" s="1071">
        <f t="shared" si="13"/>
        <v>100</v>
      </c>
      <c r="V37" s="1070" t="s">
        <v>956</v>
      </c>
      <c r="W37" s="1071">
        <f t="shared" si="14"/>
        <v>100</v>
      </c>
      <c r="X37" s="1072"/>
      <c r="Y37" s="3335"/>
      <c r="Z37" s="1082" t="str">
        <f t="shared" si="18"/>
        <v>成新度</v>
      </c>
      <c r="AA37" s="1082">
        <f t="shared" si="15"/>
        <v>1</v>
      </c>
      <c r="AB37" s="1082">
        <f t="shared" si="16"/>
        <v>1</v>
      </c>
      <c r="AC37" s="1082">
        <f t="shared" si="17"/>
        <v>1</v>
      </c>
    </row>
    <row r="38" spans="1:29" ht="15">
      <c r="A38" s="947"/>
      <c r="B38" s="896" t="s">
        <v>1569</v>
      </c>
      <c r="C38" s="1899" t="s">
        <v>1570</v>
      </c>
      <c r="D38" s="765">
        <v>100</v>
      </c>
      <c r="E38" s="1899" t="s">
        <v>1570</v>
      </c>
      <c r="F38" s="1053">
        <f>SUMIF(114:114,E38,115:115)-SUMIF(114:114,C38,115:115)+100</f>
        <v>100</v>
      </c>
      <c r="G38" s="1899" t="s">
        <v>1570</v>
      </c>
      <c r="H38" s="765">
        <f>SUMIF(114:114,G38,115:115)-SUMIF(114:114,C38,115:115)+100</f>
        <v>100</v>
      </c>
      <c r="I38" s="1899" t="s">
        <v>1570</v>
      </c>
      <c r="J38" s="765">
        <f>SUMIF(114:114,I38,115:115)-SUMIF(114:114,C38,115:115)+100</f>
        <v>100</v>
      </c>
      <c r="K38" s="1921">
        <v>2</v>
      </c>
      <c r="L38" s="1037"/>
      <c r="M38" s="971"/>
      <c r="N38" s="971"/>
      <c r="O38" s="971"/>
      <c r="P38" s="3369" t="s">
        <v>982</v>
      </c>
      <c r="Q38" s="641" t="str">
        <f t="shared" si="11"/>
        <v>物业管理</v>
      </c>
      <c r="R38" s="1074" t="s">
        <v>956</v>
      </c>
      <c r="S38" s="1075">
        <f t="shared" si="12"/>
        <v>100</v>
      </c>
      <c r="T38" s="1074" t="s">
        <v>956</v>
      </c>
      <c r="U38" s="1075">
        <f t="shared" si="13"/>
        <v>100</v>
      </c>
      <c r="V38" s="1074" t="s">
        <v>956</v>
      </c>
      <c r="W38" s="1075">
        <f t="shared" si="14"/>
        <v>100</v>
      </c>
      <c r="X38" s="1069"/>
      <c r="Y38" s="3335" t="s">
        <v>982</v>
      </c>
      <c r="Z38" s="1058" t="str">
        <f t="shared" si="18"/>
        <v>物业管理</v>
      </c>
      <c r="AA38" s="1058">
        <f t="shared" si="15"/>
        <v>1</v>
      </c>
      <c r="AB38" s="1058">
        <f t="shared" si="16"/>
        <v>1</v>
      </c>
      <c r="AC38" s="1058">
        <f t="shared" si="17"/>
        <v>1</v>
      </c>
    </row>
    <row r="39" spans="1:29" ht="15">
      <c r="A39" s="947"/>
      <c r="B39" s="896" t="s">
        <v>1571</v>
      </c>
      <c r="C39" s="1899" t="s">
        <v>246</v>
      </c>
      <c r="D39" s="765">
        <v>100</v>
      </c>
      <c r="E39" s="1899" t="s">
        <v>246</v>
      </c>
      <c r="F39" s="1053">
        <f>SUMIF(116:116,E39,117:117)-SUMIF(116:116,C39,117:117)+100</f>
        <v>100</v>
      </c>
      <c r="G39" s="1905" t="s">
        <v>246</v>
      </c>
      <c r="H39" s="765">
        <f>SUMIF(116:116,G39,117:117)-SUMIF(116:116,C39,117:117)+100</f>
        <v>100</v>
      </c>
      <c r="I39" s="1905" t="s">
        <v>246</v>
      </c>
      <c r="J39" s="765">
        <f>SUMIF(116:116,I39,117:117)-SUMIF(116:116,C39,117:117)+100</f>
        <v>100</v>
      </c>
      <c r="K39" s="1921">
        <v>1</v>
      </c>
      <c r="L39" s="1037"/>
      <c r="M39" s="971"/>
      <c r="N39" s="971"/>
      <c r="O39" s="971"/>
      <c r="P39" s="3369"/>
      <c r="Q39" s="641" t="str">
        <f t="shared" si="11"/>
        <v>市政基础设施</v>
      </c>
      <c r="R39" s="1074" t="s">
        <v>956</v>
      </c>
      <c r="S39" s="1075">
        <f t="shared" si="12"/>
        <v>100</v>
      </c>
      <c r="T39" s="1074" t="s">
        <v>956</v>
      </c>
      <c r="U39" s="1075">
        <f t="shared" si="13"/>
        <v>100</v>
      </c>
      <c r="V39" s="1074" t="s">
        <v>956</v>
      </c>
      <c r="W39" s="1075">
        <f t="shared" si="14"/>
        <v>100</v>
      </c>
      <c r="X39" s="1069"/>
      <c r="Y39" s="3335"/>
      <c r="Z39" s="1058" t="str">
        <f t="shared" si="18"/>
        <v>市政基础设施</v>
      </c>
      <c r="AA39" s="1058">
        <f t="shared" si="15"/>
        <v>1</v>
      </c>
      <c r="AB39" s="1058">
        <f t="shared" si="16"/>
        <v>1</v>
      </c>
      <c r="AC39" s="1058">
        <f t="shared" si="17"/>
        <v>1</v>
      </c>
    </row>
    <row r="40" spans="1:29" ht="15">
      <c r="A40" s="947"/>
      <c r="B40" s="896" t="s">
        <v>1572</v>
      </c>
      <c r="C40" s="1899"/>
      <c r="D40" s="765">
        <v>100</v>
      </c>
      <c r="E40" s="1899"/>
      <c r="F40" s="1053">
        <f>SUMIF(118:118,E40,119:119)-SUMIF(118:118,C40,119:119)+100</f>
        <v>100</v>
      </c>
      <c r="G40" s="1899"/>
      <c r="H40" s="765">
        <f>SUMIF(118:118,G40,119:119)-SUMIF(118:118,C40,119:119)+100</f>
        <v>100</v>
      </c>
      <c r="I40" s="1905"/>
      <c r="J40" s="765">
        <f>SUMIF(118:118,I40,119:119)-SUMIF(118:118,C40,119:119)+100</f>
        <v>100</v>
      </c>
      <c r="K40" s="1921"/>
      <c r="L40" s="1037"/>
      <c r="M40" s="971"/>
      <c r="N40" s="971"/>
      <c r="O40" s="971"/>
      <c r="P40" s="3369"/>
      <c r="Q40" s="641" t="str">
        <f t="shared" si="11"/>
        <v>房型</v>
      </c>
      <c r="R40" s="1074" t="s">
        <v>956</v>
      </c>
      <c r="S40" s="1075">
        <f t="shared" si="12"/>
        <v>100</v>
      </c>
      <c r="T40" s="1074" t="s">
        <v>956</v>
      </c>
      <c r="U40" s="1075">
        <f t="shared" si="13"/>
        <v>100</v>
      </c>
      <c r="V40" s="1074" t="s">
        <v>956</v>
      </c>
      <c r="W40" s="1075">
        <f t="shared" si="14"/>
        <v>100</v>
      </c>
      <c r="X40" s="1069"/>
      <c r="Y40" s="3335"/>
      <c r="Z40" s="1058" t="str">
        <f t="shared" si="18"/>
        <v>房型</v>
      </c>
      <c r="AA40" s="1058">
        <f t="shared" si="15"/>
        <v>1</v>
      </c>
      <c r="AB40" s="1058">
        <f t="shared" si="16"/>
        <v>1</v>
      </c>
      <c r="AC40" s="1058">
        <f t="shared" si="17"/>
        <v>1</v>
      </c>
    </row>
    <row r="41" spans="1:29" s="857" customFormat="1" ht="28.5">
      <c r="A41" s="952"/>
      <c r="B41" s="896" t="s">
        <v>1573</v>
      </c>
      <c r="C41" s="1906"/>
      <c r="D41" s="898">
        <v>100</v>
      </c>
      <c r="E41" s="1906"/>
      <c r="F41" s="896">
        <f>SUMIF(120:120,E41,121:121)-SUMIF(120:120,C41,121:121)+100</f>
        <v>100</v>
      </c>
      <c r="G41" s="1907"/>
      <c r="H41" s="898">
        <f>SUMIF(120:120,G41,121:121)-SUMIF(120:120,C41,121:121)+100</f>
        <v>100</v>
      </c>
      <c r="I41" s="1907"/>
      <c r="J41" s="765">
        <f>SUMIF(120:120,I41,121:121)-SUMIF(120:120,C41,121:121)+100</f>
        <v>100</v>
      </c>
      <c r="K41" s="1922"/>
      <c r="L41" s="1035"/>
      <c r="M41" s="1045"/>
      <c r="N41" s="1045"/>
      <c r="O41" s="1045"/>
      <c r="P41" s="3369"/>
      <c r="Q41" s="1244" t="str">
        <f t="shared" si="11"/>
        <v>单套/主力户型建筑面积</v>
      </c>
      <c r="R41" s="1076" t="s">
        <v>956</v>
      </c>
      <c r="S41" s="1077">
        <f t="shared" si="12"/>
        <v>100</v>
      </c>
      <c r="T41" s="1076" t="s">
        <v>956</v>
      </c>
      <c r="U41" s="1077">
        <f t="shared" si="13"/>
        <v>100</v>
      </c>
      <c r="V41" s="1076" t="s">
        <v>956</v>
      </c>
      <c r="W41" s="1077">
        <f t="shared" si="14"/>
        <v>100</v>
      </c>
      <c r="X41" s="1078"/>
      <c r="Y41" s="3335"/>
      <c r="Z41" s="1083" t="str">
        <f t="shared" si="18"/>
        <v>单套/主力户型建筑面积</v>
      </c>
      <c r="AA41" s="1058">
        <f t="shared" si="15"/>
        <v>1</v>
      </c>
      <c r="AB41" s="1058">
        <f t="shared" si="16"/>
        <v>1</v>
      </c>
      <c r="AC41" s="1058">
        <f t="shared" si="17"/>
        <v>1</v>
      </c>
    </row>
    <row r="42" spans="1:29" ht="15">
      <c r="A42" s="947"/>
      <c r="B42" s="896" t="s">
        <v>1574</v>
      </c>
      <c r="C42" s="1899" t="s">
        <v>1568</v>
      </c>
      <c r="D42" s="765">
        <v>100</v>
      </c>
      <c r="E42" s="1899" t="s">
        <v>1568</v>
      </c>
      <c r="F42" s="1053">
        <f>SUMIF(122:122,E42,123:123)-SUMIF(122:122,C42,123:123)+100</f>
        <v>100</v>
      </c>
      <c r="G42" s="1899" t="s">
        <v>1568</v>
      </c>
      <c r="H42" s="765">
        <f>SUMIF(122:122,G42,123:123)-SUMIF(122:122,C42,123:123)+100</f>
        <v>100</v>
      </c>
      <c r="I42" s="1899" t="s">
        <v>1568</v>
      </c>
      <c r="J42" s="765">
        <f>SUMIF(122:122,I42,123:123)-SUMIF(122:122,C42,123:123)+100</f>
        <v>100</v>
      </c>
      <c r="K42" s="1921">
        <v>2</v>
      </c>
      <c r="L42" s="1037"/>
      <c r="M42" s="971"/>
      <c r="N42" s="971"/>
      <c r="O42" s="971"/>
      <c r="P42" s="3369"/>
      <c r="Q42" s="641" t="str">
        <f t="shared" si="11"/>
        <v>内部装修</v>
      </c>
      <c r="R42" s="1074" t="s">
        <v>956</v>
      </c>
      <c r="S42" s="1075">
        <f t="shared" si="12"/>
        <v>100</v>
      </c>
      <c r="T42" s="1074" t="s">
        <v>956</v>
      </c>
      <c r="U42" s="1075">
        <f t="shared" si="13"/>
        <v>100</v>
      </c>
      <c r="V42" s="1074" t="s">
        <v>956</v>
      </c>
      <c r="W42" s="1075">
        <f t="shared" si="14"/>
        <v>100</v>
      </c>
      <c r="X42" s="1069"/>
      <c r="Y42" s="3335"/>
      <c r="Z42" s="1058" t="str">
        <f t="shared" si="18"/>
        <v>内部装修</v>
      </c>
      <c r="AA42" s="1058">
        <f t="shared" si="15"/>
        <v>1</v>
      </c>
      <c r="AB42" s="1058">
        <f t="shared" si="16"/>
        <v>1</v>
      </c>
      <c r="AC42" s="1058">
        <f t="shared" si="17"/>
        <v>1</v>
      </c>
    </row>
    <row r="43" spans="1:29" ht="15">
      <c r="A43" s="947"/>
      <c r="B43" s="896" t="s">
        <v>1576</v>
      </c>
      <c r="C43" s="1899" t="s">
        <v>970</v>
      </c>
      <c r="D43" s="765">
        <v>100</v>
      </c>
      <c r="E43" s="1899" t="s">
        <v>970</v>
      </c>
      <c r="F43" s="1053">
        <f>SUMIF(124:124,E43,125:125)-SUMIF(124:124,C43,125:125)+100</f>
        <v>100</v>
      </c>
      <c r="G43" s="1899" t="s">
        <v>970</v>
      </c>
      <c r="H43" s="765">
        <f>SUMIF(124:124,G43,125:125)-SUMIF(124:124,C43,125:125)+100</f>
        <v>100</v>
      </c>
      <c r="I43" s="1899" t="s">
        <v>970</v>
      </c>
      <c r="J43" s="765">
        <f>SUMIF(124:124,I43,125:125)-SUMIF(124:124,C43,125:125)+100</f>
        <v>100</v>
      </c>
      <c r="K43" s="1921">
        <v>2</v>
      </c>
      <c r="L43" s="1037"/>
      <c r="M43" s="971"/>
      <c r="N43" s="971"/>
      <c r="O43" s="971"/>
      <c r="P43" s="3369"/>
      <c r="Q43" s="641" t="str">
        <f t="shared" si="11"/>
        <v>内部装修维护情况</v>
      </c>
      <c r="R43" s="1074" t="s">
        <v>956</v>
      </c>
      <c r="S43" s="1075">
        <f t="shared" si="12"/>
        <v>100</v>
      </c>
      <c r="T43" s="1074" t="s">
        <v>956</v>
      </c>
      <c r="U43" s="1075">
        <f t="shared" si="13"/>
        <v>100</v>
      </c>
      <c r="V43" s="1074" t="s">
        <v>956</v>
      </c>
      <c r="W43" s="1075">
        <f t="shared" si="14"/>
        <v>100</v>
      </c>
      <c r="X43" s="1069"/>
      <c r="Y43" s="3335"/>
      <c r="Z43" s="1058" t="str">
        <f t="shared" si="18"/>
        <v>内部装修维护情况</v>
      </c>
      <c r="AA43" s="1058">
        <f t="shared" si="15"/>
        <v>1</v>
      </c>
      <c r="AB43" s="1058">
        <f t="shared" si="16"/>
        <v>1</v>
      </c>
      <c r="AC43" s="1058">
        <f t="shared" si="17"/>
        <v>1</v>
      </c>
    </row>
    <row r="44" spans="1:29" s="855" customFormat="1" ht="15">
      <c r="A44" s="949"/>
      <c r="B44" s="3079"/>
      <c r="C44" s="3080"/>
      <c r="D44" s="898">
        <v>100</v>
      </c>
      <c r="E44" s="3080"/>
      <c r="F44" s="896">
        <f>SUMIF(126:126,E44,127:127)-SUMIF(126:126,C44,127:127)+100</f>
        <v>100</v>
      </c>
      <c r="G44" s="3080"/>
      <c r="H44" s="898">
        <f>SUMIF(126:126,G44,127:127)-SUMIF(126:126,C44,127:127)+100</f>
        <v>100</v>
      </c>
      <c r="I44" s="3080"/>
      <c r="J44" s="898">
        <f>SUMIF(126:126,I44,127:127)-SUMIF(126:126,C44,127:127)+100</f>
        <v>100</v>
      </c>
      <c r="K44" s="1922"/>
      <c r="L44" s="1026"/>
      <c r="M44" s="1027"/>
      <c r="N44" s="1027"/>
      <c r="O44" s="1027"/>
      <c r="P44" s="3369"/>
      <c r="Q44" s="795">
        <f t="shared" si="11"/>
        <v>0</v>
      </c>
      <c r="R44" s="1070" t="s">
        <v>956</v>
      </c>
      <c r="S44" s="1071">
        <f t="shared" si="12"/>
        <v>100</v>
      </c>
      <c r="T44" s="1070" t="s">
        <v>956</v>
      </c>
      <c r="U44" s="1071">
        <f t="shared" si="13"/>
        <v>100</v>
      </c>
      <c r="V44" s="1070" t="s">
        <v>956</v>
      </c>
      <c r="W44" s="1071">
        <f t="shared" si="14"/>
        <v>100</v>
      </c>
      <c r="X44" s="1072"/>
      <c r="Y44" s="3335"/>
      <c r="Z44" s="1082">
        <f t="shared" si="18"/>
        <v>0</v>
      </c>
      <c r="AA44" s="1082">
        <f t="shared" si="15"/>
        <v>1</v>
      </c>
      <c r="AB44" s="1082">
        <f t="shared" si="16"/>
        <v>1</v>
      </c>
      <c r="AC44" s="1082">
        <f t="shared" si="17"/>
        <v>1</v>
      </c>
    </row>
    <row r="45" spans="1:29" ht="15">
      <c r="A45" s="947"/>
      <c r="B45" s="1133"/>
      <c r="C45" s="907"/>
      <c r="D45" s="765">
        <v>100</v>
      </c>
      <c r="E45" s="907"/>
      <c r="F45" s="1053">
        <f>SUMIF(128:128,E45,129:129)-SUMIF(128:128,C45,129:129)+100</f>
        <v>100</v>
      </c>
      <c r="G45" s="1890"/>
      <c r="H45" s="765">
        <f>SUMIF(128:128,G45,129:129)-SUMIF(128:128,C45,129:129)+100</f>
        <v>100</v>
      </c>
      <c r="I45" s="1890"/>
      <c r="J45" s="765">
        <f>SUMIF(128:128,I45,129:129)-SUMIF(128:128,C45,129:129)+100</f>
        <v>100</v>
      </c>
      <c r="K45" s="1922"/>
      <c r="L45" s="1037"/>
      <c r="M45" s="971"/>
      <c r="N45" s="971"/>
      <c r="O45" s="971"/>
      <c r="P45" s="3369"/>
      <c r="Q45" s="641">
        <f t="shared" si="11"/>
        <v>0</v>
      </c>
      <c r="R45" s="1074" t="s">
        <v>956</v>
      </c>
      <c r="S45" s="1075">
        <f t="shared" si="12"/>
        <v>100</v>
      </c>
      <c r="T45" s="1074" t="s">
        <v>956</v>
      </c>
      <c r="U45" s="1075">
        <f t="shared" si="13"/>
        <v>100</v>
      </c>
      <c r="V45" s="1074" t="s">
        <v>956</v>
      </c>
      <c r="W45" s="1075">
        <f t="shared" si="14"/>
        <v>100</v>
      </c>
      <c r="X45" s="1069"/>
      <c r="Y45" s="3335"/>
      <c r="Z45" s="1058">
        <f t="shared" si="18"/>
        <v>0</v>
      </c>
      <c r="AA45" s="1058">
        <f t="shared" si="15"/>
        <v>1</v>
      </c>
      <c r="AB45" s="1058">
        <f t="shared" si="16"/>
        <v>1</v>
      </c>
      <c r="AC45" s="1058">
        <f t="shared" si="17"/>
        <v>1</v>
      </c>
    </row>
    <row r="46" spans="1:29" ht="15">
      <c r="A46" s="1224"/>
      <c r="B46" s="909"/>
      <c r="C46" s="910"/>
      <c r="D46" s="911">
        <v>100</v>
      </c>
      <c r="E46" s="910"/>
      <c r="F46" s="1225">
        <f>SUMIF(130:130,E46,131:131)-SUMIF(130:130,C46,131:131)+100</f>
        <v>100</v>
      </c>
      <c r="G46" s="1891"/>
      <c r="H46" s="911">
        <f>SUMIF(130:130,G46,131:131)-SUMIF(130:130,C46,131:131)+100</f>
        <v>100</v>
      </c>
      <c r="I46" s="1891"/>
      <c r="J46" s="911">
        <f>SUMIF(130:130,I46,131:131)-SUMIF(130:130,C46,131:131)+100</f>
        <v>100</v>
      </c>
      <c r="K46" s="1922"/>
      <c r="L46" s="1037"/>
      <c r="M46" s="971"/>
      <c r="N46" s="971"/>
      <c r="O46" s="971"/>
      <c r="P46" s="3370"/>
      <c r="Q46" s="641">
        <f t="shared" si="11"/>
        <v>0</v>
      </c>
      <c r="R46" s="1074" t="s">
        <v>956</v>
      </c>
      <c r="S46" s="1075">
        <f t="shared" si="12"/>
        <v>100</v>
      </c>
      <c r="T46" s="1074" t="s">
        <v>956</v>
      </c>
      <c r="U46" s="1075">
        <f t="shared" si="13"/>
        <v>100</v>
      </c>
      <c r="V46" s="1074" t="s">
        <v>956</v>
      </c>
      <c r="W46" s="1075">
        <f t="shared" si="14"/>
        <v>100</v>
      </c>
      <c r="X46" s="1069"/>
      <c r="Y46" s="3371"/>
      <c r="Z46" s="1058">
        <f t="shared" si="18"/>
        <v>0</v>
      </c>
      <c r="AA46" s="1058">
        <f t="shared" si="15"/>
        <v>1</v>
      </c>
      <c r="AB46" s="1058">
        <f t="shared" si="16"/>
        <v>1</v>
      </c>
      <c r="AC46" s="1058">
        <f t="shared" si="17"/>
        <v>1</v>
      </c>
    </row>
    <row r="47" spans="1:29" ht="15">
      <c r="A47" s="954" t="s">
        <v>1577</v>
      </c>
      <c r="B47" s="1226"/>
      <c r="C47" s="1227" t="s">
        <v>124</v>
      </c>
      <c r="D47" s="957"/>
      <c r="E47" s="958">
        <v>28346</v>
      </c>
      <c r="F47" s="959"/>
      <c r="G47" s="1932">
        <v>30330</v>
      </c>
      <c r="H47" s="961"/>
      <c r="I47" s="1932">
        <v>29714</v>
      </c>
      <c r="J47" s="961"/>
      <c r="K47" s="1933"/>
      <c r="L47" s="1050"/>
      <c r="M47" s="971"/>
      <c r="N47" s="971"/>
      <c r="O47" s="971"/>
      <c r="P47" s="3330" t="str">
        <f>A47</f>
        <v>成交单价（元/平方米）</v>
      </c>
      <c r="Q47" s="3330"/>
      <c r="R47" s="3331">
        <f>E47</f>
        <v>28346</v>
      </c>
      <c r="S47" s="3331"/>
      <c r="T47" s="3331">
        <f>G47</f>
        <v>30330</v>
      </c>
      <c r="U47" s="3331"/>
      <c r="V47" s="3331">
        <f>I47</f>
        <v>29714</v>
      </c>
      <c r="W47" s="3331"/>
      <c r="X47" s="1011"/>
      <c r="Y47" s="1084"/>
      <c r="Z47" s="1011"/>
      <c r="AA47" s="1011"/>
      <c r="AB47" s="1011"/>
      <c r="AC47" s="1011"/>
    </row>
    <row r="48" spans="1:29" ht="15">
      <c r="A48" s="962" t="s">
        <v>993</v>
      </c>
      <c r="B48" s="1228"/>
      <c r="C48" s="1229">
        <f>R49</f>
        <v>27888</v>
      </c>
      <c r="D48" s="965" t="s">
        <v>994</v>
      </c>
      <c r="E48" s="1230">
        <f>R48</f>
        <v>28007</v>
      </c>
      <c r="F48" s="966"/>
      <c r="G48" s="1229">
        <f>T48</f>
        <v>28114</v>
      </c>
      <c r="H48" s="966"/>
      <c r="I48" s="1230">
        <f>V48</f>
        <v>27543</v>
      </c>
      <c r="J48" s="966"/>
      <c r="K48" s="1934">
        <f>F48+H48+J48</f>
        <v>0</v>
      </c>
      <c r="L48" s="1050"/>
      <c r="M48" s="971"/>
      <c r="N48" s="971"/>
      <c r="O48" s="971"/>
      <c r="P48" s="3330" t="str">
        <f>A48</f>
        <v>比较价值（元/平方米）</v>
      </c>
      <c r="Q48" s="3330"/>
      <c r="R48" s="3331">
        <f>IF(F1="售价",ROUND(PRODUCT(R47,AA7:AA46),0),ROUND(PRODUCT(R47,AA7:AA46),1))</f>
        <v>28007</v>
      </c>
      <c r="S48" s="3331"/>
      <c r="T48" s="3331">
        <f>IF(F1="售价",ROUND(PRODUCT(T47,AB7:AB46),0),ROUND(PRODUCT(T47,AB7:AB46),1))</f>
        <v>28114</v>
      </c>
      <c r="U48" s="3331"/>
      <c r="V48" s="3331">
        <f>IF(F1="售价",ROUND(PRODUCT(V47,AC7:AC46),0),ROUND(PRODUCT(V47,AC7:AC46),1))</f>
        <v>27543</v>
      </c>
      <c r="W48" s="3331"/>
      <c r="X48" s="1011"/>
      <c r="Y48" s="1011"/>
      <c r="Z48" s="1011"/>
      <c r="AA48" s="1011"/>
      <c r="AB48" s="1011"/>
      <c r="AC48" s="1011"/>
    </row>
    <row r="49" spans="1:29" ht="15">
      <c r="A49" s="968" t="s">
        <v>1578</v>
      </c>
      <c r="B49" s="969"/>
      <c r="C49" s="1908">
        <f>R49</f>
        <v>27888</v>
      </c>
      <c r="D49" s="881"/>
      <c r="E49" s="881"/>
      <c r="F49" s="881"/>
      <c r="G49" s="881"/>
      <c r="H49" s="881"/>
      <c r="I49" s="881"/>
      <c r="J49" s="881"/>
      <c r="K49" s="1935"/>
      <c r="L49" s="1050"/>
      <c r="M49" s="971"/>
      <c r="N49" s="971"/>
      <c r="O49" s="971"/>
      <c r="P49" s="3354" t="str">
        <f>A49</f>
        <v>估价对象XX用房的比较价值（楼面单价，元/平方米）</v>
      </c>
      <c r="Q49" s="3355"/>
      <c r="R49" s="3372">
        <f>IF(F1="售价",ROUND(IF(D48="简单平均",AVERAGE(R48:V48),R48*F48+T48*H48+V48*J48),0),ROUND(IF(D48="简单平均",AVERAGE(R48:V48),R48*F48+T48*H48+V48*J48),1))</f>
        <v>27888</v>
      </c>
      <c r="S49" s="3372"/>
      <c r="T49" s="3372"/>
      <c r="U49" s="3372"/>
      <c r="V49" s="3372"/>
      <c r="W49" s="3372"/>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row>
    <row r="51" spans="1:29">
      <c r="A51" s="971"/>
      <c r="B51" s="971"/>
      <c r="C51" s="971"/>
      <c r="D51" s="971"/>
      <c r="E51" s="971"/>
      <c r="F51" s="971"/>
      <c r="G51" s="971"/>
      <c r="H51" s="971"/>
      <c r="I51" s="971"/>
      <c r="J51" s="971"/>
      <c r="K51" s="1054"/>
      <c r="L51" s="1055"/>
      <c r="M51" s="971"/>
      <c r="N51" s="971"/>
      <c r="O51" s="971"/>
    </row>
    <row r="52" spans="1:29" ht="13.5" customHeight="1">
      <c r="A52" s="971"/>
      <c r="B52" s="971"/>
      <c r="C52" s="973" t="s">
        <v>996</v>
      </c>
      <c r="D52" s="683"/>
      <c r="E52" s="974">
        <f>IF(E47&lt;E48,E48/E47-1,E47/E48-1)</f>
        <v>1.2104116827935885E-2</v>
      </c>
      <c r="F52" s="975" t="str">
        <f>IF(OR(E52&gt;=0.3,E52&lt;=-0.3),"超过30%","")</f>
        <v/>
      </c>
      <c r="G52" s="974">
        <f>IF(G47&lt;G48,G48/G47-1,G47/G48-1)</f>
        <v>7.8821939247350148E-2</v>
      </c>
      <c r="H52" s="975" t="str">
        <f>IF(OR(G52&gt;=0.3,G52&lt;=-0.3),"超过30%","")</f>
        <v/>
      </c>
      <c r="I52" s="974">
        <f>IF(I47&lt;I48,I48/I47-1,I47/I48-1)</f>
        <v>7.8822205279018176E-2</v>
      </c>
      <c r="J52" s="975" t="str">
        <f>IF(OR(I52&gt;=0.3,I52&lt;=-0.3),"超过30%","")</f>
        <v/>
      </c>
      <c r="K52" s="1054"/>
      <c r="L52" s="1055"/>
      <c r="M52" s="971"/>
      <c r="N52" s="971"/>
      <c r="O52" s="971"/>
    </row>
    <row r="53" spans="1:29" ht="13.5" customHeight="1">
      <c r="A53" s="971"/>
      <c r="B53" s="971"/>
      <c r="C53" s="973" t="s">
        <v>997</v>
      </c>
      <c r="D53" s="682"/>
      <c r="E53" s="974">
        <f>IF(E48&lt;G48,G48/E48-1,E48/G48-1)</f>
        <v>3.8204734530653539E-3</v>
      </c>
      <c r="F53" s="975" t="str">
        <f>IF(OR(E53&gt;=0.2,E53&lt;=-0.2),"超过20%","")</f>
        <v/>
      </c>
      <c r="G53" s="974">
        <f>IF(G48&lt;I48,I48/G48-1,G48/I48-1)</f>
        <v>2.0731220273753737E-2</v>
      </c>
      <c r="H53" s="975" t="str">
        <f>IF(OR(G53&gt;=0.2,G53&lt;=-0.2),"超过20%","")</f>
        <v/>
      </c>
      <c r="I53" s="974">
        <f>IF(I48&lt;E48,E48/I48-1,I48/E48-1)</f>
        <v>1.684638565152663E-2</v>
      </c>
      <c r="J53" s="975" t="str">
        <f>IF(OR(I53&gt;=0.2,I53&lt;=-0.2),"超过20%","")</f>
        <v/>
      </c>
      <c r="K53" s="1054"/>
      <c r="L53" s="1055"/>
      <c r="M53" s="971"/>
      <c r="N53" s="971"/>
      <c r="O53" s="971"/>
    </row>
    <row r="54" spans="1:29" s="858" customFormat="1" ht="13.5" customHeight="1">
      <c r="A54" s="976"/>
      <c r="B54" s="976"/>
      <c r="C54" s="973" t="s">
        <v>998</v>
      </c>
      <c r="D54" s="682"/>
      <c r="E54" s="974">
        <f>IF(E47&lt;G47,G47/E47-1,E47/G47-1)</f>
        <v>6.9992238763846748E-2</v>
      </c>
      <c r="F54" s="975" t="str">
        <f>IF(OR(E54&gt;=0.3,E54&lt;=-0.3),"超过30%","")</f>
        <v/>
      </c>
      <c r="G54" s="974">
        <f>IF(G47&lt;I47,I47/G47-1,G47/I47-1)</f>
        <v>2.0730968567005403E-2</v>
      </c>
      <c r="H54" s="975" t="str">
        <f>IF(OR(G54&gt;=0.3,G54&lt;=-0.3),"超过30%","")</f>
        <v/>
      </c>
      <c r="I54" s="974">
        <f>IF(I47&lt;E47,E47/I47-1,I47/E47-1)</f>
        <v>4.8260777534749222E-2</v>
      </c>
      <c r="J54" s="975" t="str">
        <f>IF(OR(I54&gt;=0.3,I54&lt;=-0.3),"超过30%","")</f>
        <v/>
      </c>
      <c r="K54" s="1056"/>
      <c r="L54" s="1057"/>
      <c r="M54" s="976"/>
      <c r="N54" s="976"/>
      <c r="O54" s="976"/>
      <c r="P54" s="1936"/>
    </row>
    <row r="55" spans="1:29" s="858" customFormat="1">
      <c r="A55" s="976"/>
      <c r="B55" s="977"/>
      <c r="C55" s="1231"/>
      <c r="D55" s="976"/>
      <c r="E55" s="976"/>
      <c r="F55" s="976"/>
      <c r="G55" s="976"/>
      <c r="H55" s="976"/>
      <c r="I55" s="976"/>
      <c r="J55" s="976"/>
      <c r="K55" s="1056"/>
      <c r="L55" s="1057"/>
      <c r="M55" s="976"/>
      <c r="N55" s="976"/>
      <c r="O55" s="976"/>
      <c r="P55" s="1936"/>
    </row>
    <row r="56" spans="1:29">
      <c r="A56" s="971"/>
      <c r="B56" s="977"/>
      <c r="C56" s="1231"/>
      <c r="D56" s="971"/>
      <c r="E56" s="971"/>
      <c r="F56" s="971"/>
      <c r="G56" s="971"/>
      <c r="H56" s="971"/>
      <c r="I56" s="971"/>
      <c r="J56" s="971"/>
      <c r="K56" s="1054"/>
      <c r="L56" s="1055"/>
      <c r="M56" s="971"/>
      <c r="N56" s="971"/>
      <c r="O56" s="971"/>
    </row>
    <row r="57" spans="1:29" ht="21">
      <c r="A57" s="1010" t="s">
        <v>1023</v>
      </c>
      <c r="B57" s="1011"/>
      <c r="C57" s="1012"/>
      <c r="D57" s="1012"/>
      <c r="E57" s="1012"/>
      <c r="F57" s="1013"/>
      <c r="G57" s="1013"/>
      <c r="H57" s="1012"/>
      <c r="I57" s="1012"/>
      <c r="J57" s="1012"/>
      <c r="K57" s="1306"/>
      <c r="L57" s="1307"/>
      <c r="M57" s="1066"/>
      <c r="N57" s="1066"/>
      <c r="O57" s="1066"/>
      <c r="P57" s="1937"/>
      <c r="Q57" s="1358"/>
    </row>
    <row r="58" spans="1:29" s="860" customFormat="1" ht="15">
      <c r="A58" s="1232" t="s">
        <v>954</v>
      </c>
      <c r="B58" s="1233"/>
      <c r="C58" s="1909" t="str">
        <f>YEAR(C7)&amp;"-"&amp;MONTH(C7)</f>
        <v>2024-7</v>
      </c>
      <c r="D58" s="1235">
        <f>EDATE(C58,-1)</f>
        <v>45444</v>
      </c>
      <c r="E58" s="1235">
        <f>EDATE(D58,-1)</f>
        <v>45413</v>
      </c>
      <c r="F58" s="1235">
        <f t="shared" ref="F58:O58" si="19">EDATE(E58,-1)</f>
        <v>45383</v>
      </c>
      <c r="G58" s="1235">
        <f t="shared" si="19"/>
        <v>45352</v>
      </c>
      <c r="H58" s="1235">
        <f t="shared" si="19"/>
        <v>45323</v>
      </c>
      <c r="I58" s="1235">
        <f t="shared" si="19"/>
        <v>45292</v>
      </c>
      <c r="J58" s="1235">
        <f t="shared" si="19"/>
        <v>45261</v>
      </c>
      <c r="K58" s="1235">
        <f t="shared" si="19"/>
        <v>45231</v>
      </c>
      <c r="L58" s="1235">
        <f t="shared" si="19"/>
        <v>45200</v>
      </c>
      <c r="M58" s="1235">
        <f t="shared" si="19"/>
        <v>45170</v>
      </c>
      <c r="N58" s="1235">
        <f t="shared" si="19"/>
        <v>45139</v>
      </c>
      <c r="O58" s="1235">
        <f t="shared" si="19"/>
        <v>45108</v>
      </c>
      <c r="P58" s="1938"/>
    </row>
    <row r="59" spans="1:29" s="855" customFormat="1" ht="15">
      <c r="A59" s="928"/>
      <c r="B59" s="1910"/>
      <c r="C59" s="1236">
        <v>100</v>
      </c>
      <c r="D59" s="1911">
        <v>100</v>
      </c>
      <c r="E59" s="1911">
        <v>100</v>
      </c>
      <c r="F59" s="1911">
        <v>100</v>
      </c>
      <c r="G59" s="1911">
        <v>100</v>
      </c>
      <c r="H59" s="1911">
        <v>100</v>
      </c>
      <c r="I59" s="1911">
        <v>100</v>
      </c>
      <c r="J59" s="1100"/>
      <c r="K59" s="1100"/>
      <c r="L59" s="1100"/>
      <c r="M59" s="903"/>
      <c r="N59" s="1100"/>
      <c r="O59" s="903"/>
      <c r="P59" s="1939"/>
    </row>
    <row r="60" spans="1:29" s="855" customFormat="1" ht="15">
      <c r="A60" s="1091" t="s">
        <v>1026</v>
      </c>
      <c r="B60" s="1092"/>
      <c r="C60" s="1093"/>
      <c r="D60" s="1094"/>
      <c r="E60" s="1094"/>
      <c r="F60" s="1094"/>
      <c r="G60" s="1094"/>
      <c r="H60" s="1094"/>
      <c r="I60" s="1094"/>
      <c r="J60" s="1094"/>
      <c r="K60" s="1094"/>
      <c r="L60" s="1094"/>
      <c r="M60" s="1134"/>
      <c r="N60" s="1094"/>
      <c r="O60" s="1134"/>
      <c r="P60" s="1939"/>
      <c r="Q60" s="1358"/>
    </row>
    <row r="61" spans="1:29" s="855" customFormat="1" ht="15">
      <c r="A61" s="1095" t="s">
        <v>957</v>
      </c>
      <c r="B61" s="1096"/>
      <c r="C61" s="1097" t="s">
        <v>958</v>
      </c>
      <c r="D61" s="1098"/>
      <c r="E61" s="1098"/>
      <c r="F61" s="1098"/>
      <c r="G61" s="1098"/>
      <c r="H61" s="1098"/>
      <c r="I61" s="1098"/>
      <c r="J61" s="1098"/>
      <c r="K61" s="1098"/>
      <c r="L61" s="1136"/>
      <c r="M61" s="1137"/>
      <c r="N61" s="1361"/>
      <c r="O61" s="1361"/>
      <c r="P61" s="1940"/>
      <c r="Q61" s="1358"/>
    </row>
    <row r="62" spans="1:29" s="855" customFormat="1" ht="15">
      <c r="A62" s="1095"/>
      <c r="B62" s="1096"/>
      <c r="C62" s="1383">
        <v>100</v>
      </c>
      <c r="D62" s="1100"/>
      <c r="E62" s="1100"/>
      <c r="F62" s="1100"/>
      <c r="G62" s="1100"/>
      <c r="H62" s="1100"/>
      <c r="I62" s="1100"/>
      <c r="J62" s="1100"/>
      <c r="K62" s="1100"/>
      <c r="L62" s="1100"/>
      <c r="M62" s="1139"/>
      <c r="N62" s="1361"/>
      <c r="O62" s="1361"/>
      <c r="P62" s="1939"/>
      <c r="Q62" s="1358"/>
    </row>
    <row r="63" spans="1:29">
      <c r="A63" s="912" t="s">
        <v>1027</v>
      </c>
      <c r="B63" s="1101" t="s">
        <v>961</v>
      </c>
      <c r="C63" s="637" t="str">
        <f>C9</f>
        <v>住宅</v>
      </c>
      <c r="D63" s="1047"/>
      <c r="E63" s="1047"/>
      <c r="F63" s="1047"/>
      <c r="G63" s="1047"/>
      <c r="H63" s="1047"/>
      <c r="I63" s="1047"/>
      <c r="J63" s="1047"/>
      <c r="K63" s="1140"/>
      <c r="L63" s="1141"/>
      <c r="M63" s="1142"/>
      <c r="N63" s="1363"/>
      <c r="O63" s="1363"/>
      <c r="P63" s="1941"/>
      <c r="Q63" s="1358"/>
    </row>
    <row r="64" spans="1:29" ht="15">
      <c r="A64" s="899"/>
      <c r="B64" s="1102"/>
      <c r="C64" s="1103">
        <v>100</v>
      </c>
      <c r="D64" s="1103"/>
      <c r="E64" s="1103"/>
      <c r="F64" s="1103"/>
      <c r="G64" s="1103"/>
      <c r="H64" s="1103"/>
      <c r="I64" s="1103"/>
      <c r="J64" s="1103"/>
      <c r="K64" s="1103"/>
      <c r="L64" s="1103"/>
      <c r="M64" s="1144"/>
      <c r="N64" s="1365"/>
      <c r="O64" s="1365"/>
      <c r="P64" s="1941"/>
      <c r="Q64" s="1358"/>
    </row>
    <row r="65" spans="1:17" ht="27">
      <c r="A65" s="899"/>
      <c r="B65" s="1104" t="s">
        <v>964</v>
      </c>
      <c r="C65" s="1105" t="s">
        <v>1579</v>
      </c>
      <c r="D65" s="1105" t="s">
        <v>1580</v>
      </c>
      <c r="E65" s="1105" t="s">
        <v>1581</v>
      </c>
      <c r="F65" s="1105" t="s">
        <v>1582</v>
      </c>
      <c r="G65" s="1105" t="s">
        <v>1583</v>
      </c>
      <c r="H65" s="1105" t="s">
        <v>1584</v>
      </c>
      <c r="I65" s="1105" t="s">
        <v>1585</v>
      </c>
      <c r="J65" s="1105"/>
      <c r="K65" s="1146"/>
      <c r="L65" s="1147"/>
      <c r="M65" s="1148"/>
      <c r="N65" s="1363"/>
      <c r="O65" s="1363"/>
      <c r="P65" s="1941"/>
      <c r="Q65" s="1358"/>
    </row>
    <row r="66" spans="1:17" ht="15">
      <c r="A66" s="899"/>
      <c r="B66" s="1106"/>
      <c r="C66" s="1107">
        <v>100</v>
      </c>
      <c r="D66" s="1107">
        <f t="shared" ref="D66:I66" si="20">C66-$K10</f>
        <v>99</v>
      </c>
      <c r="E66" s="1107">
        <f t="shared" si="20"/>
        <v>98</v>
      </c>
      <c r="F66" s="1107">
        <f t="shared" si="20"/>
        <v>97</v>
      </c>
      <c r="G66" s="1107">
        <f t="shared" si="20"/>
        <v>96</v>
      </c>
      <c r="H66" s="1107">
        <f t="shared" si="20"/>
        <v>95</v>
      </c>
      <c r="I66" s="1107">
        <f t="shared" si="20"/>
        <v>94</v>
      </c>
      <c r="J66" s="1107"/>
      <c r="K66" s="1107"/>
      <c r="L66" s="1107"/>
      <c r="M66" s="1149"/>
      <c r="N66" s="1365"/>
      <c r="O66" s="1365"/>
      <c r="P66" s="1941"/>
      <c r="Q66" s="1358"/>
    </row>
    <row r="67" spans="1:17" ht="15">
      <c r="A67" s="899"/>
      <c r="B67" s="1108" t="s">
        <v>965</v>
      </c>
      <c r="C67" s="1109" t="str">
        <f>C68&amp;"（含）"&amp;"-"&amp;D68</f>
        <v>0（含）-1</v>
      </c>
      <c r="D67" s="1109" t="str">
        <f t="shared" ref="D67:L67" si="21">D68&amp;"（含）"&amp;"-"&amp;E68</f>
        <v>1（含）-2</v>
      </c>
      <c r="E67" s="1109" t="str">
        <f t="shared" si="21"/>
        <v>2（含）-3</v>
      </c>
      <c r="F67" s="1109" t="str">
        <f t="shared" si="21"/>
        <v>3（含）-4</v>
      </c>
      <c r="G67" s="1109" t="str">
        <f t="shared" si="21"/>
        <v>4（含）-5</v>
      </c>
      <c r="H67" s="1109" t="str">
        <f t="shared" si="21"/>
        <v>5（含）-</v>
      </c>
      <c r="I67" s="1109" t="str">
        <f t="shared" si="21"/>
        <v>（含）-</v>
      </c>
      <c r="J67" s="1109" t="str">
        <f t="shared" si="21"/>
        <v>（含）-</v>
      </c>
      <c r="K67" s="1109" t="str">
        <f t="shared" si="21"/>
        <v>（含）-</v>
      </c>
      <c r="L67" s="1109" t="str">
        <f t="shared" si="21"/>
        <v>（含）-</v>
      </c>
      <c r="M67" s="919" t="str">
        <f>M68&amp;"（含）"&amp;"-"&amp;P68</f>
        <v>（含）-</v>
      </c>
      <c r="N67" s="1365"/>
      <c r="O67" s="1365"/>
      <c r="P67" s="1941"/>
      <c r="Q67" s="1358"/>
    </row>
    <row r="68" spans="1:17" ht="15">
      <c r="A68" s="899"/>
      <c r="B68" s="1110"/>
      <c r="C68" s="1944">
        <v>0</v>
      </c>
      <c r="D68" s="1944">
        <v>1</v>
      </c>
      <c r="E68" s="1944">
        <v>2</v>
      </c>
      <c r="F68" s="1944">
        <v>3</v>
      </c>
      <c r="G68" s="1944">
        <v>4</v>
      </c>
      <c r="H68" s="1944">
        <v>5</v>
      </c>
      <c r="I68" s="905"/>
      <c r="J68" s="905"/>
      <c r="K68" s="1150"/>
      <c r="L68" s="1151"/>
      <c r="M68" s="1152"/>
      <c r="N68" s="1363"/>
      <c r="O68" s="1363"/>
      <c r="P68" s="1941"/>
      <c r="Q68" s="1358"/>
    </row>
    <row r="69" spans="1:17" ht="15">
      <c r="A69" s="899"/>
      <c r="B69" s="1102"/>
      <c r="C69" s="1107">
        <v>100</v>
      </c>
      <c r="D69" s="1107">
        <f t="shared" ref="D69:M69" si="22">C69-$K11</f>
        <v>95</v>
      </c>
      <c r="E69" s="1107">
        <f t="shared" si="22"/>
        <v>90</v>
      </c>
      <c r="F69" s="1107">
        <f t="shared" si="22"/>
        <v>85</v>
      </c>
      <c r="G69" s="1107">
        <f t="shared" si="22"/>
        <v>80</v>
      </c>
      <c r="H69" s="1107">
        <f t="shared" si="22"/>
        <v>75</v>
      </c>
      <c r="I69" s="1107">
        <f t="shared" si="22"/>
        <v>70</v>
      </c>
      <c r="J69" s="1107">
        <f t="shared" si="22"/>
        <v>65</v>
      </c>
      <c r="K69" s="1107">
        <f t="shared" si="22"/>
        <v>60</v>
      </c>
      <c r="L69" s="1107">
        <f t="shared" si="22"/>
        <v>55</v>
      </c>
      <c r="M69" s="1149">
        <f t="shared" si="22"/>
        <v>50</v>
      </c>
      <c r="N69" s="1365"/>
      <c r="O69" s="1365"/>
      <c r="P69" s="1941"/>
      <c r="Q69" s="1358"/>
    </row>
    <row r="70" spans="1:17" s="857" customFormat="1" ht="15">
      <c r="A70" s="1111"/>
      <c r="B70" s="1104">
        <f>B12</f>
        <v>111</v>
      </c>
      <c r="C70" s="1112"/>
      <c r="D70" s="1112"/>
      <c r="E70" s="1112"/>
      <c r="F70" s="1112"/>
      <c r="G70" s="1112"/>
      <c r="H70" s="1113"/>
      <c r="I70" s="1113"/>
      <c r="J70" s="1113"/>
      <c r="K70" s="1113"/>
      <c r="L70" s="1153"/>
      <c r="M70" s="1154"/>
      <c r="N70" s="1366"/>
      <c r="O70" s="1366"/>
      <c r="P70" s="1954"/>
      <c r="Q70" s="1368"/>
    </row>
    <row r="71" spans="1:17" s="857" customFormat="1" ht="15">
      <c r="A71" s="1111"/>
      <c r="B71" s="1106"/>
      <c r="C71" s="1114"/>
      <c r="D71" s="1103"/>
      <c r="E71" s="1103"/>
      <c r="F71" s="1103"/>
      <c r="G71" s="1103"/>
      <c r="H71" s="1103"/>
      <c r="I71" s="1103"/>
      <c r="J71" s="1103"/>
      <c r="K71" s="1103"/>
      <c r="L71" s="1103"/>
      <c r="M71" s="1144"/>
      <c r="N71" s="1365"/>
      <c r="O71" s="1365"/>
      <c r="P71" s="1954"/>
      <c r="Q71" s="1368"/>
    </row>
    <row r="72" spans="1:17" s="857" customFormat="1" ht="15">
      <c r="A72" s="1111"/>
      <c r="B72" s="1104">
        <f>B13</f>
        <v>111</v>
      </c>
      <c r="C72" s="1112"/>
      <c r="D72" s="1112"/>
      <c r="E72" s="1112"/>
      <c r="F72" s="1112"/>
      <c r="G72" s="1112"/>
      <c r="H72" s="1113"/>
      <c r="I72" s="1113"/>
      <c r="J72" s="1113"/>
      <c r="K72" s="1113"/>
      <c r="L72" s="1153"/>
      <c r="M72" s="1154"/>
      <c r="N72" s="1366"/>
      <c r="O72" s="1366"/>
      <c r="P72" s="1955"/>
      <c r="Q72" s="1371"/>
    </row>
    <row r="73" spans="1:17" s="857" customFormat="1" ht="15">
      <c r="A73" s="1111"/>
      <c r="B73" s="1106"/>
      <c r="C73" s="1114"/>
      <c r="D73" s="1114"/>
      <c r="E73" s="1114"/>
      <c r="F73" s="1114"/>
      <c r="G73" s="1114"/>
      <c r="H73" s="1115"/>
      <c r="I73" s="1115"/>
      <c r="J73" s="1115"/>
      <c r="K73" s="1115"/>
      <c r="L73" s="1115"/>
      <c r="M73" s="1156"/>
      <c r="N73" s="1366"/>
      <c r="O73" s="1366"/>
      <c r="P73" s="1954"/>
      <c r="Q73" s="1368"/>
    </row>
    <row r="74" spans="1:17" s="857" customFormat="1" ht="15">
      <c r="A74" s="1111"/>
      <c r="B74" s="1108">
        <f>B14</f>
        <v>111</v>
      </c>
      <c r="C74" s="1112"/>
      <c r="D74" s="1112"/>
      <c r="E74" s="1112"/>
      <c r="F74" s="1112"/>
      <c r="G74" s="1098"/>
      <c r="H74" s="1116"/>
      <c r="I74" s="1116"/>
      <c r="J74" s="1116"/>
      <c r="K74" s="1116"/>
      <c r="L74" s="1157"/>
      <c r="M74" s="1158"/>
      <c r="N74" s="1366"/>
      <c r="O74" s="1366"/>
      <c r="P74" s="1956"/>
      <c r="Q74" s="1368"/>
    </row>
    <row r="75" spans="1:17" s="857" customFormat="1" ht="15">
      <c r="A75" s="1117"/>
      <c r="B75" s="1118"/>
      <c r="C75" s="1119"/>
      <c r="D75" s="1119"/>
      <c r="E75" s="1119"/>
      <c r="F75" s="1119"/>
      <c r="G75" s="1119"/>
      <c r="H75" s="1120"/>
      <c r="I75" s="1120"/>
      <c r="J75" s="1120"/>
      <c r="K75" s="1120"/>
      <c r="L75" s="1120"/>
      <c r="M75" s="1160"/>
      <c r="N75" s="1366"/>
      <c r="O75" s="1366"/>
      <c r="P75" s="1954"/>
      <c r="Q75" s="1368"/>
    </row>
    <row r="76" spans="1:17">
      <c r="A76" s="912" t="s">
        <v>967</v>
      </c>
      <c r="B76" s="1101" t="s">
        <v>968</v>
      </c>
      <c r="C76" s="1121" t="s">
        <v>1028</v>
      </c>
      <c r="D76" s="1121" t="s">
        <v>1029</v>
      </c>
      <c r="E76" s="1121" t="s">
        <v>1030</v>
      </c>
      <c r="F76" s="1121" t="s">
        <v>1031</v>
      </c>
      <c r="G76" s="1121" t="s">
        <v>1032</v>
      </c>
      <c r="H76" s="637"/>
      <c r="I76" s="637"/>
      <c r="J76" s="637"/>
      <c r="K76" s="1161"/>
      <c r="L76" s="1162"/>
      <c r="M76" s="1163"/>
      <c r="N76" s="1363"/>
      <c r="O76" s="1363"/>
      <c r="P76" s="1957"/>
      <c r="Q76" s="1358"/>
    </row>
    <row r="77" spans="1:17" ht="15">
      <c r="A77" s="899"/>
      <c r="B77" s="1106"/>
      <c r="C77" s="1107">
        <v>100</v>
      </c>
      <c r="D77" s="1107">
        <f>C77-$K15</f>
        <v>95</v>
      </c>
      <c r="E77" s="1107">
        <f>D77-$K15</f>
        <v>90</v>
      </c>
      <c r="F77" s="1107">
        <f>E77-$K15</f>
        <v>85</v>
      </c>
      <c r="G77" s="1107">
        <f>F77-$K15</f>
        <v>80</v>
      </c>
      <c r="H77" s="1107"/>
      <c r="I77" s="1107"/>
      <c r="J77" s="1107"/>
      <c r="K77" s="1107"/>
      <c r="L77" s="1107"/>
      <c r="M77" s="1149"/>
      <c r="N77" s="1365"/>
      <c r="O77" s="1365"/>
      <c r="P77" s="1941"/>
      <c r="Q77" s="1358"/>
    </row>
    <row r="78" spans="1:17" ht="15">
      <c r="A78" s="899"/>
      <c r="B78" s="1104" t="s">
        <v>973</v>
      </c>
      <c r="C78" s="1122" t="s">
        <v>1028</v>
      </c>
      <c r="D78" s="1122" t="s">
        <v>1029</v>
      </c>
      <c r="E78" s="1122" t="s">
        <v>1030</v>
      </c>
      <c r="F78" s="1122" t="s">
        <v>1031</v>
      </c>
      <c r="G78" s="1122" t="s">
        <v>1032</v>
      </c>
      <c r="H78" s="1105"/>
      <c r="I78" s="1105"/>
      <c r="J78" s="1105"/>
      <c r="K78" s="1146"/>
      <c r="L78" s="1147"/>
      <c r="M78" s="1148"/>
      <c r="N78" s="1363"/>
      <c r="O78" s="1363"/>
      <c r="P78" s="1941"/>
      <c r="Q78" s="1358"/>
    </row>
    <row r="79" spans="1:17" ht="15">
      <c r="A79" s="899"/>
      <c r="B79" s="1106"/>
      <c r="C79" s="1107">
        <v>100</v>
      </c>
      <c r="D79" s="1107">
        <f>C79-$K17</f>
        <v>97</v>
      </c>
      <c r="E79" s="1107">
        <f>D79-$K17</f>
        <v>94</v>
      </c>
      <c r="F79" s="1107">
        <f>E79-$K17</f>
        <v>91</v>
      </c>
      <c r="G79" s="1107">
        <f>F79-$K17</f>
        <v>88</v>
      </c>
      <c r="H79" s="1107"/>
      <c r="I79" s="1107"/>
      <c r="J79" s="1107"/>
      <c r="K79" s="1107"/>
      <c r="L79" s="1107"/>
      <c r="M79" s="1149"/>
      <c r="N79" s="1365"/>
      <c r="O79" s="1365"/>
      <c r="P79" s="1941"/>
      <c r="Q79" s="1358"/>
    </row>
    <row r="80" spans="1:17" ht="15">
      <c r="A80" s="899"/>
      <c r="B80" s="1104" t="s">
        <v>976</v>
      </c>
      <c r="C80" s="1122" t="s">
        <v>1028</v>
      </c>
      <c r="D80" s="1122" t="s">
        <v>1029</v>
      </c>
      <c r="E80" s="1122" t="s">
        <v>1030</v>
      </c>
      <c r="F80" s="1122" t="s">
        <v>1031</v>
      </c>
      <c r="G80" s="1122" t="s">
        <v>1032</v>
      </c>
      <c r="H80" s="1105"/>
      <c r="I80" s="1105"/>
      <c r="J80" s="1105"/>
      <c r="K80" s="1146"/>
      <c r="L80" s="1147"/>
      <c r="M80" s="1148"/>
      <c r="N80" s="1363"/>
      <c r="O80" s="1363"/>
      <c r="P80" s="1941"/>
      <c r="Q80" s="1358"/>
    </row>
    <row r="81" spans="1:17" ht="15">
      <c r="A81" s="899"/>
      <c r="B81" s="1106"/>
      <c r="C81" s="1107">
        <v>100</v>
      </c>
      <c r="D81" s="1107">
        <f>C81-$K19</f>
        <v>96</v>
      </c>
      <c r="E81" s="1107">
        <f>D81-$K19</f>
        <v>92</v>
      </c>
      <c r="F81" s="1107">
        <f>E81-$K19</f>
        <v>88</v>
      </c>
      <c r="G81" s="1107">
        <f>F81-$K19</f>
        <v>84</v>
      </c>
      <c r="H81" s="1107"/>
      <c r="I81" s="1107"/>
      <c r="J81" s="1107"/>
      <c r="K81" s="1107"/>
      <c r="L81" s="1107"/>
      <c r="M81" s="1149"/>
      <c r="N81" s="1365"/>
      <c r="O81" s="1365"/>
      <c r="P81" s="1941"/>
      <c r="Q81" s="1358"/>
    </row>
    <row r="82" spans="1:17" ht="15">
      <c r="A82" s="899"/>
      <c r="B82" s="1108" t="s">
        <v>977</v>
      </c>
      <c r="C82" s="1105" t="s">
        <v>1033</v>
      </c>
      <c r="D82" s="1105" t="s">
        <v>1034</v>
      </c>
      <c r="E82" s="1105" t="s">
        <v>1035</v>
      </c>
      <c r="F82" s="1105" t="s">
        <v>1036</v>
      </c>
      <c r="G82" s="1105" t="s">
        <v>1037</v>
      </c>
      <c r="H82" s="1105"/>
      <c r="I82" s="1105"/>
      <c r="J82" s="1105"/>
      <c r="K82" s="1105"/>
      <c r="L82" s="1105"/>
      <c r="M82" s="1248"/>
      <c r="N82" s="1365"/>
      <c r="O82" s="1365"/>
      <c r="P82" s="1941"/>
      <c r="Q82" s="1358"/>
    </row>
    <row r="83" spans="1:17" ht="15">
      <c r="A83" s="899"/>
      <c r="B83" s="1108"/>
      <c r="C83" s="1039">
        <v>100</v>
      </c>
      <c r="D83" s="1039">
        <f>C83-$K21</f>
        <v>99</v>
      </c>
      <c r="E83" s="1039">
        <f t="shared" ref="E83:G83" si="23">D83-$K21</f>
        <v>98</v>
      </c>
      <c r="F83" s="1039">
        <f t="shared" si="23"/>
        <v>97</v>
      </c>
      <c r="G83" s="1039">
        <f t="shared" si="23"/>
        <v>96</v>
      </c>
      <c r="H83" s="1039"/>
      <c r="I83" s="1039"/>
      <c r="J83" s="1039"/>
      <c r="K83" s="1039"/>
      <c r="L83" s="1039"/>
      <c r="M83" s="921"/>
      <c r="N83" s="1365"/>
      <c r="O83" s="1365"/>
      <c r="P83" s="1941"/>
      <c r="Q83" s="1358"/>
    </row>
    <row r="84" spans="1:17" ht="15">
      <c r="A84" s="899"/>
      <c r="B84" s="1104" t="s">
        <v>1557</v>
      </c>
      <c r="C84" s="1122" t="s">
        <v>1028</v>
      </c>
      <c r="D84" s="1122" t="s">
        <v>1029</v>
      </c>
      <c r="E84" s="1122" t="s">
        <v>1030</v>
      </c>
      <c r="F84" s="1122" t="s">
        <v>1031</v>
      </c>
      <c r="G84" s="1122" t="s">
        <v>1032</v>
      </c>
      <c r="H84" s="1105"/>
      <c r="I84" s="1105"/>
      <c r="J84" s="1105"/>
      <c r="K84" s="1146"/>
      <c r="L84" s="1147"/>
      <c r="M84" s="1148"/>
      <c r="N84" s="1363"/>
      <c r="O84" s="1363"/>
      <c r="P84" s="1941"/>
      <c r="Q84" s="1358"/>
    </row>
    <row r="85" spans="1:17" ht="15">
      <c r="A85" s="899"/>
      <c r="B85" s="1106"/>
      <c r="C85" s="1107">
        <v>100</v>
      </c>
      <c r="D85" s="1107">
        <f>C85-$K23</f>
        <v>97</v>
      </c>
      <c r="E85" s="1107">
        <f>D85-$K23</f>
        <v>94</v>
      </c>
      <c r="F85" s="1107">
        <f>E85-$K23</f>
        <v>91</v>
      </c>
      <c r="G85" s="1107">
        <f>F85-$K23</f>
        <v>88</v>
      </c>
      <c r="H85" s="1107"/>
      <c r="I85" s="1107"/>
      <c r="J85" s="1107"/>
      <c r="K85" s="1107"/>
      <c r="L85" s="1107"/>
      <c r="M85" s="1149"/>
      <c r="N85" s="1365"/>
      <c r="O85" s="1365"/>
      <c r="P85" s="1941"/>
      <c r="Q85" s="1358"/>
    </row>
    <row r="86" spans="1:17" s="855" customFormat="1" ht="15">
      <c r="A86" s="902"/>
      <c r="B86" s="1104" t="s">
        <v>1558</v>
      </c>
      <c r="C86" s="1316" t="s">
        <v>3021</v>
      </c>
      <c r="D86" s="1316" t="s">
        <v>3023</v>
      </c>
      <c r="E86" s="1316" t="s">
        <v>3025</v>
      </c>
      <c r="F86" s="1112"/>
      <c r="G86" s="1112"/>
      <c r="H86" s="1112"/>
      <c r="I86" s="1112"/>
      <c r="J86" s="1112"/>
      <c r="K86" s="1112"/>
      <c r="L86" s="1249"/>
      <c r="M86" s="1250"/>
      <c r="N86" s="1361"/>
      <c r="O86" s="1361"/>
      <c r="P86" s="1941"/>
      <c r="Q86" s="1358"/>
    </row>
    <row r="87" spans="1:17" s="855" customFormat="1" ht="15">
      <c r="A87" s="902"/>
      <c r="B87" s="1106"/>
      <c r="C87" s="1123">
        <v>100</v>
      </c>
      <c r="D87" s="1107" t="e">
        <f t="shared" ref="D87:M87" si="24">$C$87-($C$86-D86)*$K$25</f>
        <v>#VALUE!</v>
      </c>
      <c r="E87" s="1107" t="e">
        <f t="shared" si="24"/>
        <v>#VALUE!</v>
      </c>
      <c r="F87" s="1107" t="e">
        <f t="shared" si="24"/>
        <v>#VALUE!</v>
      </c>
      <c r="G87" s="1107" t="e">
        <f t="shared" si="24"/>
        <v>#VALUE!</v>
      </c>
      <c r="H87" s="1107" t="e">
        <f t="shared" si="24"/>
        <v>#VALUE!</v>
      </c>
      <c r="I87" s="1107" t="e">
        <f t="shared" si="24"/>
        <v>#VALUE!</v>
      </c>
      <c r="J87" s="1107" t="e">
        <f t="shared" si="24"/>
        <v>#VALUE!</v>
      </c>
      <c r="K87" s="1107" t="e">
        <f t="shared" si="24"/>
        <v>#VALUE!</v>
      </c>
      <c r="L87" s="1107" t="e">
        <f t="shared" si="24"/>
        <v>#VALUE!</v>
      </c>
      <c r="M87" s="1107" t="e">
        <f t="shared" si="24"/>
        <v>#VALUE!</v>
      </c>
      <c r="N87" s="1365"/>
      <c r="O87" s="1365"/>
      <c r="P87" s="1941"/>
      <c r="Q87" s="1358"/>
    </row>
    <row r="88" spans="1:17" s="855" customFormat="1" ht="15">
      <c r="A88" s="902"/>
      <c r="B88" s="1104" t="s">
        <v>1559</v>
      </c>
      <c r="C88" s="1112"/>
      <c r="D88" s="1112"/>
      <c r="E88" s="1112"/>
      <c r="F88" s="1389"/>
      <c r="G88" s="1112"/>
      <c r="H88" s="1112"/>
      <c r="I88" s="1112"/>
      <c r="J88" s="1112"/>
      <c r="K88" s="1112"/>
      <c r="L88" s="1112"/>
      <c r="M88" s="1250"/>
      <c r="N88" s="1361"/>
      <c r="O88" s="1361"/>
      <c r="P88" s="1941"/>
      <c r="Q88" s="1358"/>
    </row>
    <row r="89" spans="1:17" s="855" customFormat="1" ht="15">
      <c r="A89" s="902"/>
      <c r="B89" s="1106"/>
      <c r="C89" s="1123">
        <v>100</v>
      </c>
      <c r="D89" s="1107">
        <f t="shared" ref="D89:M89" si="25">C89-$K26</f>
        <v>100</v>
      </c>
      <c r="E89" s="1107">
        <f t="shared" si="25"/>
        <v>100</v>
      </c>
      <c r="F89" s="1107">
        <f t="shared" si="25"/>
        <v>100</v>
      </c>
      <c r="G89" s="1107">
        <f t="shared" si="25"/>
        <v>100</v>
      </c>
      <c r="H89" s="1107">
        <f t="shared" si="25"/>
        <v>100</v>
      </c>
      <c r="I89" s="1107">
        <f t="shared" si="25"/>
        <v>100</v>
      </c>
      <c r="J89" s="1107">
        <f t="shared" si="25"/>
        <v>100</v>
      </c>
      <c r="K89" s="1107">
        <f t="shared" si="25"/>
        <v>100</v>
      </c>
      <c r="L89" s="1107">
        <f t="shared" si="25"/>
        <v>100</v>
      </c>
      <c r="M89" s="1107">
        <f t="shared" si="25"/>
        <v>100</v>
      </c>
      <c r="N89" s="1365"/>
      <c r="O89" s="1365"/>
      <c r="P89" s="1941"/>
      <c r="Q89" s="1358"/>
    </row>
    <row r="90" spans="1:17" s="857" customFormat="1" ht="15">
      <c r="A90" s="1111"/>
      <c r="B90" s="1104" t="str">
        <f>B27</f>
        <v>楼层-1</v>
      </c>
      <c r="C90" s="1316" t="s">
        <v>3021</v>
      </c>
      <c r="D90" s="1316" t="s">
        <v>3023</v>
      </c>
      <c r="E90" s="1316" t="s">
        <v>3025</v>
      </c>
      <c r="F90" s="1112"/>
      <c r="G90" s="1112"/>
      <c r="H90" s="1113"/>
      <c r="I90" s="1113"/>
      <c r="J90" s="1113"/>
      <c r="K90" s="1113"/>
      <c r="L90" s="1153"/>
      <c r="M90" s="1154"/>
      <c r="N90" s="1366"/>
      <c r="O90" s="1366"/>
      <c r="P90" s="1954"/>
      <c r="Q90" s="1368"/>
    </row>
    <row r="91" spans="1:17" s="857" customFormat="1" ht="15">
      <c r="A91" s="1111"/>
      <c r="B91" s="1106"/>
      <c r="C91" s="1114">
        <v>100</v>
      </c>
      <c r="D91" s="1114">
        <f>C91-3</f>
        <v>97</v>
      </c>
      <c r="E91" s="1114">
        <f>D91-3</f>
        <v>94</v>
      </c>
      <c r="F91" s="1114"/>
      <c r="G91" s="1114"/>
      <c r="H91" s="1115"/>
      <c r="I91" s="1115"/>
      <c r="J91" s="1115"/>
      <c r="K91" s="1115"/>
      <c r="L91" s="1115"/>
      <c r="M91" s="1156"/>
      <c r="N91" s="1366"/>
      <c r="O91" s="1366"/>
      <c r="P91" s="1954"/>
      <c r="Q91" s="1368"/>
    </row>
    <row r="92" spans="1:17" ht="15">
      <c r="A92" s="899"/>
      <c r="B92" s="1104">
        <f>B28</f>
        <v>111</v>
      </c>
      <c r="C92" s="1112"/>
      <c r="D92" s="1112"/>
      <c r="E92" s="1112"/>
      <c r="F92" s="1112"/>
      <c r="G92" s="1126"/>
      <c r="H92" s="1126"/>
      <c r="I92" s="1126"/>
      <c r="J92" s="1126"/>
      <c r="K92" s="1171"/>
      <c r="L92" s="1172"/>
      <c r="M92" s="1173"/>
      <c r="N92" s="1363"/>
      <c r="O92" s="1363"/>
      <c r="P92" s="1941"/>
      <c r="Q92" s="1358"/>
    </row>
    <row r="93" spans="1:17" ht="15">
      <c r="A93" s="899"/>
      <c r="B93" s="1106"/>
      <c r="C93" s="1114"/>
      <c r="D93" s="1103"/>
      <c r="E93" s="1103"/>
      <c r="F93" s="1103"/>
      <c r="G93" s="1103"/>
      <c r="H93" s="1103"/>
      <c r="I93" s="1103"/>
      <c r="J93" s="1103"/>
      <c r="K93" s="1103"/>
      <c r="L93" s="1103"/>
      <c r="M93" s="1144"/>
      <c r="N93" s="1365"/>
      <c r="O93" s="1365"/>
      <c r="P93" s="1941"/>
      <c r="Q93" s="1358"/>
    </row>
    <row r="94" spans="1:17" ht="15">
      <c r="A94" s="899"/>
      <c r="B94" s="1104">
        <f>B29</f>
        <v>111</v>
      </c>
      <c r="C94" s="1112"/>
      <c r="D94" s="1112"/>
      <c r="E94" s="1112"/>
      <c r="F94" s="1112"/>
      <c r="G94" s="1126"/>
      <c r="H94" s="1126"/>
      <c r="I94" s="1126"/>
      <c r="J94" s="1126"/>
      <c r="K94" s="1171"/>
      <c r="L94" s="1172"/>
      <c r="M94" s="1173"/>
      <c r="N94" s="1363"/>
      <c r="O94" s="1363"/>
      <c r="P94" s="1941"/>
      <c r="Q94" s="1358"/>
    </row>
    <row r="95" spans="1:17" ht="15">
      <c r="A95" s="899"/>
      <c r="B95" s="1106"/>
      <c r="C95" s="1114"/>
      <c r="D95" s="1114"/>
      <c r="E95" s="1114"/>
      <c r="F95" s="1114"/>
      <c r="G95" s="1103"/>
      <c r="H95" s="1103"/>
      <c r="I95" s="1103"/>
      <c r="J95" s="1103"/>
      <c r="K95" s="1103"/>
      <c r="L95" s="1103"/>
      <c r="M95" s="1144"/>
      <c r="N95" s="1365"/>
      <c r="O95" s="1365"/>
      <c r="P95" s="1941"/>
      <c r="Q95" s="1358"/>
    </row>
    <row r="96" spans="1:17" ht="15">
      <c r="A96" s="899"/>
      <c r="B96" s="1104">
        <f>B30</f>
        <v>111</v>
      </c>
      <c r="C96" s="1112"/>
      <c r="D96" s="1112"/>
      <c r="E96" s="1112"/>
      <c r="F96" s="1112"/>
      <c r="G96" s="1126"/>
      <c r="H96" s="1126"/>
      <c r="I96" s="1126"/>
      <c r="J96" s="1126"/>
      <c r="K96" s="1171"/>
      <c r="L96" s="1172"/>
      <c r="M96" s="1173"/>
      <c r="N96" s="1363"/>
      <c r="O96" s="1363"/>
      <c r="P96" s="1941"/>
      <c r="Q96" s="1358"/>
    </row>
    <row r="97" spans="1:17" ht="15">
      <c r="A97" s="899"/>
      <c r="B97" s="1106"/>
      <c r="C97" s="1119"/>
      <c r="D97" s="1119"/>
      <c r="E97" s="1119"/>
      <c r="F97" s="1119"/>
      <c r="G97" s="1103"/>
      <c r="H97" s="1103"/>
      <c r="I97" s="1103"/>
      <c r="J97" s="1103"/>
      <c r="K97" s="1103"/>
      <c r="L97" s="1103"/>
      <c r="M97" s="1144"/>
      <c r="N97" s="1365"/>
      <c r="O97" s="1365"/>
      <c r="P97" s="1941"/>
      <c r="Q97" s="1358"/>
    </row>
    <row r="98" spans="1:17" ht="15">
      <c r="A98" s="899"/>
      <c r="B98" s="1108">
        <f>B31</f>
        <v>111</v>
      </c>
      <c r="C98" s="1127"/>
      <c r="D98" s="1127"/>
      <c r="E98" s="1127"/>
      <c r="F98" s="1127"/>
      <c r="G98" s="1127"/>
      <c r="H98" s="1127"/>
      <c r="I98" s="1127"/>
      <c r="J98" s="1127"/>
      <c r="K98" s="1174"/>
      <c r="L98" s="1175"/>
      <c r="M98" s="1176"/>
      <c r="N98" s="1363"/>
      <c r="O98" s="1363"/>
      <c r="P98" s="1941"/>
      <c r="Q98" s="1358"/>
    </row>
    <row r="99" spans="1:17" ht="15">
      <c r="A99" s="908"/>
      <c r="B99" s="1118"/>
      <c r="C99" s="1128"/>
      <c r="D99" s="1128"/>
      <c r="E99" s="1128"/>
      <c r="F99" s="1128"/>
      <c r="G99" s="1128"/>
      <c r="H99" s="1128"/>
      <c r="I99" s="1128"/>
      <c r="J99" s="1128"/>
      <c r="K99" s="1128"/>
      <c r="L99" s="1128"/>
      <c r="M99" s="1177"/>
      <c r="N99" s="1365"/>
      <c r="O99" s="1365"/>
      <c r="P99" s="1941"/>
      <c r="Q99" s="1358"/>
    </row>
    <row r="100" spans="1:17">
      <c r="A100" s="912" t="s">
        <v>983</v>
      </c>
      <c r="B100" s="1101" t="s">
        <v>1560</v>
      </c>
      <c r="C100" s="1945" t="s">
        <v>1586</v>
      </c>
      <c r="D100" s="1945" t="s">
        <v>1562</v>
      </c>
      <c r="E100" s="1945" t="s">
        <v>1561</v>
      </c>
      <c r="F100" s="1047"/>
      <c r="G100" s="1047"/>
      <c r="H100" s="1047"/>
      <c r="I100" s="1047"/>
      <c r="J100" s="1047"/>
      <c r="K100" s="1140"/>
      <c r="L100" s="1141"/>
      <c r="M100" s="1142"/>
      <c r="N100" s="1363"/>
      <c r="O100" s="1363"/>
      <c r="P100" s="1941"/>
      <c r="Q100" s="1358"/>
    </row>
    <row r="101" spans="1:17" ht="15">
      <c r="A101" s="899"/>
      <c r="B101" s="1106"/>
      <c r="C101" s="1107">
        <v>100</v>
      </c>
      <c r="D101" s="1107">
        <f t="shared" ref="D101:M101" si="26">C101-$K32</f>
        <v>97</v>
      </c>
      <c r="E101" s="1107">
        <f t="shared" si="26"/>
        <v>94</v>
      </c>
      <c r="F101" s="1107">
        <f t="shared" si="26"/>
        <v>91</v>
      </c>
      <c r="G101" s="1107">
        <f t="shared" si="26"/>
        <v>88</v>
      </c>
      <c r="H101" s="1107">
        <f t="shared" si="26"/>
        <v>85</v>
      </c>
      <c r="I101" s="1107">
        <f t="shared" si="26"/>
        <v>82</v>
      </c>
      <c r="J101" s="1107">
        <f t="shared" si="26"/>
        <v>79</v>
      </c>
      <c r="K101" s="1107">
        <f t="shared" si="26"/>
        <v>76</v>
      </c>
      <c r="L101" s="1107">
        <f t="shared" si="26"/>
        <v>73</v>
      </c>
      <c r="M101" s="1107">
        <f t="shared" si="26"/>
        <v>70</v>
      </c>
      <c r="N101" s="1365"/>
      <c r="O101" s="1365"/>
      <c r="P101" s="1941"/>
      <c r="Q101" s="1358"/>
    </row>
    <row r="102" spans="1:17" ht="15">
      <c r="A102" s="899"/>
      <c r="B102" s="1104" t="s">
        <v>1563</v>
      </c>
      <c r="C102" s="1122" t="str">
        <f>C103&amp;"(含)"&amp;"-"&amp;D103</f>
        <v>0(含)-60</v>
      </c>
      <c r="D102" s="1122" t="str">
        <f t="shared" ref="D102:L102" si="27">D103&amp;"(含)"&amp;"-"&amp;E103</f>
        <v>60(含)-100</v>
      </c>
      <c r="E102" s="1122" t="str">
        <f t="shared" si="27"/>
        <v>100(含)-120</v>
      </c>
      <c r="F102" s="1122" t="str">
        <f t="shared" si="27"/>
        <v>120(含)-150</v>
      </c>
      <c r="G102" s="1122" t="str">
        <f t="shared" si="27"/>
        <v>150(含)-</v>
      </c>
      <c r="H102" s="1122" t="str">
        <f t="shared" si="27"/>
        <v>(含)-</v>
      </c>
      <c r="I102" s="1122" t="str">
        <f t="shared" si="27"/>
        <v>(含)-</v>
      </c>
      <c r="J102" s="1122" t="str">
        <f t="shared" si="27"/>
        <v>(含)-</v>
      </c>
      <c r="K102" s="1122" t="str">
        <f t="shared" si="27"/>
        <v>(含)-</v>
      </c>
      <c r="L102" s="1122" t="str">
        <f t="shared" si="27"/>
        <v>(含)-</v>
      </c>
      <c r="M102" s="1122" t="str">
        <f>M103&amp;"(含)"&amp;"-"&amp;P103</f>
        <v>(含)-</v>
      </c>
      <c r="N102" s="1361"/>
      <c r="O102" s="1361"/>
      <c r="P102" s="1941"/>
      <c r="Q102" s="1358"/>
    </row>
    <row r="103" spans="1:17" s="857" customFormat="1">
      <c r="A103" s="952"/>
      <c r="B103" s="1129"/>
      <c r="C103" s="1946">
        <v>0</v>
      </c>
      <c r="D103" s="1946">
        <v>60</v>
      </c>
      <c r="E103" s="1946">
        <v>100</v>
      </c>
      <c r="F103" s="1946">
        <v>120</v>
      </c>
      <c r="G103" s="1090">
        <v>150</v>
      </c>
      <c r="H103" s="1090"/>
      <c r="I103" s="1090"/>
      <c r="J103" s="1178"/>
      <c r="K103" s="1178"/>
      <c r="L103" s="1179"/>
      <c r="M103" s="1180"/>
      <c r="N103" s="1366"/>
      <c r="O103" s="1366"/>
      <c r="P103" s="1954"/>
      <c r="Q103" s="1368"/>
    </row>
    <row r="104" spans="1:17" s="857" customFormat="1" ht="15">
      <c r="A104" s="1111"/>
      <c r="B104" s="1106"/>
      <c r="C104" s="1947">
        <v>100</v>
      </c>
      <c r="D104" s="1948">
        <f>C104-3</f>
        <v>97</v>
      </c>
      <c r="E104" s="1948">
        <f t="shared" ref="E104:G104" si="28">D104-3</f>
        <v>94</v>
      </c>
      <c r="F104" s="1948">
        <f t="shared" si="28"/>
        <v>91</v>
      </c>
      <c r="G104" s="1948">
        <f t="shared" si="28"/>
        <v>88</v>
      </c>
      <c r="H104" s="1103"/>
      <c r="I104" s="1103"/>
      <c r="J104" s="1103"/>
      <c r="K104" s="1103"/>
      <c r="L104" s="1103"/>
      <c r="M104" s="1103"/>
      <c r="N104" s="1365"/>
      <c r="O104" s="1365"/>
      <c r="P104" s="1954"/>
      <c r="Q104" s="1368"/>
    </row>
    <row r="105" spans="1:17">
      <c r="A105" s="947"/>
      <c r="B105" s="1104" t="s">
        <v>1564</v>
      </c>
      <c r="C105" s="1949" t="s">
        <v>1565</v>
      </c>
      <c r="D105" s="1950"/>
      <c r="E105" s="1951"/>
      <c r="F105" s="1951"/>
      <c r="G105" s="1126"/>
      <c r="H105" s="1126"/>
      <c r="I105" s="1126"/>
      <c r="J105" s="1126"/>
      <c r="K105" s="1171"/>
      <c r="L105" s="1172"/>
      <c r="M105" s="1173"/>
      <c r="N105" s="1363"/>
      <c r="O105" s="1363"/>
      <c r="P105" s="1941"/>
      <c r="Q105" s="1358"/>
    </row>
    <row r="106" spans="1:17" ht="15">
      <c r="A106" s="899"/>
      <c r="B106" s="1106"/>
      <c r="C106" s="1107">
        <v>100</v>
      </c>
      <c r="D106" s="1107">
        <f t="shared" ref="D106:M106" si="29">C106-$K34</f>
        <v>98</v>
      </c>
      <c r="E106" s="1107">
        <f t="shared" si="29"/>
        <v>96</v>
      </c>
      <c r="F106" s="1107">
        <f t="shared" si="29"/>
        <v>94</v>
      </c>
      <c r="G106" s="1107">
        <f t="shared" si="29"/>
        <v>92</v>
      </c>
      <c r="H106" s="1107">
        <f t="shared" si="29"/>
        <v>90</v>
      </c>
      <c r="I106" s="1107">
        <f t="shared" si="29"/>
        <v>88</v>
      </c>
      <c r="J106" s="1107">
        <f t="shared" si="29"/>
        <v>86</v>
      </c>
      <c r="K106" s="1107">
        <f t="shared" si="29"/>
        <v>84</v>
      </c>
      <c r="L106" s="1107">
        <f t="shared" si="29"/>
        <v>82</v>
      </c>
      <c r="M106" s="1107">
        <f t="shared" si="29"/>
        <v>80</v>
      </c>
      <c r="N106" s="1365"/>
      <c r="O106" s="1365"/>
      <c r="P106" s="1941"/>
      <c r="Q106" s="1358"/>
    </row>
    <row r="107" spans="1:17">
      <c r="A107" s="947"/>
      <c r="B107" s="1104" t="s">
        <v>1566</v>
      </c>
      <c r="C107" s="1126"/>
      <c r="D107" s="1126"/>
      <c r="E107" s="1126"/>
      <c r="F107" s="1126"/>
      <c r="G107" s="1126"/>
      <c r="H107" s="1126"/>
      <c r="I107" s="1126"/>
      <c r="J107" s="1126"/>
      <c r="K107" s="1171"/>
      <c r="L107" s="1172"/>
      <c r="M107" s="1173"/>
      <c r="N107" s="1363"/>
      <c r="O107" s="1363"/>
      <c r="P107" s="1941"/>
      <c r="Q107" s="1358"/>
    </row>
    <row r="108" spans="1:17" ht="15">
      <c r="A108" s="899"/>
      <c r="B108" s="1106"/>
      <c r="C108" s="1107">
        <v>100</v>
      </c>
      <c r="D108" s="1107">
        <f t="shared" ref="D108:M108" si="30">C108-$K35</f>
        <v>100</v>
      </c>
      <c r="E108" s="1107">
        <f t="shared" si="30"/>
        <v>100</v>
      </c>
      <c r="F108" s="1107">
        <f t="shared" si="30"/>
        <v>100</v>
      </c>
      <c r="G108" s="1107">
        <f t="shared" si="30"/>
        <v>100</v>
      </c>
      <c r="H108" s="1107">
        <f t="shared" si="30"/>
        <v>100</v>
      </c>
      <c r="I108" s="1107">
        <f t="shared" si="30"/>
        <v>100</v>
      </c>
      <c r="J108" s="1107">
        <f t="shared" si="30"/>
        <v>100</v>
      </c>
      <c r="K108" s="1107">
        <f t="shared" si="30"/>
        <v>100</v>
      </c>
      <c r="L108" s="1107">
        <f t="shared" si="30"/>
        <v>100</v>
      </c>
      <c r="M108" s="1107">
        <f t="shared" si="30"/>
        <v>100</v>
      </c>
      <c r="N108" s="1365"/>
      <c r="O108" s="1365"/>
      <c r="P108" s="1941"/>
      <c r="Q108" s="1358"/>
    </row>
    <row r="109" spans="1:17">
      <c r="A109" s="947"/>
      <c r="B109" s="1104" t="s">
        <v>1567</v>
      </c>
      <c r="C109" s="1952" t="s">
        <v>1568</v>
      </c>
      <c r="D109" s="1952" t="s">
        <v>1587</v>
      </c>
      <c r="E109" s="1952" t="s">
        <v>1588</v>
      </c>
      <c r="F109" s="1953" t="s">
        <v>1575</v>
      </c>
      <c r="G109" s="1126"/>
      <c r="H109" s="1126"/>
      <c r="I109" s="1126"/>
      <c r="J109" s="1126"/>
      <c r="K109" s="1171"/>
      <c r="L109" s="1172"/>
      <c r="M109" s="1173"/>
      <c r="N109" s="1363"/>
      <c r="O109" s="1363"/>
      <c r="P109" s="1941"/>
      <c r="Q109" s="1358"/>
    </row>
    <row r="110" spans="1:17" ht="15">
      <c r="A110" s="899"/>
      <c r="B110" s="1106"/>
      <c r="C110" s="1107">
        <v>100</v>
      </c>
      <c r="D110" s="1107">
        <f t="shared" ref="D110:M110" si="31">C110-$K36</f>
        <v>98</v>
      </c>
      <c r="E110" s="1107">
        <f t="shared" si="31"/>
        <v>96</v>
      </c>
      <c r="F110" s="1107">
        <f t="shared" si="31"/>
        <v>94</v>
      </c>
      <c r="G110" s="1107">
        <f t="shared" si="31"/>
        <v>92</v>
      </c>
      <c r="H110" s="1107">
        <f t="shared" si="31"/>
        <v>90</v>
      </c>
      <c r="I110" s="1107">
        <f t="shared" si="31"/>
        <v>88</v>
      </c>
      <c r="J110" s="1107">
        <f t="shared" si="31"/>
        <v>86</v>
      </c>
      <c r="K110" s="1107">
        <f t="shared" si="31"/>
        <v>84</v>
      </c>
      <c r="L110" s="1107">
        <f t="shared" si="31"/>
        <v>82</v>
      </c>
      <c r="M110" s="1107">
        <f t="shared" si="31"/>
        <v>80</v>
      </c>
      <c r="N110" s="1365"/>
      <c r="O110" s="1365"/>
      <c r="P110" s="1941"/>
      <c r="Q110" s="1358"/>
    </row>
    <row r="111" spans="1:17" s="857" customFormat="1">
      <c r="A111" s="952"/>
      <c r="B111" s="1104" t="s">
        <v>579</v>
      </c>
      <c r="C111" s="1122" t="str">
        <f>C112&amp;"(含)"&amp;"-"&amp;D112</f>
        <v>0.5(含)-0.6</v>
      </c>
      <c r="D111" s="1122" t="str">
        <f>D112&amp;"(含)"&amp;"-"&amp;E112</f>
        <v>0.6(含)-0.7</v>
      </c>
      <c r="E111" s="1122" t="str">
        <f>E112&amp;"(含)"&amp;"-"&amp;F112</f>
        <v>0.7(含)-0.8</v>
      </c>
      <c r="F111" s="1122" t="str">
        <f>F112&amp;"(含)"&amp;"-"&amp;G112</f>
        <v>0.8(含)-0.9</v>
      </c>
      <c r="G111" s="1122" t="str">
        <f>G112&amp;"(含)"&amp;"-"&amp;ROUND(H112,0)&amp;"(含)"</f>
        <v>0.9(含)-1(含)</v>
      </c>
      <c r="H111" s="1122" t="str">
        <f>ROUND(H112,0)&amp;"(含)"&amp;"-"&amp;I112</f>
        <v>1(含)-</v>
      </c>
      <c r="I111" s="1122"/>
      <c r="J111" s="1124"/>
      <c r="K111" s="1124"/>
      <c r="L111" s="1167"/>
      <c r="M111" s="1168"/>
      <c r="N111" s="1366"/>
      <c r="O111" s="1366"/>
      <c r="P111" s="1954"/>
      <c r="Q111" s="1368"/>
    </row>
    <row r="112" spans="1:17" s="857" customFormat="1">
      <c r="A112" s="952"/>
      <c r="B112" s="1108"/>
      <c r="C112" s="795">
        <v>0.5</v>
      </c>
      <c r="D112" s="795">
        <v>0.6</v>
      </c>
      <c r="E112" s="795">
        <v>0.7</v>
      </c>
      <c r="F112" s="795">
        <v>0.8</v>
      </c>
      <c r="G112" s="795">
        <v>0.9</v>
      </c>
      <c r="H112" s="795">
        <v>1.0001</v>
      </c>
      <c r="I112" s="795"/>
      <c r="J112" s="1244"/>
      <c r="K112" s="1244"/>
      <c r="L112" s="1958"/>
      <c r="M112" s="1959"/>
      <c r="N112" s="1366"/>
      <c r="O112" s="1366"/>
      <c r="P112" s="1954"/>
      <c r="Q112" s="1368"/>
    </row>
    <row r="113" spans="1:17" s="857" customFormat="1" ht="15">
      <c r="A113" s="1111"/>
      <c r="B113" s="1106"/>
      <c r="C113" s="1123">
        <v>100</v>
      </c>
      <c r="D113" s="1107">
        <f>C113+$K37</f>
        <v>101</v>
      </c>
      <c r="E113" s="1107">
        <f>D113+$K37</f>
        <v>102</v>
      </c>
      <c r="F113" s="1107">
        <f>E113+$K37</f>
        <v>103</v>
      </c>
      <c r="G113" s="1107">
        <f>F113+$K37</f>
        <v>104</v>
      </c>
      <c r="H113" s="1107">
        <f>G113+$K37</f>
        <v>105</v>
      </c>
      <c r="I113" s="1123"/>
      <c r="J113" s="1125"/>
      <c r="K113" s="1125"/>
      <c r="L113" s="1125"/>
      <c r="M113" s="1169"/>
      <c r="N113" s="1366"/>
      <c r="O113" s="1366"/>
      <c r="P113" s="1954"/>
      <c r="Q113" s="1368"/>
    </row>
    <row r="114" spans="1:17">
      <c r="A114" s="947"/>
      <c r="B114" s="1104" t="s">
        <v>1569</v>
      </c>
      <c r="C114" s="1952" t="s">
        <v>1570</v>
      </c>
      <c r="D114" s="1952" t="s">
        <v>1589</v>
      </c>
      <c r="E114" s="1126"/>
      <c r="F114" s="1126"/>
      <c r="G114" s="1126"/>
      <c r="H114" s="1126"/>
      <c r="I114" s="1126"/>
      <c r="J114" s="1126"/>
      <c r="K114" s="1171"/>
      <c r="L114" s="1172"/>
      <c r="M114" s="1173"/>
      <c r="N114" s="1363"/>
      <c r="O114" s="1363"/>
      <c r="P114" s="1941"/>
      <c r="Q114" s="1358"/>
    </row>
    <row r="115" spans="1:17" ht="15">
      <c r="A115" s="899"/>
      <c r="B115" s="1106"/>
      <c r="C115" s="1107">
        <v>100</v>
      </c>
      <c r="D115" s="1107">
        <f t="shared" ref="D115:M115" si="32">C115-$K38</f>
        <v>98</v>
      </c>
      <c r="E115" s="1107">
        <f t="shared" si="32"/>
        <v>96</v>
      </c>
      <c r="F115" s="1107">
        <f t="shared" si="32"/>
        <v>94</v>
      </c>
      <c r="G115" s="1107">
        <f t="shared" si="32"/>
        <v>92</v>
      </c>
      <c r="H115" s="1107">
        <f t="shared" si="32"/>
        <v>90</v>
      </c>
      <c r="I115" s="1107">
        <f t="shared" si="32"/>
        <v>88</v>
      </c>
      <c r="J115" s="1107">
        <f t="shared" si="32"/>
        <v>86</v>
      </c>
      <c r="K115" s="1107">
        <f t="shared" si="32"/>
        <v>84</v>
      </c>
      <c r="L115" s="1107">
        <f t="shared" si="32"/>
        <v>82</v>
      </c>
      <c r="M115" s="1107">
        <f t="shared" si="32"/>
        <v>80</v>
      </c>
      <c r="N115" s="1365"/>
      <c r="O115" s="1365"/>
      <c r="P115" s="1941"/>
      <c r="Q115" s="1358"/>
    </row>
    <row r="116" spans="1:17">
      <c r="A116" s="947"/>
      <c r="B116" s="1104" t="s">
        <v>1571</v>
      </c>
      <c r="C116" s="1952" t="s">
        <v>236</v>
      </c>
      <c r="D116" s="1952" t="s">
        <v>246</v>
      </c>
      <c r="E116" s="1952" t="s">
        <v>255</v>
      </c>
      <c r="F116" s="1952" t="s">
        <v>263</v>
      </c>
      <c r="G116" s="1952" t="s">
        <v>270</v>
      </c>
      <c r="H116" s="1126"/>
      <c r="I116" s="1126"/>
      <c r="J116" s="1126"/>
      <c r="K116" s="1171"/>
      <c r="L116" s="1172"/>
      <c r="M116" s="1173"/>
      <c r="N116" s="1363"/>
      <c r="O116" s="1363"/>
      <c r="P116" s="1941"/>
      <c r="Q116" s="1358"/>
    </row>
    <row r="117" spans="1:17" ht="15">
      <c r="A117" s="899"/>
      <c r="B117" s="1106"/>
      <c r="C117" s="1107">
        <v>100</v>
      </c>
      <c r="D117" s="1107">
        <f>C117-$K39</f>
        <v>99</v>
      </c>
      <c r="E117" s="1107">
        <f>D117-$K39</f>
        <v>98</v>
      </c>
      <c r="F117" s="1107">
        <f>E117-$K39</f>
        <v>97</v>
      </c>
      <c r="G117" s="1107">
        <f>F117-$K39</f>
        <v>96</v>
      </c>
      <c r="H117" s="1107"/>
      <c r="I117" s="1107"/>
      <c r="J117" s="1107"/>
      <c r="K117" s="1107"/>
      <c r="L117" s="1107"/>
      <c r="M117" s="1149"/>
      <c r="N117" s="1365"/>
      <c r="O117" s="1365"/>
      <c r="P117" s="1941"/>
      <c r="Q117" s="1358"/>
    </row>
    <row r="118" spans="1:17">
      <c r="A118" s="947"/>
      <c r="B118" s="1104" t="s">
        <v>1572</v>
      </c>
      <c r="C118" s="1126"/>
      <c r="D118" s="1126"/>
      <c r="E118" s="1126"/>
      <c r="F118" s="1126"/>
      <c r="G118" s="1126"/>
      <c r="H118" s="1126"/>
      <c r="I118" s="1126"/>
      <c r="J118" s="1126"/>
      <c r="K118" s="1171"/>
      <c r="L118" s="1172"/>
      <c r="M118" s="1173"/>
      <c r="N118" s="1363"/>
      <c r="O118" s="1363"/>
      <c r="P118" s="1941"/>
      <c r="Q118" s="1358"/>
    </row>
    <row r="119" spans="1:17" ht="15">
      <c r="A119" s="899"/>
      <c r="B119" s="1106"/>
      <c r="C119" s="1107">
        <v>100</v>
      </c>
      <c r="D119" s="1107">
        <f t="shared" ref="D119:M119" si="33">C119-$K40</f>
        <v>100</v>
      </c>
      <c r="E119" s="1107">
        <f t="shared" si="33"/>
        <v>100</v>
      </c>
      <c r="F119" s="1107">
        <f t="shared" si="33"/>
        <v>100</v>
      </c>
      <c r="G119" s="1107">
        <f t="shared" si="33"/>
        <v>100</v>
      </c>
      <c r="H119" s="1107">
        <f t="shared" si="33"/>
        <v>100</v>
      </c>
      <c r="I119" s="1107">
        <f t="shared" si="33"/>
        <v>100</v>
      </c>
      <c r="J119" s="1107">
        <f t="shared" si="33"/>
        <v>100</v>
      </c>
      <c r="K119" s="1107">
        <f t="shared" si="33"/>
        <v>100</v>
      </c>
      <c r="L119" s="1107">
        <f t="shared" si="33"/>
        <v>100</v>
      </c>
      <c r="M119" s="1107">
        <f t="shared" si="33"/>
        <v>100</v>
      </c>
      <c r="N119" s="1365"/>
      <c r="O119" s="1365"/>
      <c r="P119" s="1941"/>
      <c r="Q119" s="1358"/>
    </row>
    <row r="120" spans="1:17" s="857" customFormat="1" ht="27.75">
      <c r="A120" s="952"/>
      <c r="B120" s="1104" t="s">
        <v>1573</v>
      </c>
      <c r="C120" s="1112"/>
      <c r="D120" s="1112"/>
      <c r="E120" s="1112"/>
      <c r="F120" s="1112"/>
      <c r="G120" s="1112"/>
      <c r="H120" s="1112"/>
      <c r="I120" s="1112"/>
      <c r="J120" s="1112"/>
      <c r="K120" s="1112"/>
      <c r="L120" s="1249"/>
      <c r="M120" s="1250"/>
      <c r="N120" s="1366"/>
      <c r="O120" s="1366"/>
      <c r="P120" s="1954"/>
      <c r="Q120" s="1368"/>
    </row>
    <row r="121" spans="1:17" s="857" customFormat="1" ht="15">
      <c r="A121" s="1111"/>
      <c r="B121" s="1102"/>
      <c r="C121" s="1114"/>
      <c r="D121" s="1103"/>
      <c r="E121" s="1103"/>
      <c r="F121" s="1103"/>
      <c r="G121" s="1103"/>
      <c r="H121" s="1103"/>
      <c r="I121" s="1103"/>
      <c r="J121" s="1103"/>
      <c r="K121" s="1103"/>
      <c r="L121" s="1103"/>
      <c r="M121" s="1103"/>
      <c r="N121" s="1366"/>
      <c r="O121" s="1366"/>
      <c r="P121" s="1954"/>
      <c r="Q121" s="1368"/>
    </row>
    <row r="122" spans="1:17">
      <c r="A122" s="947"/>
      <c r="B122" s="1104" t="s">
        <v>1574</v>
      </c>
      <c r="C122" s="1952" t="s">
        <v>1568</v>
      </c>
      <c r="D122" s="1952" t="s">
        <v>1587</v>
      </c>
      <c r="E122" s="1952" t="s">
        <v>1588</v>
      </c>
      <c r="F122" s="1953" t="s">
        <v>1575</v>
      </c>
      <c r="G122" s="1126"/>
      <c r="H122" s="1126"/>
      <c r="I122" s="1126"/>
      <c r="J122" s="1126"/>
      <c r="K122" s="1171"/>
      <c r="L122" s="1172"/>
      <c r="M122" s="1173"/>
      <c r="N122" s="1363"/>
      <c r="O122" s="1363"/>
      <c r="P122" s="1941"/>
      <c r="Q122" s="1358"/>
    </row>
    <row r="123" spans="1:17" ht="15">
      <c r="A123" s="899"/>
      <c r="B123" s="1106"/>
      <c r="C123" s="1107">
        <v>100</v>
      </c>
      <c r="D123" s="1107">
        <f t="shared" ref="D123:M123" si="34">C123-$K42</f>
        <v>98</v>
      </c>
      <c r="E123" s="1107">
        <f t="shared" si="34"/>
        <v>96</v>
      </c>
      <c r="F123" s="1107">
        <f t="shared" si="34"/>
        <v>94</v>
      </c>
      <c r="G123" s="1107">
        <f t="shared" si="34"/>
        <v>92</v>
      </c>
      <c r="H123" s="1107">
        <f t="shared" si="34"/>
        <v>90</v>
      </c>
      <c r="I123" s="1107">
        <f t="shared" si="34"/>
        <v>88</v>
      </c>
      <c r="J123" s="1107">
        <f t="shared" si="34"/>
        <v>86</v>
      </c>
      <c r="K123" s="1107">
        <f t="shared" si="34"/>
        <v>84</v>
      </c>
      <c r="L123" s="1107">
        <f t="shared" si="34"/>
        <v>82</v>
      </c>
      <c r="M123" s="1107">
        <f t="shared" si="34"/>
        <v>80</v>
      </c>
      <c r="N123" s="1365"/>
      <c r="O123" s="1365"/>
      <c r="P123" s="1941"/>
      <c r="Q123" s="1358"/>
    </row>
    <row r="124" spans="1:17">
      <c r="A124" s="947"/>
      <c r="B124" s="1104" t="s">
        <v>1576</v>
      </c>
      <c r="C124" s="1122" t="s">
        <v>1028</v>
      </c>
      <c r="D124" s="1122" t="s">
        <v>1029</v>
      </c>
      <c r="E124" s="1122" t="s">
        <v>1030</v>
      </c>
      <c r="F124" s="1122" t="s">
        <v>1031</v>
      </c>
      <c r="G124" s="1122" t="s">
        <v>1032</v>
      </c>
      <c r="H124" s="1105"/>
      <c r="I124" s="1105"/>
      <c r="J124" s="1105"/>
      <c r="K124" s="1146"/>
      <c r="L124" s="1147"/>
      <c r="M124" s="1148"/>
      <c r="N124" s="1363"/>
      <c r="O124" s="1363"/>
      <c r="P124" s="1954"/>
      <c r="Q124" s="1358"/>
    </row>
    <row r="125" spans="1:17" ht="15">
      <c r="A125" s="899"/>
      <c r="B125" s="1106"/>
      <c r="C125" s="1107">
        <v>100</v>
      </c>
      <c r="D125" s="1107">
        <f>C125-$K43</f>
        <v>98</v>
      </c>
      <c r="E125" s="1107">
        <f>D125-$K43</f>
        <v>96</v>
      </c>
      <c r="F125" s="1107">
        <f>E125-$K43</f>
        <v>94</v>
      </c>
      <c r="G125" s="1107">
        <f>F125-$K43</f>
        <v>92</v>
      </c>
      <c r="H125" s="1107"/>
      <c r="I125" s="1107"/>
      <c r="J125" s="1107"/>
      <c r="K125" s="1107"/>
      <c r="L125" s="1107"/>
      <c r="M125" s="1149"/>
      <c r="N125" s="1365"/>
      <c r="O125" s="1365"/>
      <c r="P125" s="1941"/>
      <c r="Q125" s="1358"/>
    </row>
    <row r="126" spans="1:17" s="857" customFormat="1">
      <c r="A126" s="952"/>
      <c r="B126" s="1104">
        <f>B44</f>
        <v>0</v>
      </c>
      <c r="C126" s="1316" t="s">
        <v>3029</v>
      </c>
      <c r="D126" s="1316" t="s">
        <v>3030</v>
      </c>
      <c r="E126" s="1112"/>
      <c r="F126" s="1112"/>
      <c r="G126" s="1112"/>
      <c r="H126" s="1113"/>
      <c r="I126" s="1113"/>
      <c r="J126" s="1113"/>
      <c r="K126" s="1113"/>
      <c r="L126" s="1153"/>
      <c r="M126" s="1154"/>
      <c r="N126" s="1366"/>
      <c r="O126" s="1366"/>
      <c r="P126" s="1954"/>
      <c r="Q126" s="1368"/>
    </row>
    <row r="127" spans="1:17" s="857" customFormat="1" ht="15">
      <c r="A127" s="1111"/>
      <c r="B127" s="1106"/>
      <c r="C127" s="1114">
        <v>100</v>
      </c>
      <c r="D127" s="1103">
        <v>98</v>
      </c>
      <c r="E127" s="1103"/>
      <c r="F127" s="1103"/>
      <c r="G127" s="1114"/>
      <c r="H127" s="1115"/>
      <c r="I127" s="1115"/>
      <c r="J127" s="1115"/>
      <c r="K127" s="1115"/>
      <c r="L127" s="1115"/>
      <c r="M127" s="1156"/>
      <c r="N127" s="1366"/>
      <c r="O127" s="1366"/>
      <c r="P127" s="1954"/>
      <c r="Q127" s="1368"/>
    </row>
    <row r="128" spans="1:17">
      <c r="A128" s="947"/>
      <c r="B128" s="1104">
        <f>B45</f>
        <v>0</v>
      </c>
      <c r="C128" s="1112"/>
      <c r="D128" s="1112"/>
      <c r="E128" s="1112"/>
      <c r="F128" s="1112"/>
      <c r="G128" s="1126"/>
      <c r="H128" s="1126"/>
      <c r="I128" s="1126"/>
      <c r="J128" s="1126"/>
      <c r="K128" s="1171"/>
      <c r="L128" s="1172"/>
      <c r="M128" s="1173"/>
      <c r="N128" s="1363"/>
      <c r="O128" s="1363"/>
      <c r="P128" s="1941"/>
      <c r="Q128" s="1358"/>
    </row>
    <row r="129" spans="1:17" ht="15">
      <c r="A129" s="899"/>
      <c r="B129" s="1106"/>
      <c r="C129" s="1114"/>
      <c r="D129" s="1114"/>
      <c r="E129" s="1114"/>
      <c r="F129" s="1114"/>
      <c r="G129" s="1103"/>
      <c r="H129" s="1103"/>
      <c r="I129" s="1103"/>
      <c r="J129" s="1103"/>
      <c r="K129" s="1103"/>
      <c r="L129" s="1103"/>
      <c r="M129" s="1144"/>
      <c r="N129" s="1365"/>
      <c r="O129" s="1365"/>
      <c r="P129" s="1941"/>
      <c r="Q129" s="1358"/>
    </row>
    <row r="130" spans="1:17">
      <c r="A130" s="947"/>
      <c r="B130" s="1108">
        <f>B46</f>
        <v>0</v>
      </c>
      <c r="C130" s="1112"/>
      <c r="D130" s="1112"/>
      <c r="E130" s="1112"/>
      <c r="F130" s="1112"/>
      <c r="G130" s="1127"/>
      <c r="H130" s="1127"/>
      <c r="I130" s="1127"/>
      <c r="J130" s="1127"/>
      <c r="K130" s="1098"/>
      <c r="L130" s="1136"/>
      <c r="M130" s="1176"/>
      <c r="N130" s="1363"/>
      <c r="O130" s="1363"/>
      <c r="P130" s="1941"/>
      <c r="Q130" s="1358"/>
    </row>
    <row r="131" spans="1:17" ht="15">
      <c r="A131" s="908"/>
      <c r="B131" s="1118"/>
      <c r="C131" s="1119"/>
      <c r="D131" s="1119"/>
      <c r="E131" s="1119"/>
      <c r="F131" s="1119"/>
      <c r="G131" s="1128"/>
      <c r="H131" s="1128"/>
      <c r="I131" s="1128"/>
      <c r="J131" s="1128"/>
      <c r="K131" s="1128"/>
      <c r="L131" s="1128"/>
      <c r="M131" s="1177"/>
      <c r="N131" s="1365"/>
      <c r="O131" s="1365"/>
      <c r="P131" s="1941"/>
      <c r="Q131" s="1358"/>
    </row>
    <row r="136" spans="1:17">
      <c r="B136" s="1960" t="s">
        <v>1590</v>
      </c>
    </row>
    <row r="137" spans="1:17" ht="15">
      <c r="B137" s="1961" t="s">
        <v>1591</v>
      </c>
      <c r="C137" s="1962"/>
      <c r="D137" s="1962"/>
      <c r="E137" s="1962"/>
      <c r="F137" s="1962"/>
      <c r="G137" s="1963"/>
      <c r="H137" s="1964"/>
      <c r="I137" s="1985" t="s">
        <v>1592</v>
      </c>
      <c r="J137" s="1962"/>
      <c r="K137" s="1986"/>
    </row>
    <row r="138" spans="1:17" ht="15">
      <c r="B138" s="1965"/>
      <c r="C138" s="1427" t="s">
        <v>1593</v>
      </c>
      <c r="D138" s="1427" t="s">
        <v>1594</v>
      </c>
      <c r="E138" s="1966" t="s">
        <v>1595</v>
      </c>
      <c r="F138" s="1967" t="s">
        <v>1596</v>
      </c>
      <c r="G138" s="1427" t="s">
        <v>1594</v>
      </c>
      <c r="H138" s="1968" t="s">
        <v>1595</v>
      </c>
      <c r="I138" s="1987"/>
      <c r="J138" s="1427" t="s">
        <v>1597</v>
      </c>
      <c r="K138" s="1968" t="s">
        <v>1598</v>
      </c>
    </row>
    <row r="139" spans="1:17" ht="15">
      <c r="B139" s="1969">
        <v>6</v>
      </c>
      <c r="C139" s="1970">
        <v>96</v>
      </c>
      <c r="D139" s="1971" t="s">
        <v>1599</v>
      </c>
      <c r="E139" s="1972">
        <v>100</v>
      </c>
      <c r="F139" s="1973">
        <v>102.5</v>
      </c>
      <c r="G139" s="1971" t="s">
        <v>1599</v>
      </c>
      <c r="H139" s="1974">
        <v>105</v>
      </c>
      <c r="I139" s="1988" t="s">
        <v>1600</v>
      </c>
      <c r="J139" s="1970">
        <v>20</v>
      </c>
      <c r="K139" s="1989">
        <f>C145/(J139-2)</f>
        <v>4.0555555555555596E-3</v>
      </c>
    </row>
    <row r="140" spans="1:17" ht="15">
      <c r="B140" s="1975">
        <v>5</v>
      </c>
      <c r="C140" s="1976">
        <v>100</v>
      </c>
      <c r="D140" s="1976"/>
      <c r="E140" s="1977"/>
      <c r="F140" s="1978">
        <v>102</v>
      </c>
      <c r="G140" s="1976"/>
      <c r="H140" s="1979"/>
      <c r="I140" s="1990" t="s">
        <v>1601</v>
      </c>
      <c r="J140" s="222">
        <f>ROUNDUP((J139-1)/2,0)</f>
        <v>10</v>
      </c>
      <c r="K140" s="1991">
        <v>100</v>
      </c>
    </row>
    <row r="141" spans="1:17" ht="15">
      <c r="B141" s="1975">
        <v>4</v>
      </c>
      <c r="C141" s="1976">
        <v>102</v>
      </c>
      <c r="D141" s="1976"/>
      <c r="E141" s="1977"/>
      <c r="F141" s="1978">
        <v>101.5</v>
      </c>
      <c r="G141" s="1976"/>
      <c r="H141" s="1979"/>
      <c r="I141" s="1990" t="s">
        <v>1602</v>
      </c>
      <c r="J141" s="222">
        <v>1</v>
      </c>
      <c r="K141" s="1992">
        <f>ROUND(100+(J141-J140)*K139*100,1)</f>
        <v>96.4</v>
      </c>
    </row>
    <row r="142" spans="1:17" ht="15">
      <c r="B142" s="1975">
        <v>3</v>
      </c>
      <c r="C142" s="1976">
        <v>103</v>
      </c>
      <c r="D142" s="1976"/>
      <c r="E142" s="1977"/>
      <c r="F142" s="1978">
        <v>101</v>
      </c>
      <c r="G142" s="1976"/>
      <c r="H142" s="1979"/>
      <c r="I142" s="1990" t="s">
        <v>1603</v>
      </c>
      <c r="J142" s="222">
        <f>J139</f>
        <v>20</v>
      </c>
      <c r="K142" s="1993">
        <v>95</v>
      </c>
    </row>
    <row r="143" spans="1:17" ht="15">
      <c r="B143" s="1975">
        <v>2</v>
      </c>
      <c r="C143" s="1976">
        <v>100</v>
      </c>
      <c r="D143" s="1976"/>
      <c r="E143" s="1977"/>
      <c r="F143" s="1978">
        <v>100.5</v>
      </c>
      <c r="G143" s="1976"/>
      <c r="H143" s="1979"/>
      <c r="I143" s="1990" t="s">
        <v>1604</v>
      </c>
      <c r="J143" s="1976">
        <v>15</v>
      </c>
      <c r="K143" s="1992">
        <f>ROUND(100+(J143-J140)*K139*100,1)</f>
        <v>102</v>
      </c>
    </row>
    <row r="144" spans="1:17" ht="15">
      <c r="B144" s="1975">
        <v>1</v>
      </c>
      <c r="C144" s="1976">
        <v>98</v>
      </c>
      <c r="D144" s="1980" t="s">
        <v>1605</v>
      </c>
      <c r="E144" s="1977">
        <v>102</v>
      </c>
      <c r="F144" s="1981">
        <v>100</v>
      </c>
      <c r="G144" s="1980" t="s">
        <v>1605</v>
      </c>
      <c r="H144" s="1979">
        <v>105</v>
      </c>
      <c r="I144" s="1990" t="s">
        <v>1604</v>
      </c>
      <c r="J144" s="1976">
        <v>18</v>
      </c>
      <c r="K144" s="1992">
        <f>ROUND(100+(J144-J140)*K139*100,1)</f>
        <v>103.2</v>
      </c>
    </row>
    <row r="145" spans="2:11" ht="15">
      <c r="B145" s="735" t="s">
        <v>1606</v>
      </c>
      <c r="C145" s="1982">
        <f>ROUND(MAX(C139:C144)/MIN(C139:C144)-1,3)</f>
        <v>7.2999999999999995E-2</v>
      </c>
      <c r="D145" s="1983"/>
      <c r="E145" s="1983"/>
      <c r="F145" s="1984" t="s">
        <v>1607</v>
      </c>
      <c r="G145" s="1385"/>
      <c r="H145" s="1388"/>
      <c r="I145" s="1994" t="s">
        <v>1604</v>
      </c>
      <c r="J145" s="1995">
        <v>8</v>
      </c>
      <c r="K145" s="1996">
        <f>ROUND(100+(J145-J140)*K139*100,1)</f>
        <v>99.2</v>
      </c>
    </row>
    <row r="147" spans="2:11">
      <c r="B147" s="1960" t="s">
        <v>1608</v>
      </c>
    </row>
    <row r="148" spans="2:11">
      <c r="B148" s="1960"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955"/>
  <sheetViews>
    <sheetView zoomScale="90" zoomScaleNormal="90" workbookViewId="0">
      <pane ySplit="24" topLeftCell="A903" activePane="bottomLeft" state="frozen"/>
      <selection pane="bottomLeft" activeCell="T946" sqref="T946"/>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73" t="s">
        <v>2517</v>
      </c>
      <c r="D1" s="3374"/>
      <c r="E1" s="3374"/>
      <c r="F1" s="3374"/>
      <c r="G1" s="3374"/>
      <c r="H1" s="3374"/>
      <c r="I1" s="3374"/>
      <c r="J1" s="3374"/>
      <c r="K1" s="3374"/>
      <c r="L1" s="3374"/>
      <c r="M1" s="3374"/>
      <c r="N1" s="3374"/>
      <c r="O1" s="3374"/>
      <c r="P1" s="3374"/>
      <c r="Q1" s="3374"/>
      <c r="R1" s="3374"/>
      <c r="S1" s="3375"/>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3" t="str">
        <f>S3&amp;"(含)"&amp;"-"</f>
        <v>(含)-</v>
      </c>
      <c r="T2" s="314"/>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1:45" s="227" customFormat="1" ht="14.25">
      <c r="A3" s="239"/>
      <c r="B3" s="240"/>
      <c r="C3" s="1946">
        <v>0</v>
      </c>
      <c r="D3" s="1946">
        <v>60</v>
      </c>
      <c r="E3" s="1946">
        <v>100</v>
      </c>
      <c r="F3" s="1946">
        <v>120</v>
      </c>
      <c r="G3" s="1090">
        <v>150</v>
      </c>
      <c r="H3" s="242"/>
      <c r="I3" s="242"/>
      <c r="J3" s="242"/>
      <c r="K3" s="242"/>
      <c r="L3" s="294"/>
      <c r="M3" s="295"/>
      <c r="N3" s="295"/>
      <c r="O3" s="242"/>
      <c r="P3" s="242"/>
      <c r="Q3" s="242"/>
      <c r="R3" s="242"/>
      <c r="S3" s="316"/>
      <c r="T3" s="317"/>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row>
    <row r="4" spans="1:45" s="227" customFormat="1" ht="15" thickBot="1">
      <c r="A4" s="243"/>
      <c r="B4" s="244"/>
      <c r="C4" s="1947">
        <f>'比较法-住宅'!C104</f>
        <v>100</v>
      </c>
      <c r="D4" s="1947">
        <f>'比较法-住宅'!D104</f>
        <v>97</v>
      </c>
      <c r="E4" s="1947">
        <f>'比较法-住宅'!E104</f>
        <v>94</v>
      </c>
      <c r="F4" s="1947">
        <f>'比较法-住宅'!F104</f>
        <v>91</v>
      </c>
      <c r="G4" s="1947">
        <f>'比较法-住宅'!G104</f>
        <v>88</v>
      </c>
      <c r="H4" s="247"/>
      <c r="I4" s="247"/>
      <c r="J4" s="247"/>
      <c r="K4" s="247"/>
      <c r="L4" s="247"/>
      <c r="M4" s="296"/>
      <c r="N4" s="296"/>
      <c r="O4" s="247"/>
      <c r="P4" s="247"/>
      <c r="Q4" s="247"/>
      <c r="R4" s="247"/>
      <c r="S4" s="319"/>
      <c r="T4" s="320"/>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row>
    <row r="5" spans="1:45" s="228" customFormat="1" ht="13.5" hidden="1" thickTop="1">
      <c r="A5" s="248"/>
      <c r="B5" s="249" t="s">
        <v>2518</v>
      </c>
      <c r="C5" s="250"/>
      <c r="D5" s="251"/>
      <c r="E5" s="251"/>
      <c r="F5" s="252"/>
      <c r="G5" s="252"/>
      <c r="H5" s="252"/>
      <c r="I5" s="252"/>
      <c r="J5" s="252"/>
      <c r="K5" s="252"/>
      <c r="L5" s="297"/>
      <c r="M5" s="298"/>
      <c r="N5" s="298"/>
      <c r="O5" s="252"/>
      <c r="P5" s="252"/>
      <c r="Q5" s="252"/>
      <c r="R5" s="252"/>
      <c r="S5" s="321"/>
      <c r="T5" s="322"/>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4"/>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row>
    <row r="7" spans="1:45" s="228" customFormat="1" hidden="1">
      <c r="A7" s="248"/>
      <c r="B7" s="257" t="s">
        <v>2519</v>
      </c>
      <c r="C7" s="258"/>
      <c r="D7" s="259"/>
      <c r="E7" s="259"/>
      <c r="F7" s="260"/>
      <c r="G7" s="260"/>
      <c r="H7" s="260"/>
      <c r="I7" s="260"/>
      <c r="J7" s="260"/>
      <c r="K7" s="260"/>
      <c r="L7" s="260"/>
      <c r="M7" s="299"/>
      <c r="N7" s="300"/>
      <c r="O7" s="301"/>
      <c r="P7" s="301"/>
      <c r="Q7" s="325"/>
      <c r="R7" s="326"/>
      <c r="S7" s="327"/>
      <c r="T7" s="328"/>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4"/>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row>
    <row r="9" spans="1:45" s="228" customFormat="1" hidden="1">
      <c r="A9" s="248"/>
      <c r="B9" s="257" t="s">
        <v>2520</v>
      </c>
      <c r="C9" s="258"/>
      <c r="D9" s="259"/>
      <c r="E9" s="259"/>
      <c r="F9" s="260"/>
      <c r="G9" s="260"/>
      <c r="H9" s="260"/>
      <c r="I9" s="260"/>
      <c r="J9" s="260"/>
      <c r="K9" s="260"/>
      <c r="L9" s="302"/>
      <c r="M9" s="299"/>
      <c r="N9" s="300"/>
      <c r="O9" s="301"/>
      <c r="P9" s="301"/>
      <c r="Q9" s="325"/>
      <c r="R9" s="326"/>
      <c r="S9" s="327"/>
      <c r="T9" s="328"/>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0"/>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row>
    <row r="11" spans="1:45" s="228" customFormat="1" hidden="1">
      <c r="A11" s="248"/>
      <c r="B11" s="249" t="s">
        <v>2521</v>
      </c>
      <c r="C11" s="250"/>
      <c r="D11" s="251"/>
      <c r="E11" s="251"/>
      <c r="F11" s="251"/>
      <c r="G11" s="251"/>
      <c r="H11" s="251"/>
      <c r="I11" s="251"/>
      <c r="J11" s="251"/>
      <c r="K11" s="251"/>
      <c r="L11" s="251"/>
      <c r="M11" s="303"/>
      <c r="N11" s="304"/>
      <c r="O11" s="305"/>
      <c r="P11" s="305"/>
      <c r="Q11" s="329"/>
      <c r="R11" s="330"/>
      <c r="S11" s="331"/>
      <c r="T11" s="322"/>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4"/>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row>
    <row r="13" spans="1:45" s="228" customFormat="1" hidden="1">
      <c r="A13" s="248"/>
      <c r="B13" s="249" t="s">
        <v>2522</v>
      </c>
      <c r="C13" s="250"/>
      <c r="D13" s="251"/>
      <c r="E13" s="251"/>
      <c r="F13" s="251"/>
      <c r="G13" s="251"/>
      <c r="H13" s="251"/>
      <c r="I13" s="251"/>
      <c r="J13" s="251"/>
      <c r="K13" s="251"/>
      <c r="L13" s="251"/>
      <c r="M13" s="303"/>
      <c r="N13" s="304"/>
      <c r="O13" s="305"/>
      <c r="P13" s="305"/>
      <c r="Q13" s="329"/>
      <c r="R13" s="330"/>
      <c r="S13" s="331"/>
      <c r="T13" s="332"/>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row>
    <row r="14" spans="1:45" s="228" customFormat="1" hidden="1">
      <c r="A14" s="248"/>
      <c r="B14" s="253"/>
      <c r="C14" s="264"/>
      <c r="D14" s="265"/>
      <c r="E14" s="265"/>
      <c r="F14" s="265"/>
      <c r="G14" s="265"/>
      <c r="H14" s="265"/>
      <c r="I14" s="265"/>
      <c r="J14" s="265"/>
      <c r="K14" s="265"/>
      <c r="L14" s="265"/>
      <c r="M14" s="306"/>
      <c r="N14" s="306"/>
      <c r="O14" s="265"/>
      <c r="P14" s="265"/>
      <c r="Q14" s="265"/>
      <c r="R14" s="265"/>
      <c r="S14" s="333"/>
      <c r="T14" s="324"/>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row>
    <row r="15" spans="1:45" s="228" customFormat="1" hidden="1">
      <c r="A15" s="248"/>
      <c r="B15" s="249" t="s">
        <v>2523</v>
      </c>
      <c r="C15" s="250"/>
      <c r="D15" s="251"/>
      <c r="E15" s="251"/>
      <c r="F15" s="251"/>
      <c r="G15" s="251"/>
      <c r="H15" s="251"/>
      <c r="I15" s="251"/>
      <c r="J15" s="251"/>
      <c r="K15" s="251"/>
      <c r="L15" s="251"/>
      <c r="M15" s="303"/>
      <c r="N15" s="304"/>
      <c r="O15" s="305"/>
      <c r="P15" s="305"/>
      <c r="Q15" s="329"/>
      <c r="R15" s="330"/>
      <c r="S15" s="331"/>
      <c r="T15" s="332"/>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row>
    <row r="16" spans="1:45" s="228" customFormat="1" ht="14.25" thickTop="1" thickBot="1">
      <c r="A16" s="248"/>
      <c r="B16" s="244"/>
      <c r="C16" s="245"/>
      <c r="D16" s="246"/>
      <c r="E16" s="246"/>
      <c r="F16" s="246"/>
      <c r="G16" s="246"/>
      <c r="H16" s="246"/>
      <c r="I16" s="246"/>
      <c r="J16" s="246"/>
      <c r="K16" s="246"/>
      <c r="L16" s="246"/>
      <c r="M16" s="307"/>
      <c r="N16" s="307"/>
      <c r="O16" s="246"/>
      <c r="P16" s="246"/>
      <c r="Q16" s="246"/>
      <c r="R16" s="246"/>
      <c r="S16" s="334"/>
      <c r="T16" s="320"/>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row>
    <row r="17" spans="1:45" s="226" customFormat="1">
      <c r="A17" s="266" t="s">
        <v>2524</v>
      </c>
      <c r="B17" s="267" t="s">
        <v>2525</v>
      </c>
      <c r="C17" s="268" t="s">
        <v>3020</v>
      </c>
      <c r="D17" s="269" t="s">
        <v>3022</v>
      </c>
      <c r="E17" s="269" t="s">
        <v>3024</v>
      </c>
      <c r="F17" s="269"/>
      <c r="G17" s="269"/>
      <c r="H17" s="269"/>
      <c r="I17" s="269"/>
      <c r="J17" s="269"/>
      <c r="K17" s="269"/>
      <c r="L17" s="308"/>
      <c r="M17" s="309"/>
      <c r="N17" s="310"/>
      <c r="O17" s="311"/>
      <c r="P17" s="311"/>
      <c r="Q17" s="335"/>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15"/>
      <c r="AS17" s="315"/>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2"/>
      <c r="N18" s="312"/>
      <c r="O18" s="273"/>
      <c r="P18" s="273"/>
      <c r="Q18" s="273"/>
      <c r="R18" s="273"/>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15"/>
      <c r="AS18" s="315"/>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IF(D20="——",S22,S22-F20)</f>
        <v>154104</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ROUND(B20*10000/B22,0)</f>
        <v>27300</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56448.46000000029</v>
      </c>
      <c r="C22" s="3376" t="s">
        <v>124</v>
      </c>
      <c r="D22" s="3377"/>
      <c r="E22" s="3377"/>
      <c r="F22" s="3377"/>
      <c r="G22" s="3377"/>
      <c r="H22" s="3377"/>
      <c r="I22" s="3377"/>
      <c r="J22" s="3377"/>
      <c r="K22" s="3377"/>
      <c r="L22" s="3377"/>
      <c r="M22" s="3377"/>
      <c r="N22" s="3377"/>
      <c r="O22" s="3377"/>
      <c r="P22" s="3377"/>
      <c r="Q22" s="3378"/>
      <c r="R22" s="285">
        <f>ROUND(S22*10000/B22,0)</f>
        <v>27300</v>
      </c>
      <c r="S22" s="285">
        <f>SUM(S24:S10000)</f>
        <v>154104</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row>
    <row r="24" spans="1:45" s="230" customFormat="1">
      <c r="A24" s="289" t="str">
        <f>清单!D166</f>
        <v>C-7-3-606</v>
      </c>
      <c r="B24" s="289">
        <f>清单!F166</f>
        <v>54.07</v>
      </c>
      <c r="C24" s="290">
        <v>1</v>
      </c>
      <c r="D24" s="291"/>
      <c r="E24" s="290">
        <v>1</v>
      </c>
      <c r="F24" s="291"/>
      <c r="G24" s="290">
        <v>1</v>
      </c>
      <c r="H24" s="291"/>
      <c r="I24" s="290">
        <v>1</v>
      </c>
      <c r="J24" s="291"/>
      <c r="K24" s="290">
        <v>1</v>
      </c>
      <c r="L24" s="291"/>
      <c r="M24" s="290">
        <v>1</v>
      </c>
      <c r="N24" s="291"/>
      <c r="O24" s="290">
        <v>1</v>
      </c>
      <c r="P24" s="291" t="s">
        <v>3022</v>
      </c>
      <c r="Q24" s="290">
        <v>1</v>
      </c>
      <c r="R24" s="289">
        <f>'比较法-住宅'!B3</f>
        <v>27888</v>
      </c>
      <c r="S24" s="341">
        <f t="shared" ref="S24:S54" si="11">ROUND(R24*B24/10000,0)</f>
        <v>151</v>
      </c>
      <c r="T24" s="342">
        <f>清单!C2</f>
        <v>0</v>
      </c>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row>
    <row r="25" spans="1:45">
      <c r="A25" s="1061" t="str">
        <f>清单!D148</f>
        <v>C-7-3-105</v>
      </c>
      <c r="B25" s="1061">
        <f>清单!F148</f>
        <v>54.07</v>
      </c>
      <c r="C25" s="285">
        <f>IF(B25="",1,(LOOKUP(B25,$3:$3,$4:$4)-LOOKUP($B$24,$3:$3,$4:$4)+100)/100)</f>
        <v>1</v>
      </c>
      <c r="D25" s="293"/>
      <c r="E25" s="285">
        <f>(SUMIF($5:$5,D25,$6:$6)-SUMIF($5:$5,$D$24,$6:$6)+100)/100</f>
        <v>1</v>
      </c>
      <c r="F25" s="293"/>
      <c r="G25" s="285">
        <f>(SUMIF($7:$7,F25,$8:$8)-SUMIF($7:$7,$F$24,$8:$8)+100)/100</f>
        <v>1</v>
      </c>
      <c r="H25" s="293"/>
      <c r="I25" s="285">
        <f>(SUMIF($9:$9,H25,$10:$10)-SUMIF($9:$9,$H$24,$10:$10)+100)/100</f>
        <v>1</v>
      </c>
      <c r="J25" s="293"/>
      <c r="K25" s="285">
        <f>(SUMIF($11:$11,J25,$12:$12)-SUMIF($11:$11,$J$24,$12:$12)+100)/100</f>
        <v>1</v>
      </c>
      <c r="L25" s="293"/>
      <c r="M25" s="285">
        <f>(SUMIF($13:$13,L25,$14:$14)-SUMIF($13:$13,$L$24,$14:$14)+100)/100</f>
        <v>1</v>
      </c>
      <c r="N25" s="293"/>
      <c r="O25" s="285">
        <f>(SUMIF($15:$15,N25,$16:$16)-SUMIF($15:$15,$N$24,$16:$16)+100)/100</f>
        <v>1</v>
      </c>
      <c r="P25" s="291" t="s">
        <v>3024</v>
      </c>
      <c r="Q25" s="285">
        <f>(SUMIF($17:$17,P25,$18:$18)-SUMIF($17:$17,$P$24,$18:$18)+100)/100</f>
        <v>0.97</v>
      </c>
      <c r="R25" s="285">
        <f>IF(B25="",0,ROUND($R$24*C25*E25*G25*I25*K25*M25*O25*Q25,0))</f>
        <v>27051</v>
      </c>
      <c r="S25" s="284">
        <f t="shared" si="11"/>
        <v>146</v>
      </c>
    </row>
    <row r="26" spans="1:45">
      <c r="A26" s="1061" t="str">
        <f>清单!D149</f>
        <v>C-7-3-104</v>
      </c>
      <c r="B26" s="1061">
        <f>清单!F149</f>
        <v>51.67</v>
      </c>
      <c r="C26" s="285">
        <f t="shared" ref="C26:C89" si="12">IF(B26="",1,(LOOKUP(B26,$3:$3,$4:$4)-LOOKUP($B$24,$3:$3,$4:$4)+100)/100)</f>
        <v>1</v>
      </c>
      <c r="D26" s="293"/>
      <c r="E26" s="285">
        <f t="shared" ref="E26:E89" si="13">(SUMIF($5:$5,D26,$6:$6)-SUMIF($5:$5,$D$24,$6:$6)+100)/100</f>
        <v>1</v>
      </c>
      <c r="F26" s="293"/>
      <c r="G26" s="285">
        <f t="shared" ref="G26:G89" si="14">(SUMIF($7:$7,F26,$8:$8)-SUMIF($7:$7,$F$24,$8:$8)+100)/100</f>
        <v>1</v>
      </c>
      <c r="H26" s="293"/>
      <c r="I26" s="285">
        <f t="shared" ref="I26:I89" si="15">(SUMIF($9:$9,H26,$10:$10)-SUMIF($9:$9,$H$24,$10:$10)+100)/100</f>
        <v>1</v>
      </c>
      <c r="J26" s="293"/>
      <c r="K26" s="285">
        <f t="shared" ref="K26:K89" si="16">(SUMIF($11:$11,J26,$12:$12)-SUMIF($11:$11,$J$24,$12:$12)+100)/100</f>
        <v>1</v>
      </c>
      <c r="L26" s="293"/>
      <c r="M26" s="285">
        <f t="shared" ref="M26:M89" si="17">(SUMIF($13:$13,L26,$14:$14)-SUMIF($13:$13,$L$24,$14:$14)+100)/100</f>
        <v>1</v>
      </c>
      <c r="N26" s="293"/>
      <c r="O26" s="285">
        <f t="shared" ref="O26:O89" si="18">(SUMIF($15:$15,N26,$16:$16)-SUMIF($15:$15,$N$24,$16:$16)+100)/100</f>
        <v>1</v>
      </c>
      <c r="P26" s="291" t="s">
        <v>3024</v>
      </c>
      <c r="Q26" s="285">
        <f t="shared" ref="Q26:Q89" si="19">(SUMIF($17:$17,P26,$18:$18)-SUMIF($17:$17,$P$24,$18:$18)+100)/100</f>
        <v>0.97</v>
      </c>
      <c r="R26" s="285">
        <f t="shared" ref="R26:R89" si="20">IF(B26="",0,ROUND($R$24*C26*E26*G26*I26*K26*M26*O26*Q26,0))</f>
        <v>27051</v>
      </c>
      <c r="S26" s="284">
        <f t="shared" si="11"/>
        <v>140</v>
      </c>
    </row>
    <row r="27" spans="1:45">
      <c r="A27" s="1061" t="str">
        <f>清单!D150</f>
        <v>C-7-3-103</v>
      </c>
      <c r="B27" s="1061">
        <f>清单!F150</f>
        <v>51.47</v>
      </c>
      <c r="C27" s="285">
        <f t="shared" si="12"/>
        <v>1</v>
      </c>
      <c r="D27" s="293"/>
      <c r="E27" s="285">
        <f t="shared" si="13"/>
        <v>1</v>
      </c>
      <c r="F27" s="293"/>
      <c r="G27" s="285">
        <f t="shared" si="14"/>
        <v>1</v>
      </c>
      <c r="H27" s="293"/>
      <c r="I27" s="285">
        <f t="shared" si="15"/>
        <v>1</v>
      </c>
      <c r="J27" s="293"/>
      <c r="K27" s="285">
        <f t="shared" si="16"/>
        <v>1</v>
      </c>
      <c r="L27" s="293"/>
      <c r="M27" s="285">
        <f t="shared" si="17"/>
        <v>1</v>
      </c>
      <c r="N27" s="293"/>
      <c r="O27" s="285">
        <f t="shared" si="18"/>
        <v>1</v>
      </c>
      <c r="P27" s="291" t="s">
        <v>3024</v>
      </c>
      <c r="Q27" s="285">
        <f t="shared" si="19"/>
        <v>0.97</v>
      </c>
      <c r="R27" s="285">
        <f t="shared" si="20"/>
        <v>27051</v>
      </c>
      <c r="S27" s="284">
        <f t="shared" si="11"/>
        <v>139</v>
      </c>
    </row>
    <row r="28" spans="1:45">
      <c r="A28" s="1061" t="str">
        <f>清单!D151</f>
        <v>C-7-3-102</v>
      </c>
      <c r="B28" s="1061">
        <f>清单!F151</f>
        <v>49.68</v>
      </c>
      <c r="C28" s="285">
        <f t="shared" si="12"/>
        <v>1</v>
      </c>
      <c r="D28" s="293"/>
      <c r="E28" s="285">
        <f t="shared" si="13"/>
        <v>1</v>
      </c>
      <c r="F28" s="293"/>
      <c r="G28" s="285">
        <f t="shared" si="14"/>
        <v>1</v>
      </c>
      <c r="H28" s="293"/>
      <c r="I28" s="285">
        <f t="shared" si="15"/>
        <v>1</v>
      </c>
      <c r="J28" s="293"/>
      <c r="K28" s="285">
        <f t="shared" si="16"/>
        <v>1</v>
      </c>
      <c r="L28" s="293"/>
      <c r="M28" s="285">
        <f t="shared" si="17"/>
        <v>1</v>
      </c>
      <c r="N28" s="293"/>
      <c r="O28" s="285">
        <f t="shared" si="18"/>
        <v>1</v>
      </c>
      <c r="P28" s="291" t="s">
        <v>3024</v>
      </c>
      <c r="Q28" s="285">
        <f t="shared" si="19"/>
        <v>0.97</v>
      </c>
      <c r="R28" s="285">
        <f t="shared" si="20"/>
        <v>27051</v>
      </c>
      <c r="S28" s="284">
        <f t="shared" si="11"/>
        <v>134</v>
      </c>
    </row>
    <row r="29" spans="1:45">
      <c r="A29" s="1061" t="str">
        <f>清单!D152</f>
        <v>C-7-3-101</v>
      </c>
      <c r="B29" s="1061">
        <f>清单!F152</f>
        <v>76.73</v>
      </c>
      <c r="C29" s="285">
        <f t="shared" si="12"/>
        <v>0.97</v>
      </c>
      <c r="D29" s="293"/>
      <c r="E29" s="285">
        <f t="shared" si="13"/>
        <v>1</v>
      </c>
      <c r="F29" s="293"/>
      <c r="G29" s="285">
        <f t="shared" si="14"/>
        <v>1</v>
      </c>
      <c r="H29" s="293"/>
      <c r="I29" s="285">
        <f t="shared" si="15"/>
        <v>1</v>
      </c>
      <c r="J29" s="293"/>
      <c r="K29" s="285">
        <f t="shared" si="16"/>
        <v>1</v>
      </c>
      <c r="L29" s="293"/>
      <c r="M29" s="285">
        <f t="shared" si="17"/>
        <v>1</v>
      </c>
      <c r="N29" s="293"/>
      <c r="O29" s="285">
        <f t="shared" si="18"/>
        <v>1</v>
      </c>
      <c r="P29" s="291" t="s">
        <v>3024</v>
      </c>
      <c r="Q29" s="285">
        <f t="shared" si="19"/>
        <v>0.97</v>
      </c>
      <c r="R29" s="285">
        <f t="shared" si="20"/>
        <v>26240</v>
      </c>
      <c r="S29" s="284">
        <f t="shared" si="11"/>
        <v>201</v>
      </c>
    </row>
    <row r="30" spans="1:45">
      <c r="A30" s="1061" t="str">
        <f>清单!D153</f>
        <v>C-7-3-206</v>
      </c>
      <c r="B30" s="1061">
        <f>清单!F153</f>
        <v>54.07</v>
      </c>
      <c r="C30" s="285">
        <f t="shared" si="12"/>
        <v>1</v>
      </c>
      <c r="D30" s="293"/>
      <c r="E30" s="285">
        <f t="shared" si="13"/>
        <v>1</v>
      </c>
      <c r="F30" s="293"/>
      <c r="G30" s="285">
        <f t="shared" si="14"/>
        <v>1</v>
      </c>
      <c r="H30" s="293"/>
      <c r="I30" s="285">
        <f t="shared" si="15"/>
        <v>1</v>
      </c>
      <c r="J30" s="293"/>
      <c r="K30" s="285">
        <f t="shared" si="16"/>
        <v>1</v>
      </c>
      <c r="L30" s="293"/>
      <c r="M30" s="285">
        <f t="shared" si="17"/>
        <v>1</v>
      </c>
      <c r="N30" s="293"/>
      <c r="O30" s="285">
        <f t="shared" si="18"/>
        <v>1</v>
      </c>
      <c r="P30" s="291" t="s">
        <v>3024</v>
      </c>
      <c r="Q30" s="285">
        <f t="shared" si="19"/>
        <v>0.97</v>
      </c>
      <c r="R30" s="285">
        <f t="shared" si="20"/>
        <v>27051</v>
      </c>
      <c r="S30" s="284">
        <f t="shared" si="11"/>
        <v>146</v>
      </c>
    </row>
    <row r="31" spans="1:45">
      <c r="A31" s="1061" t="str">
        <f>清单!D154</f>
        <v>C-7-3-205</v>
      </c>
      <c r="B31" s="1061">
        <f>清单!F154</f>
        <v>51.67</v>
      </c>
      <c r="C31" s="285">
        <f t="shared" si="12"/>
        <v>1</v>
      </c>
      <c r="D31" s="293"/>
      <c r="E31" s="285">
        <f t="shared" si="13"/>
        <v>1</v>
      </c>
      <c r="F31" s="293"/>
      <c r="G31" s="285">
        <f t="shared" si="14"/>
        <v>1</v>
      </c>
      <c r="H31" s="293"/>
      <c r="I31" s="285">
        <f t="shared" si="15"/>
        <v>1</v>
      </c>
      <c r="J31" s="293"/>
      <c r="K31" s="285">
        <f t="shared" si="16"/>
        <v>1</v>
      </c>
      <c r="L31" s="293"/>
      <c r="M31" s="285">
        <f t="shared" si="17"/>
        <v>1</v>
      </c>
      <c r="N31" s="293"/>
      <c r="O31" s="285">
        <f t="shared" si="18"/>
        <v>1</v>
      </c>
      <c r="P31" s="291" t="s">
        <v>3024</v>
      </c>
      <c r="Q31" s="285">
        <f t="shared" si="19"/>
        <v>0.97</v>
      </c>
      <c r="R31" s="285">
        <f t="shared" si="20"/>
        <v>27051</v>
      </c>
      <c r="S31" s="284">
        <f t="shared" si="11"/>
        <v>140</v>
      </c>
    </row>
    <row r="32" spans="1:45">
      <c r="A32" s="1061" t="str">
        <f>清单!D155</f>
        <v>C-7-3-203</v>
      </c>
      <c r="B32" s="1061">
        <f>清单!F155</f>
        <v>49.79</v>
      </c>
      <c r="C32" s="285">
        <f t="shared" si="12"/>
        <v>1</v>
      </c>
      <c r="D32" s="293"/>
      <c r="E32" s="285">
        <f t="shared" si="13"/>
        <v>1</v>
      </c>
      <c r="F32" s="293"/>
      <c r="G32" s="285">
        <f t="shared" si="14"/>
        <v>1</v>
      </c>
      <c r="H32" s="293"/>
      <c r="I32" s="285">
        <f t="shared" si="15"/>
        <v>1</v>
      </c>
      <c r="J32" s="293"/>
      <c r="K32" s="285">
        <f t="shared" si="16"/>
        <v>1</v>
      </c>
      <c r="L32" s="293"/>
      <c r="M32" s="285">
        <f t="shared" si="17"/>
        <v>1</v>
      </c>
      <c r="N32" s="293"/>
      <c r="O32" s="285">
        <f t="shared" si="18"/>
        <v>1</v>
      </c>
      <c r="P32" s="291" t="s">
        <v>3024</v>
      </c>
      <c r="Q32" s="285">
        <f t="shared" si="19"/>
        <v>0.97</v>
      </c>
      <c r="R32" s="285">
        <f t="shared" si="20"/>
        <v>27051</v>
      </c>
      <c r="S32" s="284">
        <f t="shared" si="11"/>
        <v>135</v>
      </c>
    </row>
    <row r="33" spans="1:19">
      <c r="A33" s="1061" t="str">
        <f>清单!D156</f>
        <v>C-7-3-202</v>
      </c>
      <c r="B33" s="1061">
        <f>清单!F156</f>
        <v>49.88</v>
      </c>
      <c r="C33" s="285">
        <f t="shared" si="12"/>
        <v>1</v>
      </c>
      <c r="D33" s="293"/>
      <c r="E33" s="285">
        <f t="shared" si="13"/>
        <v>1</v>
      </c>
      <c r="F33" s="293"/>
      <c r="G33" s="285">
        <f t="shared" si="14"/>
        <v>1</v>
      </c>
      <c r="H33" s="293"/>
      <c r="I33" s="285">
        <f t="shared" si="15"/>
        <v>1</v>
      </c>
      <c r="J33" s="293"/>
      <c r="K33" s="285">
        <f t="shared" si="16"/>
        <v>1</v>
      </c>
      <c r="L33" s="293"/>
      <c r="M33" s="285">
        <f t="shared" si="17"/>
        <v>1</v>
      </c>
      <c r="N33" s="293"/>
      <c r="O33" s="285">
        <f t="shared" si="18"/>
        <v>1</v>
      </c>
      <c r="P33" s="291" t="s">
        <v>3024</v>
      </c>
      <c r="Q33" s="285">
        <f t="shared" si="19"/>
        <v>0.97</v>
      </c>
      <c r="R33" s="285">
        <f t="shared" si="20"/>
        <v>27051</v>
      </c>
      <c r="S33" s="284">
        <f t="shared" si="11"/>
        <v>135</v>
      </c>
    </row>
    <row r="34" spans="1:19">
      <c r="A34" s="1061" t="str">
        <f>清单!D157</f>
        <v>C-7-3-201</v>
      </c>
      <c r="B34" s="1061">
        <f>清单!F157</f>
        <v>49.27</v>
      </c>
      <c r="C34" s="285">
        <f t="shared" si="12"/>
        <v>1</v>
      </c>
      <c r="D34" s="293"/>
      <c r="E34" s="285">
        <f t="shared" si="13"/>
        <v>1</v>
      </c>
      <c r="F34" s="293"/>
      <c r="G34" s="285">
        <f t="shared" si="14"/>
        <v>1</v>
      </c>
      <c r="H34" s="293"/>
      <c r="I34" s="285">
        <f t="shared" si="15"/>
        <v>1</v>
      </c>
      <c r="J34" s="293"/>
      <c r="K34" s="285">
        <f t="shared" si="16"/>
        <v>1</v>
      </c>
      <c r="L34" s="293"/>
      <c r="M34" s="285">
        <f t="shared" si="17"/>
        <v>1</v>
      </c>
      <c r="N34" s="293"/>
      <c r="O34" s="285">
        <f t="shared" si="18"/>
        <v>1</v>
      </c>
      <c r="P34" s="291" t="s">
        <v>3024</v>
      </c>
      <c r="Q34" s="285">
        <f t="shared" si="19"/>
        <v>0.97</v>
      </c>
      <c r="R34" s="285">
        <f t="shared" si="20"/>
        <v>27051</v>
      </c>
      <c r="S34" s="284">
        <f t="shared" si="11"/>
        <v>133</v>
      </c>
    </row>
    <row r="35" spans="1:19">
      <c r="A35" s="1061" t="str">
        <f>清单!D158</f>
        <v>C-7-3-305</v>
      </c>
      <c r="B35" s="1061">
        <f>清单!F158</f>
        <v>51.67</v>
      </c>
      <c r="C35" s="285">
        <f t="shared" si="12"/>
        <v>1</v>
      </c>
      <c r="D35" s="293"/>
      <c r="E35" s="285">
        <f t="shared" si="13"/>
        <v>1</v>
      </c>
      <c r="F35" s="293"/>
      <c r="G35" s="285">
        <f t="shared" si="14"/>
        <v>1</v>
      </c>
      <c r="H35" s="293"/>
      <c r="I35" s="285">
        <f t="shared" si="15"/>
        <v>1</v>
      </c>
      <c r="J35" s="293"/>
      <c r="K35" s="285">
        <f t="shared" si="16"/>
        <v>1</v>
      </c>
      <c r="L35" s="293"/>
      <c r="M35" s="285">
        <f t="shared" si="17"/>
        <v>1</v>
      </c>
      <c r="N35" s="293"/>
      <c r="O35" s="285">
        <f t="shared" si="18"/>
        <v>1</v>
      </c>
      <c r="P35" s="291" t="s">
        <v>3024</v>
      </c>
      <c r="Q35" s="285">
        <f t="shared" si="19"/>
        <v>0.97</v>
      </c>
      <c r="R35" s="285">
        <f t="shared" si="20"/>
        <v>27051</v>
      </c>
      <c r="S35" s="284">
        <f t="shared" si="11"/>
        <v>140</v>
      </c>
    </row>
    <row r="36" spans="1:19">
      <c r="A36" s="1061" t="str">
        <f>清单!D159</f>
        <v>C-7-3-301</v>
      </c>
      <c r="B36" s="1061">
        <f>清单!F159</f>
        <v>49.27</v>
      </c>
      <c r="C36" s="285">
        <f t="shared" si="12"/>
        <v>1</v>
      </c>
      <c r="D36" s="293"/>
      <c r="E36" s="285">
        <f t="shared" si="13"/>
        <v>1</v>
      </c>
      <c r="F36" s="293"/>
      <c r="G36" s="285">
        <f t="shared" si="14"/>
        <v>1</v>
      </c>
      <c r="H36" s="293"/>
      <c r="I36" s="285">
        <f t="shared" si="15"/>
        <v>1</v>
      </c>
      <c r="J36" s="293"/>
      <c r="K36" s="285">
        <f t="shared" si="16"/>
        <v>1</v>
      </c>
      <c r="L36" s="293"/>
      <c r="M36" s="285">
        <f t="shared" si="17"/>
        <v>1</v>
      </c>
      <c r="N36" s="293"/>
      <c r="O36" s="285">
        <f t="shared" si="18"/>
        <v>1</v>
      </c>
      <c r="P36" s="291" t="s">
        <v>3024</v>
      </c>
      <c r="Q36" s="285">
        <f t="shared" si="19"/>
        <v>0.97</v>
      </c>
      <c r="R36" s="285">
        <f t="shared" si="20"/>
        <v>27051</v>
      </c>
      <c r="S36" s="284">
        <f t="shared" si="11"/>
        <v>133</v>
      </c>
    </row>
    <row r="37" spans="1:19">
      <c r="A37" s="1061" t="str">
        <f>清单!D160</f>
        <v>C-7-3-405</v>
      </c>
      <c r="B37" s="1061">
        <f>清单!F160</f>
        <v>51.67</v>
      </c>
      <c r="C37" s="285">
        <f t="shared" si="12"/>
        <v>1</v>
      </c>
      <c r="D37" s="293"/>
      <c r="E37" s="285">
        <f t="shared" si="13"/>
        <v>1</v>
      </c>
      <c r="F37" s="293"/>
      <c r="G37" s="285">
        <f t="shared" si="14"/>
        <v>1</v>
      </c>
      <c r="H37" s="293"/>
      <c r="I37" s="285">
        <f t="shared" si="15"/>
        <v>1</v>
      </c>
      <c r="J37" s="293"/>
      <c r="K37" s="285">
        <f t="shared" si="16"/>
        <v>1</v>
      </c>
      <c r="L37" s="293"/>
      <c r="M37" s="285">
        <f t="shared" si="17"/>
        <v>1</v>
      </c>
      <c r="N37" s="293"/>
      <c r="O37" s="285">
        <f t="shared" si="18"/>
        <v>1</v>
      </c>
      <c r="P37" s="291" t="s">
        <v>3024</v>
      </c>
      <c r="Q37" s="285">
        <f t="shared" si="19"/>
        <v>0.97</v>
      </c>
      <c r="R37" s="285">
        <f t="shared" si="20"/>
        <v>27051</v>
      </c>
      <c r="S37" s="284">
        <f t="shared" si="11"/>
        <v>140</v>
      </c>
    </row>
    <row r="38" spans="1:19">
      <c r="A38" s="1061" t="str">
        <f>清单!D161</f>
        <v>C-7-3-403</v>
      </c>
      <c r="B38" s="1061">
        <f>清单!F161</f>
        <v>49.79</v>
      </c>
      <c r="C38" s="285">
        <f t="shared" si="12"/>
        <v>1</v>
      </c>
      <c r="D38" s="293"/>
      <c r="E38" s="285">
        <f t="shared" si="13"/>
        <v>1</v>
      </c>
      <c r="F38" s="293"/>
      <c r="G38" s="285">
        <f t="shared" si="14"/>
        <v>1</v>
      </c>
      <c r="H38" s="293"/>
      <c r="I38" s="285">
        <f t="shared" si="15"/>
        <v>1</v>
      </c>
      <c r="J38" s="293"/>
      <c r="K38" s="285">
        <f t="shared" si="16"/>
        <v>1</v>
      </c>
      <c r="L38" s="293"/>
      <c r="M38" s="285">
        <f t="shared" si="17"/>
        <v>1</v>
      </c>
      <c r="N38" s="293"/>
      <c r="O38" s="285">
        <f t="shared" si="18"/>
        <v>1</v>
      </c>
      <c r="P38" s="291" t="s">
        <v>3024</v>
      </c>
      <c r="Q38" s="285">
        <f t="shared" si="19"/>
        <v>0.97</v>
      </c>
      <c r="R38" s="285">
        <f t="shared" si="20"/>
        <v>27051</v>
      </c>
      <c r="S38" s="284">
        <f t="shared" si="11"/>
        <v>135</v>
      </c>
    </row>
    <row r="39" spans="1:19">
      <c r="A39" s="1061" t="str">
        <f>清单!D162</f>
        <v>C-7-3-401</v>
      </c>
      <c r="B39" s="1061">
        <f>清单!F162</f>
        <v>49.27</v>
      </c>
      <c r="C39" s="285">
        <f t="shared" si="12"/>
        <v>1</v>
      </c>
      <c r="D39" s="293"/>
      <c r="E39" s="285">
        <f t="shared" si="13"/>
        <v>1</v>
      </c>
      <c r="F39" s="293"/>
      <c r="G39" s="285">
        <f t="shared" si="14"/>
        <v>1</v>
      </c>
      <c r="H39" s="293"/>
      <c r="I39" s="285">
        <f t="shared" si="15"/>
        <v>1</v>
      </c>
      <c r="J39" s="293"/>
      <c r="K39" s="285">
        <f t="shared" si="16"/>
        <v>1</v>
      </c>
      <c r="L39" s="293"/>
      <c r="M39" s="285">
        <f t="shared" si="17"/>
        <v>1</v>
      </c>
      <c r="N39" s="293"/>
      <c r="O39" s="285">
        <f t="shared" si="18"/>
        <v>1</v>
      </c>
      <c r="P39" s="291" t="s">
        <v>3024</v>
      </c>
      <c r="Q39" s="285">
        <f t="shared" si="19"/>
        <v>0.97</v>
      </c>
      <c r="R39" s="285">
        <f t="shared" si="20"/>
        <v>27051</v>
      </c>
      <c r="S39" s="284">
        <f t="shared" si="11"/>
        <v>133</v>
      </c>
    </row>
    <row r="40" spans="1:19">
      <c r="A40" s="1061" t="str">
        <f>清单!D163</f>
        <v>C-7-3-506</v>
      </c>
      <c r="B40" s="1061">
        <f>清单!F163</f>
        <v>54.07</v>
      </c>
      <c r="C40" s="285">
        <f t="shared" si="12"/>
        <v>1</v>
      </c>
      <c r="D40" s="293"/>
      <c r="E40" s="285">
        <f t="shared" si="13"/>
        <v>1</v>
      </c>
      <c r="F40" s="293"/>
      <c r="G40" s="285">
        <f t="shared" si="14"/>
        <v>1</v>
      </c>
      <c r="H40" s="293"/>
      <c r="I40" s="285">
        <f t="shared" si="15"/>
        <v>1</v>
      </c>
      <c r="J40" s="293"/>
      <c r="K40" s="285">
        <f t="shared" si="16"/>
        <v>1</v>
      </c>
      <c r="L40" s="293"/>
      <c r="M40" s="285">
        <f t="shared" si="17"/>
        <v>1</v>
      </c>
      <c r="N40" s="293"/>
      <c r="O40" s="285">
        <f t="shared" si="18"/>
        <v>1</v>
      </c>
      <c r="P40" s="291" t="s">
        <v>3024</v>
      </c>
      <c r="Q40" s="285">
        <f t="shared" si="19"/>
        <v>0.97</v>
      </c>
      <c r="R40" s="285">
        <f t="shared" si="20"/>
        <v>27051</v>
      </c>
      <c r="S40" s="284">
        <f t="shared" si="11"/>
        <v>146</v>
      </c>
    </row>
    <row r="41" spans="1:19">
      <c r="A41" s="1061" t="str">
        <f>清单!D164</f>
        <v>C-7-3-505</v>
      </c>
      <c r="B41" s="1061">
        <f>清单!F164</f>
        <v>51.67</v>
      </c>
      <c r="C41" s="285">
        <f t="shared" si="12"/>
        <v>1</v>
      </c>
      <c r="D41" s="293"/>
      <c r="E41" s="285">
        <f t="shared" si="13"/>
        <v>1</v>
      </c>
      <c r="F41" s="293"/>
      <c r="G41" s="285">
        <f t="shared" si="14"/>
        <v>1</v>
      </c>
      <c r="H41" s="293"/>
      <c r="I41" s="285">
        <f t="shared" si="15"/>
        <v>1</v>
      </c>
      <c r="J41" s="293"/>
      <c r="K41" s="285">
        <f t="shared" si="16"/>
        <v>1</v>
      </c>
      <c r="L41" s="293"/>
      <c r="M41" s="285">
        <f t="shared" si="17"/>
        <v>1</v>
      </c>
      <c r="N41" s="293"/>
      <c r="O41" s="285">
        <f t="shared" si="18"/>
        <v>1</v>
      </c>
      <c r="P41" s="291" t="s">
        <v>3024</v>
      </c>
      <c r="Q41" s="285">
        <f t="shared" si="19"/>
        <v>0.97</v>
      </c>
      <c r="R41" s="285">
        <f t="shared" si="20"/>
        <v>27051</v>
      </c>
      <c r="S41" s="284">
        <f t="shared" si="11"/>
        <v>140</v>
      </c>
    </row>
    <row r="42" spans="1:19">
      <c r="A42" s="1061" t="str">
        <f>清单!D165</f>
        <v>C-7-3-501</v>
      </c>
      <c r="B42" s="1061">
        <f>清单!F165</f>
        <v>49.27</v>
      </c>
      <c r="C42" s="285">
        <f t="shared" si="12"/>
        <v>1</v>
      </c>
      <c r="D42" s="293"/>
      <c r="E42" s="285">
        <f t="shared" si="13"/>
        <v>1</v>
      </c>
      <c r="F42" s="293"/>
      <c r="G42" s="285">
        <f t="shared" si="14"/>
        <v>1</v>
      </c>
      <c r="H42" s="293"/>
      <c r="I42" s="285">
        <f t="shared" si="15"/>
        <v>1</v>
      </c>
      <c r="J42" s="293"/>
      <c r="K42" s="285">
        <f t="shared" si="16"/>
        <v>1</v>
      </c>
      <c r="L42" s="293"/>
      <c r="M42" s="285">
        <f t="shared" si="17"/>
        <v>1</v>
      </c>
      <c r="N42" s="293"/>
      <c r="O42" s="285">
        <f t="shared" si="18"/>
        <v>1</v>
      </c>
      <c r="P42" s="291" t="s">
        <v>3024</v>
      </c>
      <c r="Q42" s="285">
        <f t="shared" si="19"/>
        <v>0.97</v>
      </c>
      <c r="R42" s="285">
        <f t="shared" si="20"/>
        <v>27051</v>
      </c>
      <c r="S42" s="284">
        <f t="shared" si="11"/>
        <v>133</v>
      </c>
    </row>
    <row r="43" spans="1:19">
      <c r="A43" s="3115" t="str">
        <f>清单!D166</f>
        <v>C-7-3-606</v>
      </c>
      <c r="B43" s="3115"/>
      <c r="C43" s="285">
        <f t="shared" si="12"/>
        <v>1</v>
      </c>
      <c r="D43" s="293"/>
      <c r="E43" s="285">
        <f t="shared" si="13"/>
        <v>1</v>
      </c>
      <c r="F43" s="293"/>
      <c r="G43" s="285">
        <f t="shared" si="14"/>
        <v>1</v>
      </c>
      <c r="H43" s="293"/>
      <c r="I43" s="285">
        <f t="shared" si="15"/>
        <v>1</v>
      </c>
      <c r="J43" s="293"/>
      <c r="K43" s="285">
        <f t="shared" si="16"/>
        <v>1</v>
      </c>
      <c r="L43" s="293"/>
      <c r="M43" s="285">
        <f t="shared" si="17"/>
        <v>1</v>
      </c>
      <c r="N43" s="293"/>
      <c r="O43" s="285">
        <f t="shared" si="18"/>
        <v>1</v>
      </c>
      <c r="P43" s="291" t="s">
        <v>3022</v>
      </c>
      <c r="Q43" s="285">
        <f t="shared" si="19"/>
        <v>1</v>
      </c>
      <c r="R43" s="285">
        <f t="shared" si="20"/>
        <v>0</v>
      </c>
      <c r="S43" s="284">
        <f t="shared" si="11"/>
        <v>0</v>
      </c>
    </row>
    <row r="44" spans="1:19">
      <c r="A44" s="1061" t="str">
        <f>清单!D167</f>
        <v>C-7-3-605</v>
      </c>
      <c r="B44" s="1061">
        <f>清单!F167</f>
        <v>51.67</v>
      </c>
      <c r="C44" s="285">
        <f t="shared" si="12"/>
        <v>1</v>
      </c>
      <c r="D44" s="293"/>
      <c r="E44" s="285">
        <f t="shared" si="13"/>
        <v>1</v>
      </c>
      <c r="F44" s="293"/>
      <c r="G44" s="285">
        <f t="shared" si="14"/>
        <v>1</v>
      </c>
      <c r="H44" s="293"/>
      <c r="I44" s="285">
        <f t="shared" si="15"/>
        <v>1</v>
      </c>
      <c r="J44" s="293"/>
      <c r="K44" s="285">
        <f t="shared" si="16"/>
        <v>1</v>
      </c>
      <c r="L44" s="293"/>
      <c r="M44" s="285">
        <f t="shared" si="17"/>
        <v>1</v>
      </c>
      <c r="N44" s="293"/>
      <c r="O44" s="285">
        <f t="shared" si="18"/>
        <v>1</v>
      </c>
      <c r="P44" s="291" t="s">
        <v>3022</v>
      </c>
      <c r="Q44" s="285">
        <f t="shared" si="19"/>
        <v>1</v>
      </c>
      <c r="R44" s="285">
        <f t="shared" si="20"/>
        <v>27888</v>
      </c>
      <c r="S44" s="284">
        <f t="shared" si="11"/>
        <v>144</v>
      </c>
    </row>
    <row r="45" spans="1:19">
      <c r="A45" s="1061" t="str">
        <f>清单!D168</f>
        <v>C-7-3-601</v>
      </c>
      <c r="B45" s="1061">
        <f>清单!F168</f>
        <v>49.27</v>
      </c>
      <c r="C45" s="285">
        <f t="shared" si="12"/>
        <v>1</v>
      </c>
      <c r="D45" s="293"/>
      <c r="E45" s="285">
        <f t="shared" si="13"/>
        <v>1</v>
      </c>
      <c r="F45" s="293"/>
      <c r="G45" s="285">
        <f t="shared" si="14"/>
        <v>1</v>
      </c>
      <c r="H45" s="293"/>
      <c r="I45" s="285">
        <f t="shared" si="15"/>
        <v>1</v>
      </c>
      <c r="J45" s="293"/>
      <c r="K45" s="285">
        <f t="shared" si="16"/>
        <v>1</v>
      </c>
      <c r="L45" s="293"/>
      <c r="M45" s="285">
        <f t="shared" si="17"/>
        <v>1</v>
      </c>
      <c r="N45" s="293"/>
      <c r="O45" s="285">
        <f t="shared" si="18"/>
        <v>1</v>
      </c>
      <c r="P45" s="291" t="s">
        <v>3022</v>
      </c>
      <c r="Q45" s="285">
        <f t="shared" si="19"/>
        <v>1</v>
      </c>
      <c r="R45" s="285">
        <f t="shared" si="20"/>
        <v>27888</v>
      </c>
      <c r="S45" s="284">
        <f t="shared" si="11"/>
        <v>137</v>
      </c>
    </row>
    <row r="46" spans="1:19">
      <c r="A46" s="1061" t="str">
        <f>清单!D151</f>
        <v>C-7-3-102</v>
      </c>
      <c r="B46" s="1061">
        <f>清单!F151</f>
        <v>49.68</v>
      </c>
      <c r="C46" s="285">
        <f t="shared" si="12"/>
        <v>1</v>
      </c>
      <c r="D46" s="293"/>
      <c r="E46" s="285">
        <f t="shared" si="13"/>
        <v>1</v>
      </c>
      <c r="F46" s="293"/>
      <c r="G46" s="285">
        <f t="shared" si="14"/>
        <v>1</v>
      </c>
      <c r="H46" s="293"/>
      <c r="I46" s="285">
        <f t="shared" si="15"/>
        <v>1</v>
      </c>
      <c r="J46" s="293"/>
      <c r="K46" s="285">
        <f t="shared" si="16"/>
        <v>1</v>
      </c>
      <c r="L46" s="293"/>
      <c r="M46" s="285">
        <f t="shared" si="17"/>
        <v>1</v>
      </c>
      <c r="N46" s="293"/>
      <c r="O46" s="285">
        <f t="shared" si="18"/>
        <v>1</v>
      </c>
      <c r="P46" s="291" t="s">
        <v>3024</v>
      </c>
      <c r="Q46" s="285">
        <f t="shared" si="19"/>
        <v>0.97</v>
      </c>
      <c r="R46" s="285">
        <f t="shared" si="20"/>
        <v>27051</v>
      </c>
      <c r="S46" s="284">
        <f t="shared" si="11"/>
        <v>134</v>
      </c>
    </row>
    <row r="47" spans="1:19">
      <c r="A47" s="1061" t="str">
        <f>清单!D170</f>
        <v>C-7-3-701</v>
      </c>
      <c r="B47" s="1061">
        <f>清单!F170</f>
        <v>49.27</v>
      </c>
      <c r="C47" s="285">
        <f t="shared" si="12"/>
        <v>1</v>
      </c>
      <c r="D47" s="293"/>
      <c r="E47" s="285">
        <f t="shared" si="13"/>
        <v>1</v>
      </c>
      <c r="F47" s="293"/>
      <c r="G47" s="285">
        <f t="shared" si="14"/>
        <v>1</v>
      </c>
      <c r="H47" s="293"/>
      <c r="I47" s="285">
        <f t="shared" si="15"/>
        <v>1</v>
      </c>
      <c r="J47" s="293"/>
      <c r="K47" s="285">
        <f t="shared" si="16"/>
        <v>1</v>
      </c>
      <c r="L47" s="293"/>
      <c r="M47" s="285">
        <f t="shared" si="17"/>
        <v>1</v>
      </c>
      <c r="N47" s="293"/>
      <c r="O47" s="285">
        <f t="shared" si="18"/>
        <v>1</v>
      </c>
      <c r="P47" s="291" t="s">
        <v>3022</v>
      </c>
      <c r="Q47" s="285">
        <f t="shared" si="19"/>
        <v>1</v>
      </c>
      <c r="R47" s="285">
        <f t="shared" si="20"/>
        <v>27888</v>
      </c>
      <c r="S47" s="284">
        <f t="shared" si="11"/>
        <v>137</v>
      </c>
    </row>
    <row r="48" spans="1:19">
      <c r="A48" s="1061" t="str">
        <f>清单!D171</f>
        <v>C-7-3-805</v>
      </c>
      <c r="B48" s="1061">
        <f>清单!F171</f>
        <v>51.67</v>
      </c>
      <c r="C48" s="285">
        <f t="shared" si="12"/>
        <v>1</v>
      </c>
      <c r="D48" s="293"/>
      <c r="E48" s="285">
        <f t="shared" si="13"/>
        <v>1</v>
      </c>
      <c r="F48" s="293"/>
      <c r="G48" s="285">
        <f t="shared" si="14"/>
        <v>1</v>
      </c>
      <c r="H48" s="293"/>
      <c r="I48" s="285">
        <f t="shared" si="15"/>
        <v>1</v>
      </c>
      <c r="J48" s="293"/>
      <c r="K48" s="285">
        <f t="shared" si="16"/>
        <v>1</v>
      </c>
      <c r="L48" s="293"/>
      <c r="M48" s="285">
        <f t="shared" si="17"/>
        <v>1</v>
      </c>
      <c r="N48" s="293"/>
      <c r="O48" s="285">
        <f t="shared" si="18"/>
        <v>1</v>
      </c>
      <c r="P48" s="291" t="s">
        <v>3022</v>
      </c>
      <c r="Q48" s="285">
        <f t="shared" si="19"/>
        <v>1</v>
      </c>
      <c r="R48" s="285">
        <f t="shared" si="20"/>
        <v>27888</v>
      </c>
      <c r="S48" s="284">
        <f t="shared" si="11"/>
        <v>144</v>
      </c>
    </row>
    <row r="49" spans="1:19">
      <c r="A49" s="1061" t="str">
        <f>清单!D154</f>
        <v>C-7-3-205</v>
      </c>
      <c r="B49" s="1061">
        <f>清单!F154</f>
        <v>51.67</v>
      </c>
      <c r="C49" s="285">
        <f t="shared" si="12"/>
        <v>1</v>
      </c>
      <c r="D49" s="293"/>
      <c r="E49" s="285">
        <f t="shared" si="13"/>
        <v>1</v>
      </c>
      <c r="F49" s="293"/>
      <c r="G49" s="285">
        <f t="shared" si="14"/>
        <v>1</v>
      </c>
      <c r="H49" s="293"/>
      <c r="I49" s="285">
        <f t="shared" si="15"/>
        <v>1</v>
      </c>
      <c r="J49" s="293"/>
      <c r="K49" s="285">
        <f t="shared" si="16"/>
        <v>1</v>
      </c>
      <c r="L49" s="293"/>
      <c r="M49" s="285">
        <f t="shared" si="17"/>
        <v>1</v>
      </c>
      <c r="N49" s="293"/>
      <c r="O49" s="285">
        <f t="shared" si="18"/>
        <v>1</v>
      </c>
      <c r="P49" s="291" t="s">
        <v>3024</v>
      </c>
      <c r="Q49" s="285">
        <f t="shared" si="19"/>
        <v>0.97</v>
      </c>
      <c r="R49" s="285">
        <f t="shared" si="20"/>
        <v>27051</v>
      </c>
      <c r="S49" s="284">
        <f t="shared" si="11"/>
        <v>140</v>
      </c>
    </row>
    <row r="50" spans="1:19">
      <c r="A50" s="1061" t="str">
        <f>清单!D173</f>
        <v>C-7-3-801</v>
      </c>
      <c r="B50" s="1061">
        <f>清单!F173</f>
        <v>49.27</v>
      </c>
      <c r="C50" s="285">
        <f t="shared" si="12"/>
        <v>1</v>
      </c>
      <c r="D50" s="293"/>
      <c r="E50" s="285">
        <f t="shared" si="13"/>
        <v>1</v>
      </c>
      <c r="F50" s="293"/>
      <c r="G50" s="285">
        <f t="shared" si="14"/>
        <v>1</v>
      </c>
      <c r="H50" s="293"/>
      <c r="I50" s="285">
        <f t="shared" si="15"/>
        <v>1</v>
      </c>
      <c r="J50" s="293"/>
      <c r="K50" s="285">
        <f t="shared" si="16"/>
        <v>1</v>
      </c>
      <c r="L50" s="293"/>
      <c r="M50" s="285">
        <f t="shared" si="17"/>
        <v>1</v>
      </c>
      <c r="N50" s="293"/>
      <c r="O50" s="285">
        <f t="shared" si="18"/>
        <v>1</v>
      </c>
      <c r="P50" s="291" t="s">
        <v>3022</v>
      </c>
      <c r="Q50" s="285">
        <f t="shared" si="19"/>
        <v>1</v>
      </c>
      <c r="R50" s="285">
        <f t="shared" si="20"/>
        <v>27888</v>
      </c>
      <c r="S50" s="284">
        <f t="shared" si="11"/>
        <v>137</v>
      </c>
    </row>
    <row r="51" spans="1:19">
      <c r="A51" s="1061" t="str">
        <f>清单!D174</f>
        <v>C-7-3-906</v>
      </c>
      <c r="B51" s="1061">
        <f>清单!F174</f>
        <v>54.07</v>
      </c>
      <c r="C51" s="285">
        <f t="shared" si="12"/>
        <v>1</v>
      </c>
      <c r="D51" s="293"/>
      <c r="E51" s="285">
        <f t="shared" si="13"/>
        <v>1</v>
      </c>
      <c r="F51" s="293"/>
      <c r="G51" s="285">
        <f t="shared" si="14"/>
        <v>1</v>
      </c>
      <c r="H51" s="293"/>
      <c r="I51" s="285">
        <f t="shared" si="15"/>
        <v>1</v>
      </c>
      <c r="J51" s="293"/>
      <c r="K51" s="285">
        <f t="shared" si="16"/>
        <v>1</v>
      </c>
      <c r="L51" s="293"/>
      <c r="M51" s="285">
        <f t="shared" si="17"/>
        <v>1</v>
      </c>
      <c r="N51" s="293"/>
      <c r="O51" s="285">
        <f t="shared" si="18"/>
        <v>1</v>
      </c>
      <c r="P51" s="291" t="s">
        <v>3022</v>
      </c>
      <c r="Q51" s="285">
        <f t="shared" si="19"/>
        <v>1</v>
      </c>
      <c r="R51" s="285">
        <f t="shared" si="20"/>
        <v>27888</v>
      </c>
      <c r="S51" s="284">
        <f t="shared" si="11"/>
        <v>151</v>
      </c>
    </row>
    <row r="52" spans="1:19">
      <c r="A52" s="1061" t="str">
        <f>清单!D157</f>
        <v>C-7-3-201</v>
      </c>
      <c r="B52" s="1061">
        <f>清单!F157</f>
        <v>49.27</v>
      </c>
      <c r="C52" s="285">
        <f t="shared" si="12"/>
        <v>1</v>
      </c>
      <c r="D52" s="293"/>
      <c r="E52" s="285">
        <f t="shared" si="13"/>
        <v>1</v>
      </c>
      <c r="F52" s="293"/>
      <c r="G52" s="285">
        <f t="shared" si="14"/>
        <v>1</v>
      </c>
      <c r="H52" s="293"/>
      <c r="I52" s="285">
        <f t="shared" si="15"/>
        <v>1</v>
      </c>
      <c r="J52" s="293"/>
      <c r="K52" s="285">
        <f t="shared" si="16"/>
        <v>1</v>
      </c>
      <c r="L52" s="293"/>
      <c r="M52" s="285">
        <f t="shared" si="17"/>
        <v>1</v>
      </c>
      <c r="N52" s="293"/>
      <c r="O52" s="285">
        <f t="shared" si="18"/>
        <v>1</v>
      </c>
      <c r="P52" s="291" t="s">
        <v>3024</v>
      </c>
      <c r="Q52" s="285">
        <f t="shared" si="19"/>
        <v>0.97</v>
      </c>
      <c r="R52" s="285">
        <f t="shared" si="20"/>
        <v>27051</v>
      </c>
      <c r="S52" s="284">
        <f t="shared" si="11"/>
        <v>133</v>
      </c>
    </row>
    <row r="53" spans="1:19">
      <c r="A53" s="1061" t="str">
        <f>清单!D176</f>
        <v>C-7-3-901</v>
      </c>
      <c r="B53" s="1061">
        <f>清单!F176</f>
        <v>49.27</v>
      </c>
      <c r="C53" s="285">
        <f t="shared" si="12"/>
        <v>1</v>
      </c>
      <c r="D53" s="293"/>
      <c r="E53" s="285">
        <f t="shared" si="13"/>
        <v>1</v>
      </c>
      <c r="F53" s="293"/>
      <c r="G53" s="285">
        <f t="shared" si="14"/>
        <v>1</v>
      </c>
      <c r="H53" s="293"/>
      <c r="I53" s="285">
        <f t="shared" si="15"/>
        <v>1</v>
      </c>
      <c r="J53" s="293"/>
      <c r="K53" s="285">
        <f t="shared" si="16"/>
        <v>1</v>
      </c>
      <c r="L53" s="293"/>
      <c r="M53" s="285">
        <f t="shared" si="17"/>
        <v>1</v>
      </c>
      <c r="N53" s="293"/>
      <c r="O53" s="285">
        <f t="shared" si="18"/>
        <v>1</v>
      </c>
      <c r="P53" s="291" t="s">
        <v>3022</v>
      </c>
      <c r="Q53" s="285">
        <f t="shared" si="19"/>
        <v>1</v>
      </c>
      <c r="R53" s="285">
        <f t="shared" si="20"/>
        <v>27888</v>
      </c>
      <c r="S53" s="284">
        <f t="shared" si="11"/>
        <v>137</v>
      </c>
    </row>
    <row r="54" spans="1:19">
      <c r="A54" s="1061" t="str">
        <f>清单!D177</f>
        <v>C-7-3-1006</v>
      </c>
      <c r="B54" s="1061">
        <f>清单!F177</f>
        <v>54.07</v>
      </c>
      <c r="C54" s="285">
        <f t="shared" si="12"/>
        <v>1</v>
      </c>
      <c r="D54" s="293"/>
      <c r="E54" s="285">
        <f t="shared" si="13"/>
        <v>1</v>
      </c>
      <c r="F54" s="293"/>
      <c r="G54" s="285">
        <f t="shared" si="14"/>
        <v>1</v>
      </c>
      <c r="H54" s="293"/>
      <c r="I54" s="285">
        <f t="shared" si="15"/>
        <v>1</v>
      </c>
      <c r="J54" s="293"/>
      <c r="K54" s="285">
        <f t="shared" si="16"/>
        <v>1</v>
      </c>
      <c r="L54" s="293"/>
      <c r="M54" s="285">
        <f t="shared" si="17"/>
        <v>1</v>
      </c>
      <c r="N54" s="293"/>
      <c r="O54" s="285">
        <f t="shared" si="18"/>
        <v>1</v>
      </c>
      <c r="P54" s="291" t="s">
        <v>3022</v>
      </c>
      <c r="Q54" s="285">
        <f t="shared" si="19"/>
        <v>1</v>
      </c>
      <c r="R54" s="285">
        <f t="shared" si="20"/>
        <v>27888</v>
      </c>
      <c r="S54" s="284">
        <f t="shared" si="11"/>
        <v>151</v>
      </c>
    </row>
    <row r="55" spans="1:19">
      <c r="A55" s="1061" t="str">
        <f>清单!D160</f>
        <v>C-7-3-405</v>
      </c>
      <c r="B55" s="1061">
        <f>清单!F160</f>
        <v>51.67</v>
      </c>
      <c r="C55" s="285">
        <f t="shared" si="12"/>
        <v>1</v>
      </c>
      <c r="D55" s="293"/>
      <c r="E55" s="285">
        <f t="shared" si="13"/>
        <v>1</v>
      </c>
      <c r="F55" s="293"/>
      <c r="G55" s="285">
        <f t="shared" si="14"/>
        <v>1</v>
      </c>
      <c r="H55" s="293"/>
      <c r="I55" s="285">
        <f t="shared" si="15"/>
        <v>1</v>
      </c>
      <c r="J55" s="293"/>
      <c r="K55" s="285">
        <f t="shared" si="16"/>
        <v>1</v>
      </c>
      <c r="L55" s="293"/>
      <c r="M55" s="285">
        <f t="shared" si="17"/>
        <v>1</v>
      </c>
      <c r="N55" s="293"/>
      <c r="O55" s="285">
        <f t="shared" si="18"/>
        <v>1</v>
      </c>
      <c r="P55" s="291" t="s">
        <v>3024</v>
      </c>
      <c r="Q55" s="285">
        <f t="shared" si="19"/>
        <v>0.97</v>
      </c>
      <c r="R55" s="285">
        <f t="shared" si="20"/>
        <v>27051</v>
      </c>
      <c r="S55" s="284">
        <f t="shared" ref="S55:S77" si="21">ROUND(R55*B55/10000,0)</f>
        <v>140</v>
      </c>
    </row>
    <row r="56" spans="1:19">
      <c r="A56" s="1061" t="str">
        <f>清单!D179</f>
        <v>C-7-3-1004</v>
      </c>
      <c r="B56" s="1061">
        <f>清单!F179</f>
        <v>51.76</v>
      </c>
      <c r="C56" s="285">
        <f t="shared" si="12"/>
        <v>1</v>
      </c>
      <c r="D56" s="293"/>
      <c r="E56" s="285">
        <f t="shared" si="13"/>
        <v>1</v>
      </c>
      <c r="F56" s="293"/>
      <c r="G56" s="285">
        <f t="shared" si="14"/>
        <v>1</v>
      </c>
      <c r="H56" s="293"/>
      <c r="I56" s="285">
        <f t="shared" si="15"/>
        <v>1</v>
      </c>
      <c r="J56" s="293"/>
      <c r="K56" s="285">
        <f t="shared" si="16"/>
        <v>1</v>
      </c>
      <c r="L56" s="293"/>
      <c r="M56" s="285">
        <f t="shared" si="17"/>
        <v>1</v>
      </c>
      <c r="N56" s="293"/>
      <c r="O56" s="285">
        <f t="shared" si="18"/>
        <v>1</v>
      </c>
      <c r="P56" s="291" t="s">
        <v>3022</v>
      </c>
      <c r="Q56" s="285">
        <f t="shared" si="19"/>
        <v>1</v>
      </c>
      <c r="R56" s="285">
        <f t="shared" si="20"/>
        <v>27888</v>
      </c>
      <c r="S56" s="284">
        <f t="shared" si="21"/>
        <v>144</v>
      </c>
    </row>
    <row r="57" spans="1:19">
      <c r="A57" s="1061" t="str">
        <f>清单!D180</f>
        <v>C-7-3-1001</v>
      </c>
      <c r="B57" s="1061">
        <f>清单!F180</f>
        <v>49.27</v>
      </c>
      <c r="C57" s="285">
        <f t="shared" si="12"/>
        <v>1</v>
      </c>
      <c r="D57" s="293"/>
      <c r="E57" s="285">
        <f t="shared" si="13"/>
        <v>1</v>
      </c>
      <c r="F57" s="293"/>
      <c r="G57" s="285">
        <f t="shared" si="14"/>
        <v>1</v>
      </c>
      <c r="H57" s="293"/>
      <c r="I57" s="285">
        <f t="shared" si="15"/>
        <v>1</v>
      </c>
      <c r="J57" s="293"/>
      <c r="K57" s="285">
        <f t="shared" si="16"/>
        <v>1</v>
      </c>
      <c r="L57" s="293"/>
      <c r="M57" s="285">
        <f t="shared" si="17"/>
        <v>1</v>
      </c>
      <c r="N57" s="293"/>
      <c r="O57" s="285">
        <f t="shared" si="18"/>
        <v>1</v>
      </c>
      <c r="P57" s="291" t="s">
        <v>3022</v>
      </c>
      <c r="Q57" s="285">
        <f t="shared" si="19"/>
        <v>1</v>
      </c>
      <c r="R57" s="285">
        <f t="shared" si="20"/>
        <v>27888</v>
      </c>
      <c r="S57" s="284">
        <f t="shared" si="21"/>
        <v>137</v>
      </c>
    </row>
    <row r="58" spans="1:19">
      <c r="A58" s="1061" t="str">
        <f>清单!D163</f>
        <v>C-7-3-506</v>
      </c>
      <c r="B58" s="1061">
        <f>清单!F163</f>
        <v>54.07</v>
      </c>
      <c r="C58" s="285">
        <f t="shared" si="12"/>
        <v>1</v>
      </c>
      <c r="D58" s="293"/>
      <c r="E58" s="285">
        <f t="shared" si="13"/>
        <v>1</v>
      </c>
      <c r="F58" s="293"/>
      <c r="G58" s="285">
        <f t="shared" si="14"/>
        <v>1</v>
      </c>
      <c r="H58" s="293"/>
      <c r="I58" s="285">
        <f t="shared" si="15"/>
        <v>1</v>
      </c>
      <c r="J58" s="293"/>
      <c r="K58" s="285">
        <f t="shared" si="16"/>
        <v>1</v>
      </c>
      <c r="L58" s="293"/>
      <c r="M58" s="285">
        <f t="shared" si="17"/>
        <v>1</v>
      </c>
      <c r="N58" s="293"/>
      <c r="O58" s="285">
        <f t="shared" si="18"/>
        <v>1</v>
      </c>
      <c r="P58" s="291" t="s">
        <v>3024</v>
      </c>
      <c r="Q58" s="285">
        <f t="shared" si="19"/>
        <v>0.97</v>
      </c>
      <c r="R58" s="285">
        <f t="shared" si="20"/>
        <v>27051</v>
      </c>
      <c r="S58" s="284">
        <f t="shared" si="21"/>
        <v>146</v>
      </c>
    </row>
    <row r="59" spans="1:19">
      <c r="A59" s="1061" t="str">
        <f>清单!D182</f>
        <v>C-7-3-1105</v>
      </c>
      <c r="B59" s="1061">
        <f>清单!F182</f>
        <v>51.67</v>
      </c>
      <c r="C59" s="285">
        <f t="shared" si="12"/>
        <v>1</v>
      </c>
      <c r="D59" s="293"/>
      <c r="E59" s="285">
        <f t="shared" si="13"/>
        <v>1</v>
      </c>
      <c r="F59" s="293"/>
      <c r="G59" s="285">
        <f t="shared" si="14"/>
        <v>1</v>
      </c>
      <c r="H59" s="293"/>
      <c r="I59" s="285">
        <f t="shared" si="15"/>
        <v>1</v>
      </c>
      <c r="J59" s="293"/>
      <c r="K59" s="285">
        <f t="shared" si="16"/>
        <v>1</v>
      </c>
      <c r="L59" s="293"/>
      <c r="M59" s="285">
        <f t="shared" si="17"/>
        <v>1</v>
      </c>
      <c r="N59" s="293"/>
      <c r="O59" s="285">
        <f t="shared" si="18"/>
        <v>1</v>
      </c>
      <c r="P59" s="291" t="s">
        <v>3020</v>
      </c>
      <c r="Q59" s="285">
        <f t="shared" si="19"/>
        <v>1.03</v>
      </c>
      <c r="R59" s="285">
        <f t="shared" si="20"/>
        <v>28725</v>
      </c>
      <c r="S59" s="284">
        <f t="shared" si="21"/>
        <v>148</v>
      </c>
    </row>
    <row r="60" spans="1:19">
      <c r="A60" s="1061" t="str">
        <f>清单!D183</f>
        <v>C-7-3-1102</v>
      </c>
      <c r="B60" s="1061">
        <f>清单!F183</f>
        <v>49.88</v>
      </c>
      <c r="C60" s="285">
        <f t="shared" si="12"/>
        <v>1</v>
      </c>
      <c r="D60" s="293"/>
      <c r="E60" s="285">
        <f t="shared" si="13"/>
        <v>1</v>
      </c>
      <c r="F60" s="293"/>
      <c r="G60" s="285">
        <f t="shared" si="14"/>
        <v>1</v>
      </c>
      <c r="H60" s="293"/>
      <c r="I60" s="285">
        <f t="shared" si="15"/>
        <v>1</v>
      </c>
      <c r="J60" s="293"/>
      <c r="K60" s="285">
        <f t="shared" si="16"/>
        <v>1</v>
      </c>
      <c r="L60" s="293"/>
      <c r="M60" s="285">
        <f t="shared" si="17"/>
        <v>1</v>
      </c>
      <c r="N60" s="293"/>
      <c r="O60" s="285">
        <f t="shared" si="18"/>
        <v>1</v>
      </c>
      <c r="P60" s="291" t="s">
        <v>3020</v>
      </c>
      <c r="Q60" s="285">
        <f t="shared" si="19"/>
        <v>1.03</v>
      </c>
      <c r="R60" s="285">
        <f t="shared" si="20"/>
        <v>28725</v>
      </c>
      <c r="S60" s="284">
        <f t="shared" si="21"/>
        <v>143</v>
      </c>
    </row>
    <row r="61" spans="1:19">
      <c r="A61" s="1061" t="str">
        <f>清单!D166</f>
        <v>C-7-3-606</v>
      </c>
      <c r="B61" s="1061">
        <f>清单!F166</f>
        <v>54.07</v>
      </c>
      <c r="C61" s="285">
        <f t="shared" si="12"/>
        <v>1</v>
      </c>
      <c r="D61" s="293"/>
      <c r="E61" s="285">
        <f t="shared" si="13"/>
        <v>1</v>
      </c>
      <c r="F61" s="293"/>
      <c r="G61" s="285">
        <f t="shared" si="14"/>
        <v>1</v>
      </c>
      <c r="H61" s="293"/>
      <c r="I61" s="285">
        <f t="shared" si="15"/>
        <v>1</v>
      </c>
      <c r="J61" s="293"/>
      <c r="K61" s="285">
        <f t="shared" si="16"/>
        <v>1</v>
      </c>
      <c r="L61" s="293"/>
      <c r="M61" s="285">
        <f t="shared" si="17"/>
        <v>1</v>
      </c>
      <c r="N61" s="293"/>
      <c r="O61" s="285">
        <f t="shared" si="18"/>
        <v>1</v>
      </c>
      <c r="P61" s="291" t="s">
        <v>3022</v>
      </c>
      <c r="Q61" s="285">
        <f t="shared" si="19"/>
        <v>1</v>
      </c>
      <c r="R61" s="285">
        <f t="shared" si="20"/>
        <v>27888</v>
      </c>
      <c r="S61" s="284">
        <f t="shared" si="21"/>
        <v>151</v>
      </c>
    </row>
    <row r="62" spans="1:19">
      <c r="A62" s="1061" t="str">
        <f>清单!D185</f>
        <v>C-7-3-1206</v>
      </c>
      <c r="B62" s="1061">
        <f>清单!F185</f>
        <v>54.07</v>
      </c>
      <c r="C62" s="285">
        <f t="shared" si="12"/>
        <v>1</v>
      </c>
      <c r="D62" s="293"/>
      <c r="E62" s="285">
        <f t="shared" si="13"/>
        <v>1</v>
      </c>
      <c r="F62" s="293"/>
      <c r="G62" s="285">
        <f t="shared" si="14"/>
        <v>1</v>
      </c>
      <c r="H62" s="293"/>
      <c r="I62" s="285">
        <f t="shared" si="15"/>
        <v>1</v>
      </c>
      <c r="J62" s="293"/>
      <c r="K62" s="285">
        <f t="shared" si="16"/>
        <v>1</v>
      </c>
      <c r="L62" s="293"/>
      <c r="M62" s="285">
        <f t="shared" si="17"/>
        <v>1</v>
      </c>
      <c r="N62" s="293"/>
      <c r="O62" s="285">
        <f t="shared" si="18"/>
        <v>1</v>
      </c>
      <c r="P62" s="291" t="s">
        <v>3020</v>
      </c>
      <c r="Q62" s="285">
        <f t="shared" si="19"/>
        <v>1.03</v>
      </c>
      <c r="R62" s="285">
        <f t="shared" si="20"/>
        <v>28725</v>
      </c>
      <c r="S62" s="284">
        <f t="shared" si="21"/>
        <v>155</v>
      </c>
    </row>
    <row r="63" spans="1:19">
      <c r="A63" s="1061" t="str">
        <f>清单!D186</f>
        <v>C-7-3-1205</v>
      </c>
      <c r="B63" s="1061">
        <f>清单!F186</f>
        <v>51.67</v>
      </c>
      <c r="C63" s="285">
        <f t="shared" si="12"/>
        <v>1</v>
      </c>
      <c r="D63" s="293"/>
      <c r="E63" s="285">
        <f t="shared" si="13"/>
        <v>1</v>
      </c>
      <c r="F63" s="293"/>
      <c r="G63" s="285">
        <f t="shared" si="14"/>
        <v>1</v>
      </c>
      <c r="H63" s="293"/>
      <c r="I63" s="285">
        <f t="shared" si="15"/>
        <v>1</v>
      </c>
      <c r="J63" s="293"/>
      <c r="K63" s="285">
        <f t="shared" si="16"/>
        <v>1</v>
      </c>
      <c r="L63" s="293"/>
      <c r="M63" s="285">
        <f t="shared" si="17"/>
        <v>1</v>
      </c>
      <c r="N63" s="293"/>
      <c r="O63" s="285">
        <f t="shared" si="18"/>
        <v>1</v>
      </c>
      <c r="P63" s="291" t="s">
        <v>3020</v>
      </c>
      <c r="Q63" s="285">
        <f t="shared" si="19"/>
        <v>1.03</v>
      </c>
      <c r="R63" s="285">
        <f t="shared" si="20"/>
        <v>28725</v>
      </c>
      <c r="S63" s="284">
        <f t="shared" si="21"/>
        <v>148</v>
      </c>
    </row>
    <row r="64" spans="1:19">
      <c r="A64" s="1061" t="str">
        <f>清单!D169</f>
        <v>C-7-3-706</v>
      </c>
      <c r="B64" s="1061">
        <f>清单!F169</f>
        <v>54.07</v>
      </c>
      <c r="C64" s="285">
        <f t="shared" si="12"/>
        <v>1</v>
      </c>
      <c r="D64" s="293"/>
      <c r="E64" s="285">
        <f t="shared" si="13"/>
        <v>1</v>
      </c>
      <c r="F64" s="293"/>
      <c r="G64" s="285">
        <f t="shared" si="14"/>
        <v>1</v>
      </c>
      <c r="H64" s="293"/>
      <c r="I64" s="285">
        <f t="shared" si="15"/>
        <v>1</v>
      </c>
      <c r="J64" s="293"/>
      <c r="K64" s="285">
        <f t="shared" si="16"/>
        <v>1</v>
      </c>
      <c r="L64" s="293"/>
      <c r="M64" s="285">
        <f t="shared" si="17"/>
        <v>1</v>
      </c>
      <c r="N64" s="293"/>
      <c r="O64" s="285">
        <f t="shared" si="18"/>
        <v>1</v>
      </c>
      <c r="P64" s="291" t="s">
        <v>3022</v>
      </c>
      <c r="Q64" s="285">
        <f t="shared" si="19"/>
        <v>1</v>
      </c>
      <c r="R64" s="285">
        <f t="shared" si="20"/>
        <v>27888</v>
      </c>
      <c r="S64" s="284">
        <f t="shared" si="21"/>
        <v>151</v>
      </c>
    </row>
    <row r="65" spans="1:19">
      <c r="A65" s="1061" t="str">
        <f>清单!D188</f>
        <v>C-7-3-1202</v>
      </c>
      <c r="B65" s="1061">
        <f>清单!F188</f>
        <v>49.88</v>
      </c>
      <c r="C65" s="285">
        <f t="shared" si="12"/>
        <v>1</v>
      </c>
      <c r="D65" s="293"/>
      <c r="E65" s="285">
        <f t="shared" si="13"/>
        <v>1</v>
      </c>
      <c r="F65" s="293"/>
      <c r="G65" s="285">
        <f t="shared" si="14"/>
        <v>1</v>
      </c>
      <c r="H65" s="293"/>
      <c r="I65" s="285">
        <f t="shared" si="15"/>
        <v>1</v>
      </c>
      <c r="J65" s="293"/>
      <c r="K65" s="285">
        <f t="shared" si="16"/>
        <v>1</v>
      </c>
      <c r="L65" s="293"/>
      <c r="M65" s="285">
        <f t="shared" si="17"/>
        <v>1</v>
      </c>
      <c r="N65" s="293"/>
      <c r="O65" s="285">
        <f t="shared" si="18"/>
        <v>1</v>
      </c>
      <c r="P65" s="291" t="s">
        <v>3020</v>
      </c>
      <c r="Q65" s="285">
        <f t="shared" si="19"/>
        <v>1.03</v>
      </c>
      <c r="R65" s="285">
        <f t="shared" si="20"/>
        <v>28725</v>
      </c>
      <c r="S65" s="284">
        <f t="shared" si="21"/>
        <v>143</v>
      </c>
    </row>
    <row r="66" spans="1:19">
      <c r="A66" s="1061" t="str">
        <f>清单!D189</f>
        <v>C-7-3-1201</v>
      </c>
      <c r="B66" s="1061">
        <f>清单!F189</f>
        <v>49.27</v>
      </c>
      <c r="C66" s="285">
        <f t="shared" si="12"/>
        <v>1</v>
      </c>
      <c r="D66" s="293"/>
      <c r="E66" s="285">
        <f t="shared" si="13"/>
        <v>1</v>
      </c>
      <c r="F66" s="293"/>
      <c r="G66" s="285">
        <f t="shared" si="14"/>
        <v>1</v>
      </c>
      <c r="H66" s="293"/>
      <c r="I66" s="285">
        <f t="shared" si="15"/>
        <v>1</v>
      </c>
      <c r="J66" s="293"/>
      <c r="K66" s="285">
        <f t="shared" si="16"/>
        <v>1</v>
      </c>
      <c r="L66" s="293"/>
      <c r="M66" s="285">
        <f t="shared" si="17"/>
        <v>1</v>
      </c>
      <c r="N66" s="293"/>
      <c r="O66" s="285">
        <f t="shared" si="18"/>
        <v>1</v>
      </c>
      <c r="P66" s="291" t="s">
        <v>3020</v>
      </c>
      <c r="Q66" s="285">
        <f t="shared" si="19"/>
        <v>1.03</v>
      </c>
      <c r="R66" s="285">
        <f t="shared" si="20"/>
        <v>28725</v>
      </c>
      <c r="S66" s="284">
        <f t="shared" si="21"/>
        <v>142</v>
      </c>
    </row>
    <row r="67" spans="1:19">
      <c r="A67" s="1061" t="str">
        <f>清单!D172</f>
        <v>C-7-3-802</v>
      </c>
      <c r="B67" s="1061">
        <f>清单!F172</f>
        <v>49.88</v>
      </c>
      <c r="C67" s="285">
        <f t="shared" si="12"/>
        <v>1</v>
      </c>
      <c r="D67" s="293"/>
      <c r="E67" s="285">
        <f t="shared" si="13"/>
        <v>1</v>
      </c>
      <c r="F67" s="293"/>
      <c r="G67" s="285">
        <f t="shared" si="14"/>
        <v>1</v>
      </c>
      <c r="H67" s="293"/>
      <c r="I67" s="285">
        <f t="shared" si="15"/>
        <v>1</v>
      </c>
      <c r="J67" s="293"/>
      <c r="K67" s="285">
        <f t="shared" si="16"/>
        <v>1</v>
      </c>
      <c r="L67" s="293"/>
      <c r="M67" s="285">
        <f t="shared" si="17"/>
        <v>1</v>
      </c>
      <c r="N67" s="293"/>
      <c r="O67" s="285">
        <f t="shared" si="18"/>
        <v>1</v>
      </c>
      <c r="P67" s="291" t="s">
        <v>3022</v>
      </c>
      <c r="Q67" s="285">
        <f t="shared" si="19"/>
        <v>1</v>
      </c>
      <c r="R67" s="285">
        <f t="shared" si="20"/>
        <v>27888</v>
      </c>
      <c r="S67" s="284">
        <f t="shared" si="21"/>
        <v>139</v>
      </c>
    </row>
    <row r="68" spans="1:19">
      <c r="A68" s="1061" t="str">
        <f>清单!D191</f>
        <v>C-7-3-1305</v>
      </c>
      <c r="B68" s="1061">
        <f>清单!F191</f>
        <v>51.67</v>
      </c>
      <c r="C68" s="285">
        <f t="shared" si="12"/>
        <v>1</v>
      </c>
      <c r="D68" s="293"/>
      <c r="E68" s="285">
        <f t="shared" si="13"/>
        <v>1</v>
      </c>
      <c r="F68" s="293"/>
      <c r="G68" s="285">
        <f t="shared" si="14"/>
        <v>1</v>
      </c>
      <c r="H68" s="293"/>
      <c r="I68" s="285">
        <f t="shared" si="15"/>
        <v>1</v>
      </c>
      <c r="J68" s="293"/>
      <c r="K68" s="285">
        <f t="shared" si="16"/>
        <v>1</v>
      </c>
      <c r="L68" s="293"/>
      <c r="M68" s="285">
        <f t="shared" si="17"/>
        <v>1</v>
      </c>
      <c r="N68" s="293"/>
      <c r="O68" s="285">
        <f t="shared" si="18"/>
        <v>1</v>
      </c>
      <c r="P68" s="291" t="s">
        <v>3020</v>
      </c>
      <c r="Q68" s="285">
        <f t="shared" si="19"/>
        <v>1.03</v>
      </c>
      <c r="R68" s="285">
        <f t="shared" si="20"/>
        <v>28725</v>
      </c>
      <c r="S68" s="284">
        <f t="shared" si="21"/>
        <v>148</v>
      </c>
    </row>
    <row r="69" spans="1:19">
      <c r="A69" s="1061" t="str">
        <f>清单!D192</f>
        <v>C-7-3-1301</v>
      </c>
      <c r="B69" s="1061">
        <f>清单!F192</f>
        <v>49.27</v>
      </c>
      <c r="C69" s="285">
        <f t="shared" si="12"/>
        <v>1</v>
      </c>
      <c r="D69" s="293"/>
      <c r="E69" s="285">
        <f t="shared" si="13"/>
        <v>1</v>
      </c>
      <c r="F69" s="293"/>
      <c r="G69" s="285">
        <f t="shared" si="14"/>
        <v>1</v>
      </c>
      <c r="H69" s="293"/>
      <c r="I69" s="285">
        <f t="shared" si="15"/>
        <v>1</v>
      </c>
      <c r="J69" s="293"/>
      <c r="K69" s="285">
        <f t="shared" si="16"/>
        <v>1</v>
      </c>
      <c r="L69" s="293"/>
      <c r="M69" s="285">
        <f t="shared" si="17"/>
        <v>1</v>
      </c>
      <c r="N69" s="293"/>
      <c r="O69" s="285">
        <f t="shared" si="18"/>
        <v>1</v>
      </c>
      <c r="P69" s="291" t="s">
        <v>3020</v>
      </c>
      <c r="Q69" s="285">
        <f t="shared" si="19"/>
        <v>1.03</v>
      </c>
      <c r="R69" s="285">
        <f t="shared" si="20"/>
        <v>28725</v>
      </c>
      <c r="S69" s="284">
        <f t="shared" si="21"/>
        <v>142</v>
      </c>
    </row>
    <row r="70" spans="1:19">
      <c r="A70" s="1061" t="str">
        <f>清单!D175</f>
        <v>C-7-3-905</v>
      </c>
      <c r="B70" s="1061">
        <f>清单!F175</f>
        <v>51.67</v>
      </c>
      <c r="C70" s="285">
        <f t="shared" si="12"/>
        <v>1</v>
      </c>
      <c r="D70" s="293"/>
      <c r="E70" s="285">
        <f t="shared" si="13"/>
        <v>1</v>
      </c>
      <c r="F70" s="293"/>
      <c r="G70" s="285">
        <f t="shared" si="14"/>
        <v>1</v>
      </c>
      <c r="H70" s="293"/>
      <c r="I70" s="285">
        <f t="shared" si="15"/>
        <v>1</v>
      </c>
      <c r="J70" s="293"/>
      <c r="K70" s="285">
        <f t="shared" si="16"/>
        <v>1</v>
      </c>
      <c r="L70" s="293"/>
      <c r="M70" s="285">
        <f t="shared" si="17"/>
        <v>1</v>
      </c>
      <c r="N70" s="293"/>
      <c r="O70" s="285">
        <f t="shared" si="18"/>
        <v>1</v>
      </c>
      <c r="P70" s="291" t="s">
        <v>3022</v>
      </c>
      <c r="Q70" s="285">
        <f t="shared" si="19"/>
        <v>1</v>
      </c>
      <c r="R70" s="285">
        <f t="shared" si="20"/>
        <v>27888</v>
      </c>
      <c r="S70" s="284">
        <f t="shared" si="21"/>
        <v>144</v>
      </c>
    </row>
    <row r="71" spans="1:19">
      <c r="A71" s="1061" t="str">
        <f>清单!D194</f>
        <v>C-7-3-1405</v>
      </c>
      <c r="B71" s="1061">
        <f>清单!F194</f>
        <v>51.67</v>
      </c>
      <c r="C71" s="285">
        <f t="shared" si="12"/>
        <v>1</v>
      </c>
      <c r="D71" s="293"/>
      <c r="E71" s="285">
        <f t="shared" si="13"/>
        <v>1</v>
      </c>
      <c r="F71" s="293"/>
      <c r="G71" s="285">
        <f t="shared" si="14"/>
        <v>1</v>
      </c>
      <c r="H71" s="293"/>
      <c r="I71" s="285">
        <f t="shared" si="15"/>
        <v>1</v>
      </c>
      <c r="J71" s="293"/>
      <c r="K71" s="285">
        <f t="shared" si="16"/>
        <v>1</v>
      </c>
      <c r="L71" s="293"/>
      <c r="M71" s="285">
        <f t="shared" si="17"/>
        <v>1</v>
      </c>
      <c r="N71" s="293"/>
      <c r="O71" s="285">
        <f t="shared" si="18"/>
        <v>1</v>
      </c>
      <c r="P71" s="291" t="s">
        <v>3020</v>
      </c>
      <c r="Q71" s="285">
        <f t="shared" si="19"/>
        <v>1.03</v>
      </c>
      <c r="R71" s="285">
        <f t="shared" si="20"/>
        <v>28725</v>
      </c>
      <c r="S71" s="284">
        <f t="shared" si="21"/>
        <v>148</v>
      </c>
    </row>
    <row r="72" spans="1:19">
      <c r="A72" s="1061" t="str">
        <f>清单!D195</f>
        <v>C-7-3-1404</v>
      </c>
      <c r="B72" s="1061">
        <f>清单!F195</f>
        <v>51.76</v>
      </c>
      <c r="C72" s="285">
        <f t="shared" si="12"/>
        <v>1</v>
      </c>
      <c r="D72" s="293"/>
      <c r="E72" s="285">
        <f t="shared" si="13"/>
        <v>1</v>
      </c>
      <c r="F72" s="293"/>
      <c r="G72" s="285">
        <f t="shared" si="14"/>
        <v>1</v>
      </c>
      <c r="H72" s="293"/>
      <c r="I72" s="285">
        <f t="shared" si="15"/>
        <v>1</v>
      </c>
      <c r="J72" s="293"/>
      <c r="K72" s="285">
        <f t="shared" si="16"/>
        <v>1</v>
      </c>
      <c r="L72" s="293"/>
      <c r="M72" s="285">
        <f t="shared" si="17"/>
        <v>1</v>
      </c>
      <c r="N72" s="293"/>
      <c r="O72" s="285">
        <f t="shared" si="18"/>
        <v>1</v>
      </c>
      <c r="P72" s="291" t="s">
        <v>3020</v>
      </c>
      <c r="Q72" s="285">
        <f t="shared" si="19"/>
        <v>1.03</v>
      </c>
      <c r="R72" s="285">
        <f t="shared" si="20"/>
        <v>28725</v>
      </c>
      <c r="S72" s="284">
        <f t="shared" si="21"/>
        <v>149</v>
      </c>
    </row>
    <row r="73" spans="1:19">
      <c r="A73" s="1061" t="str">
        <f>清单!D178</f>
        <v>C-7-3-1005</v>
      </c>
      <c r="B73" s="1061">
        <f>清单!F178</f>
        <v>51.67</v>
      </c>
      <c r="C73" s="285">
        <f t="shared" si="12"/>
        <v>1</v>
      </c>
      <c r="D73" s="293"/>
      <c r="E73" s="285">
        <f t="shared" si="13"/>
        <v>1</v>
      </c>
      <c r="F73" s="293"/>
      <c r="G73" s="285">
        <f t="shared" si="14"/>
        <v>1</v>
      </c>
      <c r="H73" s="293"/>
      <c r="I73" s="285">
        <f t="shared" si="15"/>
        <v>1</v>
      </c>
      <c r="J73" s="293"/>
      <c r="K73" s="285">
        <f t="shared" si="16"/>
        <v>1</v>
      </c>
      <c r="L73" s="293"/>
      <c r="M73" s="285">
        <f t="shared" si="17"/>
        <v>1</v>
      </c>
      <c r="N73" s="293"/>
      <c r="O73" s="285">
        <f t="shared" si="18"/>
        <v>1</v>
      </c>
      <c r="P73" s="291" t="s">
        <v>3022</v>
      </c>
      <c r="Q73" s="285">
        <f t="shared" si="19"/>
        <v>1</v>
      </c>
      <c r="R73" s="285">
        <f t="shared" si="20"/>
        <v>27888</v>
      </c>
      <c r="S73" s="284">
        <f t="shared" si="21"/>
        <v>144</v>
      </c>
    </row>
    <row r="74" spans="1:19">
      <c r="A74" s="1061" t="str">
        <f>清单!D197</f>
        <v>C-7-3-1402</v>
      </c>
      <c r="B74" s="1061">
        <f>清单!F197</f>
        <v>49.88</v>
      </c>
      <c r="C74" s="285">
        <f t="shared" si="12"/>
        <v>1</v>
      </c>
      <c r="D74" s="293"/>
      <c r="E74" s="285">
        <f t="shared" si="13"/>
        <v>1</v>
      </c>
      <c r="F74" s="293"/>
      <c r="G74" s="285">
        <f t="shared" si="14"/>
        <v>1</v>
      </c>
      <c r="H74" s="293"/>
      <c r="I74" s="285">
        <f t="shared" si="15"/>
        <v>1</v>
      </c>
      <c r="J74" s="293"/>
      <c r="K74" s="285">
        <f t="shared" si="16"/>
        <v>1</v>
      </c>
      <c r="L74" s="293"/>
      <c r="M74" s="285">
        <f t="shared" si="17"/>
        <v>1</v>
      </c>
      <c r="N74" s="293"/>
      <c r="O74" s="285">
        <f t="shared" si="18"/>
        <v>1</v>
      </c>
      <c r="P74" s="291" t="s">
        <v>3020</v>
      </c>
      <c r="Q74" s="285">
        <f t="shared" si="19"/>
        <v>1.03</v>
      </c>
      <c r="R74" s="285">
        <f t="shared" si="20"/>
        <v>28725</v>
      </c>
      <c r="S74" s="284">
        <f t="shared" si="21"/>
        <v>143</v>
      </c>
    </row>
    <row r="75" spans="1:19">
      <c r="A75" s="1061" t="str">
        <f>清单!D198</f>
        <v>C-7-3-1401</v>
      </c>
      <c r="B75" s="1061">
        <f>清单!F198</f>
        <v>49.27</v>
      </c>
      <c r="C75" s="285">
        <f t="shared" si="12"/>
        <v>1</v>
      </c>
      <c r="D75" s="293"/>
      <c r="E75" s="285">
        <f t="shared" si="13"/>
        <v>1</v>
      </c>
      <c r="F75" s="293"/>
      <c r="G75" s="285">
        <f t="shared" si="14"/>
        <v>1</v>
      </c>
      <c r="H75" s="293"/>
      <c r="I75" s="285">
        <f t="shared" si="15"/>
        <v>1</v>
      </c>
      <c r="J75" s="293"/>
      <c r="K75" s="285">
        <f t="shared" si="16"/>
        <v>1</v>
      </c>
      <c r="L75" s="293"/>
      <c r="M75" s="285">
        <f t="shared" si="17"/>
        <v>1</v>
      </c>
      <c r="N75" s="293"/>
      <c r="O75" s="285">
        <f t="shared" si="18"/>
        <v>1</v>
      </c>
      <c r="P75" s="291" t="s">
        <v>3020</v>
      </c>
      <c r="Q75" s="285">
        <f t="shared" si="19"/>
        <v>1.03</v>
      </c>
      <c r="R75" s="285">
        <f t="shared" si="20"/>
        <v>28725</v>
      </c>
      <c r="S75" s="284">
        <f t="shared" si="21"/>
        <v>142</v>
      </c>
    </row>
    <row r="76" spans="1:19">
      <c r="A76" s="1061" t="str">
        <f>清单!D181</f>
        <v>C-7-3-1106</v>
      </c>
      <c r="B76" s="1061">
        <f>清单!F181</f>
        <v>54.07</v>
      </c>
      <c r="C76" s="285">
        <f t="shared" si="12"/>
        <v>1</v>
      </c>
      <c r="D76" s="293"/>
      <c r="E76" s="285">
        <f t="shared" si="13"/>
        <v>1</v>
      </c>
      <c r="F76" s="293"/>
      <c r="G76" s="285">
        <f t="shared" si="14"/>
        <v>1</v>
      </c>
      <c r="H76" s="293"/>
      <c r="I76" s="285">
        <f t="shared" si="15"/>
        <v>1</v>
      </c>
      <c r="J76" s="293"/>
      <c r="K76" s="285">
        <f t="shared" si="16"/>
        <v>1</v>
      </c>
      <c r="L76" s="293"/>
      <c r="M76" s="285">
        <f t="shared" si="17"/>
        <v>1</v>
      </c>
      <c r="N76" s="293"/>
      <c r="O76" s="285">
        <f t="shared" si="18"/>
        <v>1</v>
      </c>
      <c r="P76" s="291" t="s">
        <v>3020</v>
      </c>
      <c r="Q76" s="285">
        <f t="shared" si="19"/>
        <v>1.03</v>
      </c>
      <c r="R76" s="285">
        <f t="shared" si="20"/>
        <v>28725</v>
      </c>
      <c r="S76" s="284">
        <f t="shared" si="21"/>
        <v>155</v>
      </c>
    </row>
    <row r="77" spans="1:19">
      <c r="A77" s="1061" t="str">
        <f>清单!D200</f>
        <v>C-7-3-1505</v>
      </c>
      <c r="B77" s="1061">
        <f>清单!F200</f>
        <v>51.67</v>
      </c>
      <c r="C77" s="285">
        <f t="shared" si="12"/>
        <v>1</v>
      </c>
      <c r="D77" s="293"/>
      <c r="E77" s="285">
        <f t="shared" si="13"/>
        <v>1</v>
      </c>
      <c r="F77" s="293"/>
      <c r="G77" s="285">
        <f t="shared" si="14"/>
        <v>1</v>
      </c>
      <c r="H77" s="293"/>
      <c r="I77" s="285">
        <f t="shared" si="15"/>
        <v>1</v>
      </c>
      <c r="J77" s="293"/>
      <c r="K77" s="285">
        <f t="shared" si="16"/>
        <v>1</v>
      </c>
      <c r="L77" s="293"/>
      <c r="M77" s="285">
        <f t="shared" si="17"/>
        <v>1</v>
      </c>
      <c r="N77" s="293"/>
      <c r="O77" s="285">
        <f t="shared" si="18"/>
        <v>1</v>
      </c>
      <c r="P77" s="291" t="s">
        <v>3020</v>
      </c>
      <c r="Q77" s="285">
        <f t="shared" si="19"/>
        <v>1.03</v>
      </c>
      <c r="R77" s="285">
        <f t="shared" si="20"/>
        <v>28725</v>
      </c>
      <c r="S77" s="284">
        <f t="shared" si="21"/>
        <v>148</v>
      </c>
    </row>
    <row r="78" spans="1:19">
      <c r="A78" s="1061" t="str">
        <f>清单!D201</f>
        <v>C-7-3-1501</v>
      </c>
      <c r="B78" s="1061">
        <f>清单!F201</f>
        <v>49.27</v>
      </c>
      <c r="C78" s="285">
        <f t="shared" si="12"/>
        <v>1</v>
      </c>
      <c r="D78" s="293"/>
      <c r="E78" s="285">
        <f t="shared" si="13"/>
        <v>1</v>
      </c>
      <c r="F78" s="293"/>
      <c r="G78" s="285">
        <f t="shared" si="14"/>
        <v>1</v>
      </c>
      <c r="H78" s="293"/>
      <c r="I78" s="285">
        <f t="shared" si="15"/>
        <v>1</v>
      </c>
      <c r="J78" s="293"/>
      <c r="K78" s="285">
        <f t="shared" si="16"/>
        <v>1</v>
      </c>
      <c r="L78" s="293"/>
      <c r="M78" s="285">
        <f t="shared" si="17"/>
        <v>1</v>
      </c>
      <c r="N78" s="293"/>
      <c r="O78" s="285">
        <f t="shared" si="18"/>
        <v>1</v>
      </c>
      <c r="P78" s="291" t="s">
        <v>3020</v>
      </c>
      <c r="Q78" s="285">
        <f t="shared" si="19"/>
        <v>1.03</v>
      </c>
      <c r="R78" s="285">
        <f t="shared" si="20"/>
        <v>28725</v>
      </c>
      <c r="S78" s="284">
        <f t="shared" ref="S78:S122" si="22">ROUND(R78*B78/10000,0)</f>
        <v>142</v>
      </c>
    </row>
    <row r="79" spans="1:19">
      <c r="A79" s="1061" t="str">
        <f>清单!D184</f>
        <v>C-7-3-1101</v>
      </c>
      <c r="B79" s="1061">
        <f>清单!F184</f>
        <v>49.27</v>
      </c>
      <c r="C79" s="285">
        <f t="shared" si="12"/>
        <v>1</v>
      </c>
      <c r="D79" s="293"/>
      <c r="E79" s="285">
        <f t="shared" si="13"/>
        <v>1</v>
      </c>
      <c r="F79" s="293"/>
      <c r="G79" s="285">
        <f t="shared" si="14"/>
        <v>1</v>
      </c>
      <c r="H79" s="293"/>
      <c r="I79" s="285">
        <f t="shared" si="15"/>
        <v>1</v>
      </c>
      <c r="J79" s="293"/>
      <c r="K79" s="285">
        <f t="shared" si="16"/>
        <v>1</v>
      </c>
      <c r="L79" s="293"/>
      <c r="M79" s="285">
        <f t="shared" si="17"/>
        <v>1</v>
      </c>
      <c r="N79" s="293"/>
      <c r="O79" s="285">
        <f t="shared" si="18"/>
        <v>1</v>
      </c>
      <c r="P79" s="291" t="s">
        <v>3020</v>
      </c>
      <c r="Q79" s="285">
        <f t="shared" si="19"/>
        <v>1.03</v>
      </c>
      <c r="R79" s="285">
        <f t="shared" si="20"/>
        <v>28725</v>
      </c>
      <c r="S79" s="284">
        <f t="shared" si="22"/>
        <v>142</v>
      </c>
    </row>
    <row r="80" spans="1:19">
      <c r="A80" s="1061" t="str">
        <f>清单!D203</f>
        <v>C-7-2-102</v>
      </c>
      <c r="B80" s="1061">
        <f>清单!F203</f>
        <v>49.78</v>
      </c>
      <c r="C80" s="285">
        <f t="shared" si="12"/>
        <v>1</v>
      </c>
      <c r="D80" s="293"/>
      <c r="E80" s="285">
        <f t="shared" si="13"/>
        <v>1</v>
      </c>
      <c r="F80" s="293"/>
      <c r="G80" s="285">
        <f t="shared" si="14"/>
        <v>1</v>
      </c>
      <c r="H80" s="293"/>
      <c r="I80" s="285">
        <f t="shared" si="15"/>
        <v>1</v>
      </c>
      <c r="J80" s="293"/>
      <c r="K80" s="285">
        <f t="shared" si="16"/>
        <v>1</v>
      </c>
      <c r="L80" s="293"/>
      <c r="M80" s="285">
        <f t="shared" si="17"/>
        <v>1</v>
      </c>
      <c r="N80" s="293"/>
      <c r="O80" s="285">
        <f t="shared" si="18"/>
        <v>1</v>
      </c>
      <c r="P80" s="291" t="s">
        <v>3024</v>
      </c>
      <c r="Q80" s="285">
        <f t="shared" si="19"/>
        <v>0.97</v>
      </c>
      <c r="R80" s="285">
        <f t="shared" si="20"/>
        <v>27051</v>
      </c>
      <c r="S80" s="284">
        <f t="shared" si="22"/>
        <v>135</v>
      </c>
    </row>
    <row r="81" spans="1:19">
      <c r="A81" s="1061" t="str">
        <f>清单!D204</f>
        <v>C-7-2-101</v>
      </c>
      <c r="B81" s="1061">
        <f>清单!F204</f>
        <v>49.17</v>
      </c>
      <c r="C81" s="285">
        <f t="shared" si="12"/>
        <v>1</v>
      </c>
      <c r="D81" s="293"/>
      <c r="E81" s="285">
        <f t="shared" si="13"/>
        <v>1</v>
      </c>
      <c r="F81" s="293"/>
      <c r="G81" s="285">
        <f t="shared" si="14"/>
        <v>1</v>
      </c>
      <c r="H81" s="293"/>
      <c r="I81" s="285">
        <f t="shared" si="15"/>
        <v>1</v>
      </c>
      <c r="J81" s="293"/>
      <c r="K81" s="285">
        <f t="shared" si="16"/>
        <v>1</v>
      </c>
      <c r="L81" s="293"/>
      <c r="M81" s="285">
        <f t="shared" si="17"/>
        <v>1</v>
      </c>
      <c r="N81" s="293"/>
      <c r="O81" s="285">
        <f t="shared" si="18"/>
        <v>1</v>
      </c>
      <c r="P81" s="291" t="s">
        <v>3024</v>
      </c>
      <c r="Q81" s="285">
        <f t="shared" si="19"/>
        <v>0.97</v>
      </c>
      <c r="R81" s="285">
        <f t="shared" si="20"/>
        <v>27051</v>
      </c>
      <c r="S81" s="284">
        <f t="shared" si="22"/>
        <v>133</v>
      </c>
    </row>
    <row r="82" spans="1:19">
      <c r="A82" s="1061" t="str">
        <f>清单!D187</f>
        <v>C-7-3-1203</v>
      </c>
      <c r="B82" s="1061">
        <f>清单!F187</f>
        <v>49.79</v>
      </c>
      <c r="C82" s="285">
        <f t="shared" si="12"/>
        <v>1</v>
      </c>
      <c r="D82" s="293"/>
      <c r="E82" s="285">
        <f t="shared" si="13"/>
        <v>1</v>
      </c>
      <c r="F82" s="293"/>
      <c r="G82" s="285">
        <f t="shared" si="14"/>
        <v>1</v>
      </c>
      <c r="H82" s="293"/>
      <c r="I82" s="285">
        <f t="shared" si="15"/>
        <v>1</v>
      </c>
      <c r="J82" s="293"/>
      <c r="K82" s="285">
        <f t="shared" si="16"/>
        <v>1</v>
      </c>
      <c r="L82" s="293"/>
      <c r="M82" s="285">
        <f t="shared" si="17"/>
        <v>1</v>
      </c>
      <c r="N82" s="293"/>
      <c r="O82" s="285">
        <f t="shared" si="18"/>
        <v>1</v>
      </c>
      <c r="P82" s="291" t="s">
        <v>3020</v>
      </c>
      <c r="Q82" s="285">
        <f t="shared" si="19"/>
        <v>1.03</v>
      </c>
      <c r="R82" s="285">
        <f t="shared" si="20"/>
        <v>28725</v>
      </c>
      <c r="S82" s="284">
        <f t="shared" si="22"/>
        <v>143</v>
      </c>
    </row>
    <row r="83" spans="1:19">
      <c r="A83" s="1061" t="str">
        <f>清单!D206</f>
        <v>C-7-2-201</v>
      </c>
      <c r="B83" s="1061">
        <f>清单!F206</f>
        <v>49.17</v>
      </c>
      <c r="C83" s="285">
        <f t="shared" si="12"/>
        <v>1</v>
      </c>
      <c r="D83" s="293"/>
      <c r="E83" s="285">
        <f t="shared" si="13"/>
        <v>1</v>
      </c>
      <c r="F83" s="293"/>
      <c r="G83" s="285">
        <f t="shared" si="14"/>
        <v>1</v>
      </c>
      <c r="H83" s="293"/>
      <c r="I83" s="285">
        <f t="shared" si="15"/>
        <v>1</v>
      </c>
      <c r="J83" s="293"/>
      <c r="K83" s="285">
        <f t="shared" si="16"/>
        <v>1</v>
      </c>
      <c r="L83" s="293"/>
      <c r="M83" s="285">
        <f t="shared" si="17"/>
        <v>1</v>
      </c>
      <c r="N83" s="293"/>
      <c r="O83" s="285">
        <f t="shared" si="18"/>
        <v>1</v>
      </c>
      <c r="P83" s="291" t="s">
        <v>3024</v>
      </c>
      <c r="Q83" s="285">
        <f t="shared" si="19"/>
        <v>0.97</v>
      </c>
      <c r="R83" s="285">
        <f t="shared" si="20"/>
        <v>27051</v>
      </c>
      <c r="S83" s="284">
        <f t="shared" si="22"/>
        <v>133</v>
      </c>
    </row>
    <row r="84" spans="1:19">
      <c r="A84" s="1061" t="str">
        <f>清单!D207</f>
        <v>C-7-2-301</v>
      </c>
      <c r="B84" s="1061">
        <f>清单!F207</f>
        <v>49.17</v>
      </c>
      <c r="C84" s="285">
        <f t="shared" si="12"/>
        <v>1</v>
      </c>
      <c r="D84" s="293"/>
      <c r="E84" s="285">
        <f t="shared" si="13"/>
        <v>1</v>
      </c>
      <c r="F84" s="293"/>
      <c r="G84" s="285">
        <f t="shared" si="14"/>
        <v>1</v>
      </c>
      <c r="H84" s="293"/>
      <c r="I84" s="285">
        <f t="shared" si="15"/>
        <v>1</v>
      </c>
      <c r="J84" s="293"/>
      <c r="K84" s="285">
        <f t="shared" si="16"/>
        <v>1</v>
      </c>
      <c r="L84" s="293"/>
      <c r="M84" s="285">
        <f t="shared" si="17"/>
        <v>1</v>
      </c>
      <c r="N84" s="293"/>
      <c r="O84" s="285">
        <f t="shared" si="18"/>
        <v>1</v>
      </c>
      <c r="P84" s="291" t="s">
        <v>3024</v>
      </c>
      <c r="Q84" s="285">
        <f t="shared" si="19"/>
        <v>0.97</v>
      </c>
      <c r="R84" s="285">
        <f t="shared" si="20"/>
        <v>27051</v>
      </c>
      <c r="S84" s="284">
        <f t="shared" si="22"/>
        <v>133</v>
      </c>
    </row>
    <row r="85" spans="1:19">
      <c r="A85" s="1061" t="str">
        <f>清单!D190</f>
        <v>C-7-3-1306</v>
      </c>
      <c r="B85" s="1061">
        <f>清单!F190</f>
        <v>54.07</v>
      </c>
      <c r="C85" s="285">
        <f t="shared" si="12"/>
        <v>1</v>
      </c>
      <c r="D85" s="293"/>
      <c r="E85" s="285">
        <f t="shared" si="13"/>
        <v>1</v>
      </c>
      <c r="F85" s="293"/>
      <c r="G85" s="285">
        <f t="shared" si="14"/>
        <v>1</v>
      </c>
      <c r="H85" s="293"/>
      <c r="I85" s="285">
        <f t="shared" si="15"/>
        <v>1</v>
      </c>
      <c r="J85" s="293"/>
      <c r="K85" s="285">
        <f t="shared" si="16"/>
        <v>1</v>
      </c>
      <c r="L85" s="293"/>
      <c r="M85" s="285">
        <f t="shared" si="17"/>
        <v>1</v>
      </c>
      <c r="N85" s="293"/>
      <c r="O85" s="285">
        <f t="shared" si="18"/>
        <v>1</v>
      </c>
      <c r="P85" s="291" t="s">
        <v>3020</v>
      </c>
      <c r="Q85" s="285">
        <f t="shared" si="19"/>
        <v>1.03</v>
      </c>
      <c r="R85" s="285">
        <f t="shared" si="20"/>
        <v>28725</v>
      </c>
      <c r="S85" s="284">
        <f t="shared" si="22"/>
        <v>155</v>
      </c>
    </row>
    <row r="86" spans="1:19">
      <c r="A86" s="1061" t="str">
        <f>清单!D209</f>
        <v>C-7-2-403</v>
      </c>
      <c r="B86" s="1061">
        <f>清单!F209</f>
        <v>49.88</v>
      </c>
      <c r="C86" s="285">
        <f t="shared" si="12"/>
        <v>1</v>
      </c>
      <c r="D86" s="293"/>
      <c r="E86" s="285">
        <f t="shared" si="13"/>
        <v>1</v>
      </c>
      <c r="F86" s="293"/>
      <c r="G86" s="285">
        <f t="shared" si="14"/>
        <v>1</v>
      </c>
      <c r="H86" s="293"/>
      <c r="I86" s="285">
        <f t="shared" si="15"/>
        <v>1</v>
      </c>
      <c r="J86" s="293"/>
      <c r="K86" s="285">
        <f t="shared" si="16"/>
        <v>1</v>
      </c>
      <c r="L86" s="293"/>
      <c r="M86" s="285">
        <f t="shared" si="17"/>
        <v>1</v>
      </c>
      <c r="N86" s="293"/>
      <c r="O86" s="285">
        <f t="shared" si="18"/>
        <v>1</v>
      </c>
      <c r="P86" s="291" t="s">
        <v>3024</v>
      </c>
      <c r="Q86" s="285">
        <f t="shared" si="19"/>
        <v>0.97</v>
      </c>
      <c r="R86" s="285">
        <f t="shared" si="20"/>
        <v>27051</v>
      </c>
      <c r="S86" s="284">
        <f t="shared" si="22"/>
        <v>135</v>
      </c>
    </row>
    <row r="87" spans="1:19">
      <c r="A87" s="1061" t="str">
        <f>清单!D210</f>
        <v>C-7-2-401</v>
      </c>
      <c r="B87" s="1061">
        <f>清单!F210</f>
        <v>49.17</v>
      </c>
      <c r="C87" s="285">
        <f t="shared" si="12"/>
        <v>1</v>
      </c>
      <c r="D87" s="293"/>
      <c r="E87" s="285">
        <f t="shared" si="13"/>
        <v>1</v>
      </c>
      <c r="F87" s="293"/>
      <c r="G87" s="285">
        <f t="shared" si="14"/>
        <v>1</v>
      </c>
      <c r="H87" s="293"/>
      <c r="I87" s="285">
        <f t="shared" si="15"/>
        <v>1</v>
      </c>
      <c r="J87" s="293"/>
      <c r="K87" s="285">
        <f t="shared" si="16"/>
        <v>1</v>
      </c>
      <c r="L87" s="293"/>
      <c r="M87" s="285">
        <f t="shared" si="17"/>
        <v>1</v>
      </c>
      <c r="N87" s="293"/>
      <c r="O87" s="285">
        <f t="shared" si="18"/>
        <v>1</v>
      </c>
      <c r="P87" s="291" t="s">
        <v>3024</v>
      </c>
      <c r="Q87" s="285">
        <f t="shared" si="19"/>
        <v>0.97</v>
      </c>
      <c r="R87" s="285">
        <f t="shared" si="20"/>
        <v>27051</v>
      </c>
      <c r="S87" s="284">
        <f t="shared" si="22"/>
        <v>133</v>
      </c>
    </row>
    <row r="88" spans="1:19">
      <c r="A88" s="1061" t="str">
        <f>清单!D193</f>
        <v>C-7-3-1406</v>
      </c>
      <c r="B88" s="1061">
        <f>清单!F193</f>
        <v>54.07</v>
      </c>
      <c r="C88" s="285">
        <f t="shared" si="12"/>
        <v>1</v>
      </c>
      <c r="D88" s="293"/>
      <c r="E88" s="285">
        <f t="shared" si="13"/>
        <v>1</v>
      </c>
      <c r="F88" s="293"/>
      <c r="G88" s="285">
        <f t="shared" si="14"/>
        <v>1</v>
      </c>
      <c r="H88" s="293"/>
      <c r="I88" s="285">
        <f t="shared" si="15"/>
        <v>1</v>
      </c>
      <c r="J88" s="293"/>
      <c r="K88" s="285">
        <f t="shared" si="16"/>
        <v>1</v>
      </c>
      <c r="L88" s="293"/>
      <c r="M88" s="285">
        <f t="shared" si="17"/>
        <v>1</v>
      </c>
      <c r="N88" s="293"/>
      <c r="O88" s="285">
        <f t="shared" si="18"/>
        <v>1</v>
      </c>
      <c r="P88" s="291" t="s">
        <v>3020</v>
      </c>
      <c r="Q88" s="285">
        <f t="shared" si="19"/>
        <v>1.03</v>
      </c>
      <c r="R88" s="285">
        <f t="shared" si="20"/>
        <v>28725</v>
      </c>
      <c r="S88" s="284">
        <f t="shared" si="22"/>
        <v>155</v>
      </c>
    </row>
    <row r="89" spans="1:19">
      <c r="A89" s="1061" t="str">
        <f>清单!D212</f>
        <v>C-7-2-501</v>
      </c>
      <c r="B89" s="1061">
        <f>清单!F212</f>
        <v>49.17</v>
      </c>
      <c r="C89" s="285">
        <f t="shared" si="12"/>
        <v>1</v>
      </c>
      <c r="D89" s="293"/>
      <c r="E89" s="285">
        <f t="shared" si="13"/>
        <v>1</v>
      </c>
      <c r="F89" s="293"/>
      <c r="G89" s="285">
        <f t="shared" si="14"/>
        <v>1</v>
      </c>
      <c r="H89" s="293"/>
      <c r="I89" s="285">
        <f t="shared" si="15"/>
        <v>1</v>
      </c>
      <c r="J89" s="293"/>
      <c r="K89" s="285">
        <f t="shared" si="16"/>
        <v>1</v>
      </c>
      <c r="L89" s="293"/>
      <c r="M89" s="285">
        <f t="shared" si="17"/>
        <v>1</v>
      </c>
      <c r="N89" s="293"/>
      <c r="O89" s="285">
        <f t="shared" si="18"/>
        <v>1</v>
      </c>
      <c r="P89" s="291" t="s">
        <v>3024</v>
      </c>
      <c r="Q89" s="285">
        <f t="shared" si="19"/>
        <v>0.97</v>
      </c>
      <c r="R89" s="285">
        <f t="shared" si="20"/>
        <v>27051</v>
      </c>
      <c r="S89" s="284">
        <f t="shared" si="22"/>
        <v>133</v>
      </c>
    </row>
    <row r="90" spans="1:19">
      <c r="A90" s="1061" t="str">
        <f>清单!D213</f>
        <v>C-7-2-604</v>
      </c>
      <c r="B90" s="1061">
        <f>清单!F213</f>
        <v>49.34</v>
      </c>
      <c r="C90" s="285">
        <f t="shared" ref="C90:C153" si="23">IF(B90="",1,(LOOKUP(B90,$3:$3,$4:$4)-LOOKUP($B$24,$3:$3,$4:$4)+100)/100)</f>
        <v>1</v>
      </c>
      <c r="D90" s="293"/>
      <c r="E90" s="285">
        <f t="shared" ref="E90:E153" si="24">(SUMIF($5:$5,D90,$6:$6)-SUMIF($5:$5,$D$24,$6:$6)+100)/100</f>
        <v>1</v>
      </c>
      <c r="F90" s="293"/>
      <c r="G90" s="285">
        <f t="shared" ref="G90:G153" si="25">(SUMIF($7:$7,F90,$8:$8)-SUMIF($7:$7,$F$24,$8:$8)+100)/100</f>
        <v>1</v>
      </c>
      <c r="H90" s="293"/>
      <c r="I90" s="285">
        <f t="shared" ref="I90:I153" si="26">(SUMIF($9:$9,H90,$10:$10)-SUMIF($9:$9,$H$24,$10:$10)+100)/100</f>
        <v>1</v>
      </c>
      <c r="J90" s="293"/>
      <c r="K90" s="285">
        <f t="shared" ref="K90:K153" si="27">(SUMIF($11:$11,J90,$12:$12)-SUMIF($11:$11,$J$24,$12:$12)+100)/100</f>
        <v>1</v>
      </c>
      <c r="L90" s="293"/>
      <c r="M90" s="285">
        <f t="shared" ref="M90:M153" si="28">(SUMIF($13:$13,L90,$14:$14)-SUMIF($13:$13,$L$24,$14:$14)+100)/100</f>
        <v>1</v>
      </c>
      <c r="N90" s="293"/>
      <c r="O90" s="285">
        <f t="shared" ref="O90:O153" si="29">(SUMIF($15:$15,N90,$16:$16)-SUMIF($15:$15,$N$24,$16:$16)+100)/100</f>
        <v>1</v>
      </c>
      <c r="P90" s="291" t="s">
        <v>3022</v>
      </c>
      <c r="Q90" s="285">
        <f t="shared" ref="Q90:Q153" si="30">(SUMIF($17:$17,P90,$18:$18)-SUMIF($17:$17,$P$24,$18:$18)+100)/100</f>
        <v>1</v>
      </c>
      <c r="R90" s="285">
        <f t="shared" ref="R90:R153" si="31">IF(B90="",0,ROUND($R$24*C90*E90*G90*I90*K90*M90*O90*Q90,0))</f>
        <v>27888</v>
      </c>
      <c r="S90" s="284">
        <f t="shared" si="22"/>
        <v>138</v>
      </c>
    </row>
    <row r="91" spans="1:19">
      <c r="A91" s="1061" t="str">
        <f>清单!D196</f>
        <v>C-7-3-1403</v>
      </c>
      <c r="B91" s="1061">
        <f>清单!F196</f>
        <v>49.79</v>
      </c>
      <c r="C91" s="285">
        <f t="shared" si="23"/>
        <v>1</v>
      </c>
      <c r="D91" s="293"/>
      <c r="E91" s="285">
        <f t="shared" si="24"/>
        <v>1</v>
      </c>
      <c r="F91" s="293"/>
      <c r="G91" s="285">
        <f t="shared" si="25"/>
        <v>1</v>
      </c>
      <c r="H91" s="293"/>
      <c r="I91" s="285">
        <f t="shared" si="26"/>
        <v>1</v>
      </c>
      <c r="J91" s="293"/>
      <c r="K91" s="285">
        <f t="shared" si="27"/>
        <v>1</v>
      </c>
      <c r="L91" s="293"/>
      <c r="M91" s="285">
        <f t="shared" si="28"/>
        <v>1</v>
      </c>
      <c r="N91" s="293"/>
      <c r="O91" s="285">
        <f t="shared" si="29"/>
        <v>1</v>
      </c>
      <c r="P91" s="291" t="s">
        <v>3020</v>
      </c>
      <c r="Q91" s="285">
        <f t="shared" si="30"/>
        <v>1.03</v>
      </c>
      <c r="R91" s="285">
        <f t="shared" si="31"/>
        <v>28725</v>
      </c>
      <c r="S91" s="284">
        <f t="shared" si="22"/>
        <v>143</v>
      </c>
    </row>
    <row r="92" spans="1:19">
      <c r="A92" s="1061" t="str">
        <f>清单!D215</f>
        <v>C-7-2-704</v>
      </c>
      <c r="B92" s="1061">
        <f>清单!F215</f>
        <v>49.34</v>
      </c>
      <c r="C92" s="285">
        <f t="shared" si="23"/>
        <v>1</v>
      </c>
      <c r="D92" s="293"/>
      <c r="E92" s="285">
        <f t="shared" si="24"/>
        <v>1</v>
      </c>
      <c r="F92" s="293"/>
      <c r="G92" s="285">
        <f t="shared" si="25"/>
        <v>1</v>
      </c>
      <c r="H92" s="293"/>
      <c r="I92" s="285">
        <f t="shared" si="26"/>
        <v>1</v>
      </c>
      <c r="J92" s="293"/>
      <c r="K92" s="285">
        <f t="shared" si="27"/>
        <v>1</v>
      </c>
      <c r="L92" s="293"/>
      <c r="M92" s="285">
        <f t="shared" si="28"/>
        <v>1</v>
      </c>
      <c r="N92" s="293"/>
      <c r="O92" s="285">
        <f t="shared" si="29"/>
        <v>1</v>
      </c>
      <c r="P92" s="291" t="s">
        <v>3022</v>
      </c>
      <c r="Q92" s="285">
        <f t="shared" si="30"/>
        <v>1</v>
      </c>
      <c r="R92" s="285">
        <f t="shared" si="31"/>
        <v>27888</v>
      </c>
      <c r="S92" s="284">
        <f t="shared" si="22"/>
        <v>138</v>
      </c>
    </row>
    <row r="93" spans="1:19">
      <c r="A93" s="1061" t="str">
        <f>清单!D216</f>
        <v>C-7-2-701</v>
      </c>
      <c r="B93" s="1061">
        <f>清单!F216</f>
        <v>49.17</v>
      </c>
      <c r="C93" s="285">
        <f t="shared" si="23"/>
        <v>1</v>
      </c>
      <c r="D93" s="293"/>
      <c r="E93" s="285">
        <f t="shared" si="24"/>
        <v>1</v>
      </c>
      <c r="F93" s="293"/>
      <c r="G93" s="285">
        <f t="shared" si="25"/>
        <v>1</v>
      </c>
      <c r="H93" s="293"/>
      <c r="I93" s="285">
        <f t="shared" si="26"/>
        <v>1</v>
      </c>
      <c r="J93" s="293"/>
      <c r="K93" s="285">
        <f t="shared" si="27"/>
        <v>1</v>
      </c>
      <c r="L93" s="293"/>
      <c r="M93" s="285">
        <f t="shared" si="28"/>
        <v>1</v>
      </c>
      <c r="N93" s="293"/>
      <c r="O93" s="285">
        <f t="shared" si="29"/>
        <v>1</v>
      </c>
      <c r="P93" s="291" t="s">
        <v>3022</v>
      </c>
      <c r="Q93" s="285">
        <f t="shared" si="30"/>
        <v>1</v>
      </c>
      <c r="R93" s="285">
        <f t="shared" si="31"/>
        <v>27888</v>
      </c>
      <c r="S93" s="284">
        <f t="shared" si="22"/>
        <v>137</v>
      </c>
    </row>
    <row r="94" spans="1:19">
      <c r="A94" s="1061" t="str">
        <f>清单!D199</f>
        <v>C-7-3-1506</v>
      </c>
      <c r="B94" s="1061">
        <f>清单!F199</f>
        <v>54.07</v>
      </c>
      <c r="C94" s="285">
        <f t="shared" si="23"/>
        <v>1</v>
      </c>
      <c r="D94" s="293"/>
      <c r="E94" s="285">
        <f t="shared" si="24"/>
        <v>1</v>
      </c>
      <c r="F94" s="293"/>
      <c r="G94" s="285">
        <f t="shared" si="25"/>
        <v>1</v>
      </c>
      <c r="H94" s="293"/>
      <c r="I94" s="285">
        <f t="shared" si="26"/>
        <v>1</v>
      </c>
      <c r="J94" s="293"/>
      <c r="K94" s="285">
        <f t="shared" si="27"/>
        <v>1</v>
      </c>
      <c r="L94" s="293"/>
      <c r="M94" s="285">
        <f t="shared" si="28"/>
        <v>1</v>
      </c>
      <c r="N94" s="293"/>
      <c r="O94" s="285">
        <f t="shared" si="29"/>
        <v>1</v>
      </c>
      <c r="P94" s="291" t="s">
        <v>3020</v>
      </c>
      <c r="Q94" s="285">
        <f t="shared" si="30"/>
        <v>1.03</v>
      </c>
      <c r="R94" s="285">
        <f t="shared" si="31"/>
        <v>28725</v>
      </c>
      <c r="S94" s="284">
        <f t="shared" si="22"/>
        <v>155</v>
      </c>
    </row>
    <row r="95" spans="1:19">
      <c r="A95" s="1061" t="str">
        <f>清单!D218</f>
        <v>C-7-2-904</v>
      </c>
      <c r="B95" s="1061">
        <f>清单!F218</f>
        <v>49.34</v>
      </c>
      <c r="C95" s="285">
        <f t="shared" si="23"/>
        <v>1</v>
      </c>
      <c r="D95" s="293"/>
      <c r="E95" s="285">
        <f t="shared" si="24"/>
        <v>1</v>
      </c>
      <c r="F95" s="293"/>
      <c r="G95" s="285">
        <f t="shared" si="25"/>
        <v>1</v>
      </c>
      <c r="H95" s="293"/>
      <c r="I95" s="285">
        <f t="shared" si="26"/>
        <v>1</v>
      </c>
      <c r="J95" s="293"/>
      <c r="K95" s="285">
        <f t="shared" si="27"/>
        <v>1</v>
      </c>
      <c r="L95" s="293"/>
      <c r="M95" s="285">
        <f t="shared" si="28"/>
        <v>1</v>
      </c>
      <c r="N95" s="293"/>
      <c r="O95" s="285">
        <f t="shared" si="29"/>
        <v>1</v>
      </c>
      <c r="P95" s="291" t="s">
        <v>3022</v>
      </c>
      <c r="Q95" s="285">
        <f t="shared" si="30"/>
        <v>1</v>
      </c>
      <c r="R95" s="285">
        <f t="shared" si="31"/>
        <v>27888</v>
      </c>
      <c r="S95" s="284">
        <f t="shared" si="22"/>
        <v>138</v>
      </c>
    </row>
    <row r="96" spans="1:19">
      <c r="A96" s="1061" t="str">
        <f>清单!D219</f>
        <v>C-7-2-901</v>
      </c>
      <c r="B96" s="1061">
        <f>清单!F219</f>
        <v>49.17</v>
      </c>
      <c r="C96" s="285">
        <f t="shared" si="23"/>
        <v>1</v>
      </c>
      <c r="D96" s="293"/>
      <c r="E96" s="285">
        <f t="shared" si="24"/>
        <v>1</v>
      </c>
      <c r="F96" s="293"/>
      <c r="G96" s="285">
        <f t="shared" si="25"/>
        <v>1</v>
      </c>
      <c r="H96" s="293"/>
      <c r="I96" s="285">
        <f t="shared" si="26"/>
        <v>1</v>
      </c>
      <c r="J96" s="293"/>
      <c r="K96" s="285">
        <f t="shared" si="27"/>
        <v>1</v>
      </c>
      <c r="L96" s="293"/>
      <c r="M96" s="285">
        <f t="shared" si="28"/>
        <v>1</v>
      </c>
      <c r="N96" s="293"/>
      <c r="O96" s="285">
        <f t="shared" si="29"/>
        <v>1</v>
      </c>
      <c r="P96" s="291" t="s">
        <v>3022</v>
      </c>
      <c r="Q96" s="285">
        <f t="shared" si="30"/>
        <v>1</v>
      </c>
      <c r="R96" s="285">
        <f t="shared" si="31"/>
        <v>27888</v>
      </c>
      <c r="S96" s="284">
        <f t="shared" si="22"/>
        <v>137</v>
      </c>
    </row>
    <row r="97" spans="1:19">
      <c r="A97" s="1061" t="str">
        <f>清单!D202</f>
        <v>C-7-2-103</v>
      </c>
      <c r="B97" s="1061">
        <f>清单!F202</f>
        <v>76.95</v>
      </c>
      <c r="C97" s="285">
        <f t="shared" si="23"/>
        <v>0.97</v>
      </c>
      <c r="D97" s="293"/>
      <c r="E97" s="285">
        <f t="shared" si="24"/>
        <v>1</v>
      </c>
      <c r="F97" s="293"/>
      <c r="G97" s="285">
        <f t="shared" si="25"/>
        <v>1</v>
      </c>
      <c r="H97" s="293"/>
      <c r="I97" s="285">
        <f t="shared" si="26"/>
        <v>1</v>
      </c>
      <c r="J97" s="293"/>
      <c r="K97" s="285">
        <f t="shared" si="27"/>
        <v>1</v>
      </c>
      <c r="L97" s="293"/>
      <c r="M97" s="285">
        <f t="shared" si="28"/>
        <v>1</v>
      </c>
      <c r="N97" s="293"/>
      <c r="O97" s="285">
        <f t="shared" si="29"/>
        <v>1</v>
      </c>
      <c r="P97" s="291" t="s">
        <v>3024</v>
      </c>
      <c r="Q97" s="285">
        <f t="shared" si="30"/>
        <v>0.97</v>
      </c>
      <c r="R97" s="285">
        <f t="shared" si="31"/>
        <v>26240</v>
      </c>
      <c r="S97" s="284">
        <f t="shared" si="22"/>
        <v>202</v>
      </c>
    </row>
    <row r="98" spans="1:19">
      <c r="A98" s="1061" t="str">
        <f>清单!D221</f>
        <v>C-7-2-1001</v>
      </c>
      <c r="B98" s="1061">
        <f>清单!F221</f>
        <v>49.17</v>
      </c>
      <c r="C98" s="285">
        <f t="shared" si="23"/>
        <v>1</v>
      </c>
      <c r="D98" s="293"/>
      <c r="E98" s="285">
        <f t="shared" si="24"/>
        <v>1</v>
      </c>
      <c r="F98" s="293"/>
      <c r="G98" s="285">
        <f t="shared" si="25"/>
        <v>1</v>
      </c>
      <c r="H98" s="293"/>
      <c r="I98" s="285">
        <f t="shared" si="26"/>
        <v>1</v>
      </c>
      <c r="J98" s="293"/>
      <c r="K98" s="285">
        <f t="shared" si="27"/>
        <v>1</v>
      </c>
      <c r="L98" s="293"/>
      <c r="M98" s="285">
        <f t="shared" si="28"/>
        <v>1</v>
      </c>
      <c r="N98" s="293"/>
      <c r="O98" s="285">
        <f t="shared" si="29"/>
        <v>1</v>
      </c>
      <c r="P98" s="291" t="s">
        <v>3022</v>
      </c>
      <c r="Q98" s="285">
        <f t="shared" si="30"/>
        <v>1</v>
      </c>
      <c r="R98" s="285">
        <f t="shared" si="31"/>
        <v>27888</v>
      </c>
      <c r="S98" s="284">
        <f t="shared" si="22"/>
        <v>137</v>
      </c>
    </row>
    <row r="99" spans="1:19">
      <c r="A99" s="1061" t="str">
        <f>清单!D222</f>
        <v>C-7-2-1104</v>
      </c>
      <c r="B99" s="1061">
        <f>清单!F222</f>
        <v>49.34</v>
      </c>
      <c r="C99" s="285">
        <f t="shared" si="23"/>
        <v>1</v>
      </c>
      <c r="D99" s="293"/>
      <c r="E99" s="285">
        <f t="shared" si="24"/>
        <v>1</v>
      </c>
      <c r="F99" s="293"/>
      <c r="G99" s="285">
        <f t="shared" si="25"/>
        <v>1</v>
      </c>
      <c r="H99" s="293"/>
      <c r="I99" s="285">
        <f t="shared" si="26"/>
        <v>1</v>
      </c>
      <c r="J99" s="293"/>
      <c r="K99" s="285">
        <f t="shared" si="27"/>
        <v>1</v>
      </c>
      <c r="L99" s="293"/>
      <c r="M99" s="285">
        <f t="shared" si="28"/>
        <v>1</v>
      </c>
      <c r="N99" s="293"/>
      <c r="O99" s="285">
        <f t="shared" si="29"/>
        <v>1</v>
      </c>
      <c r="P99" s="291" t="s">
        <v>3024</v>
      </c>
      <c r="Q99" s="285">
        <f t="shared" si="30"/>
        <v>0.97</v>
      </c>
      <c r="R99" s="285">
        <f t="shared" si="31"/>
        <v>27051</v>
      </c>
      <c r="S99" s="284">
        <f t="shared" si="22"/>
        <v>133</v>
      </c>
    </row>
    <row r="100" spans="1:19">
      <c r="A100" s="1061" t="str">
        <f>清单!D205</f>
        <v>C-7-2-204</v>
      </c>
      <c r="B100" s="1061">
        <f>清单!F205</f>
        <v>49.34</v>
      </c>
      <c r="C100" s="285">
        <f t="shared" si="23"/>
        <v>1</v>
      </c>
      <c r="D100" s="293"/>
      <c r="E100" s="285">
        <f t="shared" si="24"/>
        <v>1</v>
      </c>
      <c r="F100" s="293"/>
      <c r="G100" s="285">
        <f t="shared" si="25"/>
        <v>1</v>
      </c>
      <c r="H100" s="293"/>
      <c r="I100" s="285">
        <f t="shared" si="26"/>
        <v>1</v>
      </c>
      <c r="J100" s="293"/>
      <c r="K100" s="285">
        <f t="shared" si="27"/>
        <v>1</v>
      </c>
      <c r="L100" s="293"/>
      <c r="M100" s="285">
        <f t="shared" si="28"/>
        <v>1</v>
      </c>
      <c r="N100" s="293"/>
      <c r="O100" s="285">
        <f t="shared" si="29"/>
        <v>1</v>
      </c>
      <c r="P100" s="291"/>
      <c r="Q100" s="285">
        <f t="shared" si="30"/>
        <v>0.03</v>
      </c>
      <c r="R100" s="285">
        <f t="shared" si="31"/>
        <v>837</v>
      </c>
      <c r="S100" s="284">
        <f t="shared" si="22"/>
        <v>4</v>
      </c>
    </row>
    <row r="101" spans="1:19">
      <c r="A101" s="1061" t="str">
        <f>清单!D224</f>
        <v>C-7-2-1204</v>
      </c>
      <c r="B101" s="1061">
        <f>清单!F224</f>
        <v>49.34</v>
      </c>
      <c r="C101" s="285">
        <f t="shared" si="23"/>
        <v>1</v>
      </c>
      <c r="D101" s="293"/>
      <c r="E101" s="285">
        <f t="shared" si="24"/>
        <v>1</v>
      </c>
      <c r="F101" s="293"/>
      <c r="G101" s="285">
        <f t="shared" si="25"/>
        <v>1</v>
      </c>
      <c r="H101" s="293"/>
      <c r="I101" s="285">
        <f t="shared" si="26"/>
        <v>1</v>
      </c>
      <c r="J101" s="293"/>
      <c r="K101" s="285">
        <f t="shared" si="27"/>
        <v>1</v>
      </c>
      <c r="L101" s="293"/>
      <c r="M101" s="285">
        <f t="shared" si="28"/>
        <v>1</v>
      </c>
      <c r="N101" s="293"/>
      <c r="O101" s="285">
        <f t="shared" si="29"/>
        <v>1</v>
      </c>
      <c r="P101" s="291" t="s">
        <v>3020</v>
      </c>
      <c r="Q101" s="285">
        <f t="shared" si="30"/>
        <v>1.03</v>
      </c>
      <c r="R101" s="285">
        <f t="shared" si="31"/>
        <v>28725</v>
      </c>
      <c r="S101" s="284">
        <f t="shared" si="22"/>
        <v>142</v>
      </c>
    </row>
    <row r="102" spans="1:19">
      <c r="A102" s="1061" t="str">
        <f>清单!D225</f>
        <v>C-7-2-1304</v>
      </c>
      <c r="B102" s="1061">
        <f>清单!F225</f>
        <v>49.34</v>
      </c>
      <c r="C102" s="285">
        <f t="shared" si="23"/>
        <v>1</v>
      </c>
      <c r="D102" s="293"/>
      <c r="E102" s="285">
        <f t="shared" si="24"/>
        <v>1</v>
      </c>
      <c r="F102" s="293"/>
      <c r="G102" s="285">
        <f t="shared" si="25"/>
        <v>1</v>
      </c>
      <c r="H102" s="293"/>
      <c r="I102" s="285">
        <f t="shared" si="26"/>
        <v>1</v>
      </c>
      <c r="J102" s="293"/>
      <c r="K102" s="285">
        <f t="shared" si="27"/>
        <v>1</v>
      </c>
      <c r="L102" s="293"/>
      <c r="M102" s="285">
        <f t="shared" si="28"/>
        <v>1</v>
      </c>
      <c r="N102" s="293"/>
      <c r="O102" s="285">
        <f t="shared" si="29"/>
        <v>1</v>
      </c>
      <c r="P102" s="291" t="s">
        <v>3020</v>
      </c>
      <c r="Q102" s="285">
        <f t="shared" si="30"/>
        <v>1.03</v>
      </c>
      <c r="R102" s="285">
        <f t="shared" si="31"/>
        <v>28725</v>
      </c>
      <c r="S102" s="284">
        <f t="shared" si="22"/>
        <v>142</v>
      </c>
    </row>
    <row r="103" spans="1:19">
      <c r="A103" s="1061" t="str">
        <f>清单!D208</f>
        <v>C-7-2-404</v>
      </c>
      <c r="B103" s="1061">
        <f>清单!F208</f>
        <v>49.34</v>
      </c>
      <c r="C103" s="285">
        <f t="shared" si="23"/>
        <v>1</v>
      </c>
      <c r="D103" s="293"/>
      <c r="E103" s="285">
        <f t="shared" si="24"/>
        <v>1</v>
      </c>
      <c r="F103" s="293"/>
      <c r="G103" s="285">
        <f t="shared" si="25"/>
        <v>1</v>
      </c>
      <c r="H103" s="293"/>
      <c r="I103" s="285">
        <f t="shared" si="26"/>
        <v>1</v>
      </c>
      <c r="J103" s="293"/>
      <c r="K103" s="285">
        <f t="shared" si="27"/>
        <v>1</v>
      </c>
      <c r="L103" s="293"/>
      <c r="M103" s="285">
        <f t="shared" si="28"/>
        <v>1</v>
      </c>
      <c r="N103" s="293"/>
      <c r="O103" s="285">
        <f t="shared" si="29"/>
        <v>1</v>
      </c>
      <c r="P103" s="291" t="s">
        <v>3024</v>
      </c>
      <c r="Q103" s="285">
        <f t="shared" si="30"/>
        <v>0.97</v>
      </c>
      <c r="R103" s="285">
        <f t="shared" si="31"/>
        <v>27051</v>
      </c>
      <c r="S103" s="284">
        <f t="shared" si="22"/>
        <v>133</v>
      </c>
    </row>
    <row r="104" spans="1:19">
      <c r="A104" s="1061" t="str">
        <f>清单!D227</f>
        <v>C-7-2-1404</v>
      </c>
      <c r="B104" s="1061">
        <f>清单!F227</f>
        <v>49.34</v>
      </c>
      <c r="C104" s="285">
        <f t="shared" si="23"/>
        <v>1</v>
      </c>
      <c r="D104" s="293"/>
      <c r="E104" s="285">
        <f t="shared" si="24"/>
        <v>1</v>
      </c>
      <c r="F104" s="293"/>
      <c r="G104" s="285">
        <f t="shared" si="25"/>
        <v>1</v>
      </c>
      <c r="H104" s="293"/>
      <c r="I104" s="285">
        <f t="shared" si="26"/>
        <v>1</v>
      </c>
      <c r="J104" s="293"/>
      <c r="K104" s="285">
        <f t="shared" si="27"/>
        <v>1</v>
      </c>
      <c r="L104" s="293"/>
      <c r="M104" s="285">
        <f t="shared" si="28"/>
        <v>1</v>
      </c>
      <c r="N104" s="293"/>
      <c r="O104" s="285">
        <f t="shared" si="29"/>
        <v>1</v>
      </c>
      <c r="P104" s="291" t="s">
        <v>3020</v>
      </c>
      <c r="Q104" s="285">
        <f t="shared" si="30"/>
        <v>1.03</v>
      </c>
      <c r="R104" s="285">
        <f t="shared" si="31"/>
        <v>28725</v>
      </c>
      <c r="S104" s="284">
        <f t="shared" si="22"/>
        <v>142</v>
      </c>
    </row>
    <row r="105" spans="1:19">
      <c r="A105" s="1061" t="str">
        <f>清单!D228</f>
        <v>C-7-2-1401</v>
      </c>
      <c r="B105" s="1061">
        <f>清单!F228</f>
        <v>49.17</v>
      </c>
      <c r="C105" s="285">
        <f t="shared" si="23"/>
        <v>1</v>
      </c>
      <c r="D105" s="293"/>
      <c r="E105" s="285">
        <f t="shared" si="24"/>
        <v>1</v>
      </c>
      <c r="F105" s="293"/>
      <c r="G105" s="285">
        <f t="shared" si="25"/>
        <v>1</v>
      </c>
      <c r="H105" s="293"/>
      <c r="I105" s="285">
        <f t="shared" si="26"/>
        <v>1</v>
      </c>
      <c r="J105" s="293"/>
      <c r="K105" s="285">
        <f t="shared" si="27"/>
        <v>1</v>
      </c>
      <c r="L105" s="293"/>
      <c r="M105" s="285">
        <f t="shared" si="28"/>
        <v>1</v>
      </c>
      <c r="N105" s="293"/>
      <c r="O105" s="285">
        <f t="shared" si="29"/>
        <v>1</v>
      </c>
      <c r="P105" s="291" t="s">
        <v>3020</v>
      </c>
      <c r="Q105" s="285">
        <f t="shared" si="30"/>
        <v>1.03</v>
      </c>
      <c r="R105" s="285">
        <f t="shared" si="31"/>
        <v>28725</v>
      </c>
      <c r="S105" s="284">
        <f t="shared" si="22"/>
        <v>141</v>
      </c>
    </row>
    <row r="106" spans="1:19">
      <c r="A106" s="1061" t="str">
        <f>清单!D211</f>
        <v>C-7-2-504</v>
      </c>
      <c r="B106" s="1061">
        <f>清单!F211</f>
        <v>49.34</v>
      </c>
      <c r="C106" s="285">
        <f t="shared" si="23"/>
        <v>1</v>
      </c>
      <c r="D106" s="293"/>
      <c r="E106" s="285">
        <f t="shared" si="24"/>
        <v>1</v>
      </c>
      <c r="F106" s="293"/>
      <c r="G106" s="285">
        <f t="shared" si="25"/>
        <v>1</v>
      </c>
      <c r="H106" s="293"/>
      <c r="I106" s="285">
        <f t="shared" si="26"/>
        <v>1</v>
      </c>
      <c r="J106" s="293"/>
      <c r="K106" s="285">
        <f t="shared" si="27"/>
        <v>1</v>
      </c>
      <c r="L106" s="293"/>
      <c r="M106" s="285">
        <f t="shared" si="28"/>
        <v>1</v>
      </c>
      <c r="N106" s="293"/>
      <c r="O106" s="285">
        <f t="shared" si="29"/>
        <v>1</v>
      </c>
      <c r="P106" s="291" t="s">
        <v>3024</v>
      </c>
      <c r="Q106" s="285">
        <f t="shared" si="30"/>
        <v>0.97</v>
      </c>
      <c r="R106" s="285">
        <f t="shared" si="31"/>
        <v>27051</v>
      </c>
      <c r="S106" s="284">
        <f t="shared" si="22"/>
        <v>133</v>
      </c>
    </row>
    <row r="107" spans="1:19">
      <c r="A107" s="1061" t="str">
        <f>清单!D230</f>
        <v>C-7-2-1501</v>
      </c>
      <c r="B107" s="1061">
        <f>清单!F230</f>
        <v>49.17</v>
      </c>
      <c r="C107" s="285">
        <f t="shared" si="23"/>
        <v>1</v>
      </c>
      <c r="D107" s="293"/>
      <c r="E107" s="285">
        <f t="shared" si="24"/>
        <v>1</v>
      </c>
      <c r="F107" s="293"/>
      <c r="G107" s="285">
        <f t="shared" si="25"/>
        <v>1</v>
      </c>
      <c r="H107" s="293"/>
      <c r="I107" s="285">
        <f t="shared" si="26"/>
        <v>1</v>
      </c>
      <c r="J107" s="293"/>
      <c r="K107" s="285">
        <f t="shared" si="27"/>
        <v>1</v>
      </c>
      <c r="L107" s="293"/>
      <c r="M107" s="285">
        <f t="shared" si="28"/>
        <v>1</v>
      </c>
      <c r="N107" s="293"/>
      <c r="O107" s="285">
        <f t="shared" si="29"/>
        <v>1</v>
      </c>
      <c r="P107" s="291" t="s">
        <v>3020</v>
      </c>
      <c r="Q107" s="285">
        <f t="shared" si="30"/>
        <v>1.03</v>
      </c>
      <c r="R107" s="285">
        <f t="shared" si="31"/>
        <v>28725</v>
      </c>
      <c r="S107" s="284">
        <f t="shared" si="22"/>
        <v>141</v>
      </c>
    </row>
    <row r="108" spans="1:19">
      <c r="A108" s="1061" t="str">
        <f>清单!D231</f>
        <v>C-7-1-105</v>
      </c>
      <c r="B108" s="1061">
        <f>清单!F231</f>
        <v>76.63</v>
      </c>
      <c r="C108" s="285">
        <f t="shared" si="23"/>
        <v>0.97</v>
      </c>
      <c r="D108" s="293"/>
      <c r="E108" s="285">
        <f t="shared" si="24"/>
        <v>1</v>
      </c>
      <c r="F108" s="293"/>
      <c r="G108" s="285">
        <f t="shared" si="25"/>
        <v>1</v>
      </c>
      <c r="H108" s="293"/>
      <c r="I108" s="285">
        <f t="shared" si="26"/>
        <v>1</v>
      </c>
      <c r="J108" s="293"/>
      <c r="K108" s="285">
        <f t="shared" si="27"/>
        <v>1</v>
      </c>
      <c r="L108" s="293"/>
      <c r="M108" s="285">
        <f t="shared" si="28"/>
        <v>1</v>
      </c>
      <c r="N108" s="293"/>
      <c r="O108" s="285">
        <f t="shared" si="29"/>
        <v>1</v>
      </c>
      <c r="P108" s="291" t="s">
        <v>3024</v>
      </c>
      <c r="Q108" s="285">
        <f t="shared" si="30"/>
        <v>0.97</v>
      </c>
      <c r="R108" s="285">
        <f t="shared" si="31"/>
        <v>26240</v>
      </c>
      <c r="S108" s="284">
        <f t="shared" si="22"/>
        <v>201</v>
      </c>
    </row>
    <row r="109" spans="1:19">
      <c r="A109" s="1061" t="str">
        <f>清单!D214</f>
        <v>C-7-2-601</v>
      </c>
      <c r="B109" s="1061">
        <f>清单!F214</f>
        <v>49.17</v>
      </c>
      <c r="C109" s="285">
        <f t="shared" si="23"/>
        <v>1</v>
      </c>
      <c r="D109" s="293"/>
      <c r="E109" s="285">
        <f t="shared" si="24"/>
        <v>1</v>
      </c>
      <c r="F109" s="293"/>
      <c r="G109" s="285">
        <f t="shared" si="25"/>
        <v>1</v>
      </c>
      <c r="H109" s="293"/>
      <c r="I109" s="285">
        <f t="shared" si="26"/>
        <v>1</v>
      </c>
      <c r="J109" s="293"/>
      <c r="K109" s="285">
        <f t="shared" si="27"/>
        <v>1</v>
      </c>
      <c r="L109" s="293"/>
      <c r="M109" s="285">
        <f t="shared" si="28"/>
        <v>1</v>
      </c>
      <c r="N109" s="293"/>
      <c r="O109" s="285">
        <f t="shared" si="29"/>
        <v>1</v>
      </c>
      <c r="P109" s="291" t="s">
        <v>3022</v>
      </c>
      <c r="Q109" s="285">
        <f t="shared" si="30"/>
        <v>1</v>
      </c>
      <c r="R109" s="285">
        <f t="shared" si="31"/>
        <v>27888</v>
      </c>
      <c r="S109" s="284">
        <f t="shared" si="22"/>
        <v>137</v>
      </c>
    </row>
    <row r="110" spans="1:19">
      <c r="A110" s="1061" t="str">
        <f>清单!D233</f>
        <v>C-7-1-102</v>
      </c>
      <c r="B110" s="1061">
        <f>清单!F233</f>
        <v>51.67</v>
      </c>
      <c r="C110" s="285">
        <f t="shared" si="23"/>
        <v>1</v>
      </c>
      <c r="D110" s="293"/>
      <c r="E110" s="285">
        <f t="shared" si="24"/>
        <v>1</v>
      </c>
      <c r="F110" s="293"/>
      <c r="G110" s="285">
        <f t="shared" si="25"/>
        <v>1</v>
      </c>
      <c r="H110" s="293"/>
      <c r="I110" s="285">
        <f t="shared" si="26"/>
        <v>1</v>
      </c>
      <c r="J110" s="293"/>
      <c r="K110" s="285">
        <f t="shared" si="27"/>
        <v>1</v>
      </c>
      <c r="L110" s="293"/>
      <c r="M110" s="285">
        <f t="shared" si="28"/>
        <v>1</v>
      </c>
      <c r="N110" s="293"/>
      <c r="O110" s="285">
        <f t="shared" si="29"/>
        <v>1</v>
      </c>
      <c r="P110" s="291" t="s">
        <v>3024</v>
      </c>
      <c r="Q110" s="285">
        <f t="shared" si="30"/>
        <v>0.97</v>
      </c>
      <c r="R110" s="285">
        <f t="shared" si="31"/>
        <v>27051</v>
      </c>
      <c r="S110" s="284">
        <f t="shared" si="22"/>
        <v>140</v>
      </c>
    </row>
    <row r="111" spans="1:19">
      <c r="A111" s="1061" t="str">
        <f>清单!D234</f>
        <v>C-7-1-206</v>
      </c>
      <c r="B111" s="1061">
        <f>清单!F234</f>
        <v>49.17</v>
      </c>
      <c r="C111" s="285">
        <f t="shared" si="23"/>
        <v>1</v>
      </c>
      <c r="D111" s="293"/>
      <c r="E111" s="285">
        <f t="shared" si="24"/>
        <v>1</v>
      </c>
      <c r="F111" s="293"/>
      <c r="G111" s="285">
        <f t="shared" si="25"/>
        <v>1</v>
      </c>
      <c r="H111" s="293"/>
      <c r="I111" s="285">
        <f t="shared" si="26"/>
        <v>1</v>
      </c>
      <c r="J111" s="293"/>
      <c r="K111" s="285">
        <f t="shared" si="27"/>
        <v>1</v>
      </c>
      <c r="L111" s="293"/>
      <c r="M111" s="285">
        <f t="shared" si="28"/>
        <v>1</v>
      </c>
      <c r="N111" s="293"/>
      <c r="O111" s="285">
        <f t="shared" si="29"/>
        <v>1</v>
      </c>
      <c r="P111" s="291" t="s">
        <v>3024</v>
      </c>
      <c r="Q111" s="285">
        <f t="shared" si="30"/>
        <v>0.97</v>
      </c>
      <c r="R111" s="285">
        <f t="shared" si="31"/>
        <v>27051</v>
      </c>
      <c r="S111" s="284">
        <f t="shared" si="22"/>
        <v>133</v>
      </c>
    </row>
    <row r="112" spans="1:19">
      <c r="A112" s="1061" t="str">
        <f>清单!D217</f>
        <v>C-7-2-801</v>
      </c>
      <c r="B112" s="1061">
        <f>清单!F217</f>
        <v>49.17</v>
      </c>
      <c r="C112" s="285">
        <f t="shared" si="23"/>
        <v>1</v>
      </c>
      <c r="D112" s="293"/>
      <c r="E112" s="285">
        <f t="shared" si="24"/>
        <v>1</v>
      </c>
      <c r="F112" s="293"/>
      <c r="G112" s="285">
        <f t="shared" si="25"/>
        <v>1</v>
      </c>
      <c r="H112" s="293"/>
      <c r="I112" s="285">
        <f t="shared" si="26"/>
        <v>1</v>
      </c>
      <c r="J112" s="293"/>
      <c r="K112" s="285">
        <f t="shared" si="27"/>
        <v>1</v>
      </c>
      <c r="L112" s="293"/>
      <c r="M112" s="285">
        <f t="shared" si="28"/>
        <v>1</v>
      </c>
      <c r="N112" s="293"/>
      <c r="O112" s="285">
        <f t="shared" si="29"/>
        <v>1</v>
      </c>
      <c r="P112" s="291" t="s">
        <v>3022</v>
      </c>
      <c r="Q112" s="285">
        <f t="shared" si="30"/>
        <v>1</v>
      </c>
      <c r="R112" s="285">
        <f t="shared" si="31"/>
        <v>27888</v>
      </c>
      <c r="S112" s="284">
        <f t="shared" si="22"/>
        <v>137</v>
      </c>
    </row>
    <row r="113" spans="1:19">
      <c r="A113" s="1061" t="str">
        <f>清单!D236</f>
        <v>C-7-1-204</v>
      </c>
      <c r="B113" s="1061">
        <f>清单!F236</f>
        <v>49.79</v>
      </c>
      <c r="C113" s="285">
        <f t="shared" si="23"/>
        <v>1</v>
      </c>
      <c r="D113" s="293"/>
      <c r="E113" s="285">
        <f t="shared" si="24"/>
        <v>1</v>
      </c>
      <c r="F113" s="293"/>
      <c r="G113" s="285">
        <f t="shared" si="25"/>
        <v>1</v>
      </c>
      <c r="H113" s="293"/>
      <c r="I113" s="285">
        <f t="shared" si="26"/>
        <v>1</v>
      </c>
      <c r="J113" s="293"/>
      <c r="K113" s="285">
        <f t="shared" si="27"/>
        <v>1</v>
      </c>
      <c r="L113" s="293"/>
      <c r="M113" s="285">
        <f t="shared" si="28"/>
        <v>1</v>
      </c>
      <c r="N113" s="293"/>
      <c r="O113" s="285">
        <f t="shared" si="29"/>
        <v>1</v>
      </c>
      <c r="P113" s="291" t="s">
        <v>3024</v>
      </c>
      <c r="Q113" s="285">
        <f t="shared" si="30"/>
        <v>0.97</v>
      </c>
      <c r="R113" s="285">
        <f t="shared" si="31"/>
        <v>27051</v>
      </c>
      <c r="S113" s="284">
        <f t="shared" si="22"/>
        <v>135</v>
      </c>
    </row>
    <row r="114" spans="1:19">
      <c r="A114" s="1061" t="str">
        <f>清单!D237</f>
        <v>C-7-1-203</v>
      </c>
      <c r="B114" s="1061">
        <f>清单!F237</f>
        <v>51.76</v>
      </c>
      <c r="C114" s="285">
        <f t="shared" si="23"/>
        <v>1</v>
      </c>
      <c r="D114" s="293"/>
      <c r="E114" s="285">
        <f t="shared" si="24"/>
        <v>1</v>
      </c>
      <c r="F114" s="293"/>
      <c r="G114" s="285">
        <f t="shared" si="25"/>
        <v>1</v>
      </c>
      <c r="H114" s="293"/>
      <c r="I114" s="285">
        <f t="shared" si="26"/>
        <v>1</v>
      </c>
      <c r="J114" s="293"/>
      <c r="K114" s="285">
        <f t="shared" si="27"/>
        <v>1</v>
      </c>
      <c r="L114" s="293"/>
      <c r="M114" s="285">
        <f t="shared" si="28"/>
        <v>1</v>
      </c>
      <c r="N114" s="293"/>
      <c r="O114" s="285">
        <f t="shared" si="29"/>
        <v>1</v>
      </c>
      <c r="P114" s="291" t="s">
        <v>3024</v>
      </c>
      <c r="Q114" s="285">
        <f t="shared" si="30"/>
        <v>0.97</v>
      </c>
      <c r="R114" s="285">
        <f t="shared" si="31"/>
        <v>27051</v>
      </c>
      <c r="S114" s="284">
        <f t="shared" si="22"/>
        <v>140</v>
      </c>
    </row>
    <row r="115" spans="1:19">
      <c r="A115" s="1061" t="str">
        <f>清单!D220</f>
        <v>C-7-2-1004</v>
      </c>
      <c r="B115" s="1061">
        <f>清单!F220</f>
        <v>49.34</v>
      </c>
      <c r="C115" s="285">
        <f t="shared" si="23"/>
        <v>1</v>
      </c>
      <c r="D115" s="293"/>
      <c r="E115" s="285">
        <f t="shared" si="24"/>
        <v>1</v>
      </c>
      <c r="F115" s="293"/>
      <c r="G115" s="285">
        <f t="shared" si="25"/>
        <v>1</v>
      </c>
      <c r="H115" s="293"/>
      <c r="I115" s="285">
        <f t="shared" si="26"/>
        <v>1</v>
      </c>
      <c r="J115" s="293"/>
      <c r="K115" s="285">
        <f t="shared" si="27"/>
        <v>1</v>
      </c>
      <c r="L115" s="293"/>
      <c r="M115" s="285">
        <f t="shared" si="28"/>
        <v>1</v>
      </c>
      <c r="N115" s="293"/>
      <c r="O115" s="285">
        <f t="shared" si="29"/>
        <v>1</v>
      </c>
      <c r="P115" s="291" t="s">
        <v>3022</v>
      </c>
      <c r="Q115" s="285">
        <f t="shared" si="30"/>
        <v>1</v>
      </c>
      <c r="R115" s="285">
        <f t="shared" si="31"/>
        <v>27888</v>
      </c>
      <c r="S115" s="284">
        <f t="shared" si="22"/>
        <v>138</v>
      </c>
    </row>
    <row r="116" spans="1:19">
      <c r="A116" s="1061" t="str">
        <f>清单!D239</f>
        <v>C-7-1-301</v>
      </c>
      <c r="B116" s="1061">
        <f>清单!F239</f>
        <v>54.07</v>
      </c>
      <c r="C116" s="285">
        <f t="shared" si="23"/>
        <v>1</v>
      </c>
      <c r="D116" s="293"/>
      <c r="E116" s="285">
        <f t="shared" si="24"/>
        <v>1</v>
      </c>
      <c r="F116" s="293"/>
      <c r="G116" s="285">
        <f t="shared" si="25"/>
        <v>1</v>
      </c>
      <c r="H116" s="293"/>
      <c r="I116" s="285">
        <f t="shared" si="26"/>
        <v>1</v>
      </c>
      <c r="J116" s="293"/>
      <c r="K116" s="285">
        <f t="shared" si="27"/>
        <v>1</v>
      </c>
      <c r="L116" s="293"/>
      <c r="M116" s="285">
        <f t="shared" si="28"/>
        <v>1</v>
      </c>
      <c r="N116" s="293"/>
      <c r="O116" s="285">
        <f t="shared" si="29"/>
        <v>1</v>
      </c>
      <c r="P116" s="291" t="s">
        <v>3024</v>
      </c>
      <c r="Q116" s="285">
        <f t="shared" si="30"/>
        <v>0.97</v>
      </c>
      <c r="R116" s="285">
        <f t="shared" si="31"/>
        <v>27051</v>
      </c>
      <c r="S116" s="284">
        <f t="shared" si="22"/>
        <v>146</v>
      </c>
    </row>
    <row r="117" spans="1:19">
      <c r="A117" s="1061" t="str">
        <f>清单!D240</f>
        <v>C-7-1-403</v>
      </c>
      <c r="B117" s="1061">
        <f>清单!F240</f>
        <v>51.76</v>
      </c>
      <c r="C117" s="285">
        <f t="shared" si="23"/>
        <v>1</v>
      </c>
      <c r="D117" s="293"/>
      <c r="E117" s="285">
        <f t="shared" si="24"/>
        <v>1</v>
      </c>
      <c r="F117" s="293"/>
      <c r="G117" s="285">
        <f t="shared" si="25"/>
        <v>1</v>
      </c>
      <c r="H117" s="293"/>
      <c r="I117" s="285">
        <f t="shared" si="26"/>
        <v>1</v>
      </c>
      <c r="J117" s="293"/>
      <c r="K117" s="285">
        <f t="shared" si="27"/>
        <v>1</v>
      </c>
      <c r="L117" s="293"/>
      <c r="M117" s="285">
        <f t="shared" si="28"/>
        <v>1</v>
      </c>
      <c r="N117" s="293"/>
      <c r="O117" s="285">
        <f t="shared" si="29"/>
        <v>1</v>
      </c>
      <c r="P117" s="291" t="s">
        <v>3024</v>
      </c>
      <c r="Q117" s="285">
        <f t="shared" si="30"/>
        <v>0.97</v>
      </c>
      <c r="R117" s="285">
        <f t="shared" si="31"/>
        <v>27051</v>
      </c>
      <c r="S117" s="284">
        <f t="shared" si="22"/>
        <v>140</v>
      </c>
    </row>
    <row r="118" spans="1:19">
      <c r="A118" s="1061" t="str">
        <f>清单!D223</f>
        <v>C-7-2-1101</v>
      </c>
      <c r="B118" s="1061">
        <f>清单!F223</f>
        <v>49.17</v>
      </c>
      <c r="C118" s="285">
        <f t="shared" si="23"/>
        <v>1</v>
      </c>
      <c r="D118" s="293"/>
      <c r="E118" s="285">
        <f t="shared" si="24"/>
        <v>1</v>
      </c>
      <c r="F118" s="293"/>
      <c r="G118" s="285">
        <f t="shared" si="25"/>
        <v>1</v>
      </c>
      <c r="H118" s="293"/>
      <c r="I118" s="285">
        <f t="shared" si="26"/>
        <v>1</v>
      </c>
      <c r="J118" s="293"/>
      <c r="K118" s="285">
        <f t="shared" si="27"/>
        <v>1</v>
      </c>
      <c r="L118" s="293"/>
      <c r="M118" s="285">
        <f t="shared" si="28"/>
        <v>1</v>
      </c>
      <c r="N118" s="293"/>
      <c r="O118" s="285">
        <f t="shared" si="29"/>
        <v>1</v>
      </c>
      <c r="P118" s="291" t="s">
        <v>3020</v>
      </c>
      <c r="Q118" s="285">
        <f t="shared" si="30"/>
        <v>1.03</v>
      </c>
      <c r="R118" s="285">
        <f t="shared" si="31"/>
        <v>28725</v>
      </c>
      <c r="S118" s="284">
        <f t="shared" si="22"/>
        <v>141</v>
      </c>
    </row>
    <row r="119" spans="1:19">
      <c r="A119" s="1061" t="str">
        <f>清单!D242</f>
        <v>C-7-1-806</v>
      </c>
      <c r="B119" s="1061">
        <f>清单!F242</f>
        <v>49.17</v>
      </c>
      <c r="C119" s="285">
        <f t="shared" si="23"/>
        <v>1</v>
      </c>
      <c r="D119" s="293"/>
      <c r="E119" s="285">
        <f t="shared" si="24"/>
        <v>1</v>
      </c>
      <c r="F119" s="293"/>
      <c r="G119" s="285">
        <f t="shared" si="25"/>
        <v>1</v>
      </c>
      <c r="H119" s="293"/>
      <c r="I119" s="285">
        <f t="shared" si="26"/>
        <v>1</v>
      </c>
      <c r="J119" s="293"/>
      <c r="K119" s="285">
        <f t="shared" si="27"/>
        <v>1</v>
      </c>
      <c r="L119" s="293"/>
      <c r="M119" s="285">
        <f t="shared" si="28"/>
        <v>1</v>
      </c>
      <c r="N119" s="293"/>
      <c r="O119" s="285">
        <f t="shared" si="29"/>
        <v>1</v>
      </c>
      <c r="P119" s="291" t="s">
        <v>3022</v>
      </c>
      <c r="Q119" s="285">
        <f t="shared" si="30"/>
        <v>1</v>
      </c>
      <c r="R119" s="285">
        <f t="shared" si="31"/>
        <v>27888</v>
      </c>
      <c r="S119" s="284">
        <f t="shared" si="22"/>
        <v>137</v>
      </c>
    </row>
    <row r="120" spans="1:19">
      <c r="A120" s="1061" t="str">
        <f>清单!D243</f>
        <v>C-7-1-802</v>
      </c>
      <c r="B120" s="1061">
        <f>清单!F243</f>
        <v>51.67</v>
      </c>
      <c r="C120" s="285">
        <f t="shared" si="23"/>
        <v>1</v>
      </c>
      <c r="D120" s="293"/>
      <c r="E120" s="285">
        <f t="shared" si="24"/>
        <v>1</v>
      </c>
      <c r="F120" s="293"/>
      <c r="G120" s="285">
        <f t="shared" si="25"/>
        <v>1</v>
      </c>
      <c r="H120" s="293"/>
      <c r="I120" s="285">
        <f t="shared" si="26"/>
        <v>1</v>
      </c>
      <c r="J120" s="293"/>
      <c r="K120" s="285">
        <f t="shared" si="27"/>
        <v>1</v>
      </c>
      <c r="L120" s="293"/>
      <c r="M120" s="285">
        <f t="shared" si="28"/>
        <v>1</v>
      </c>
      <c r="N120" s="293"/>
      <c r="O120" s="285">
        <f t="shared" si="29"/>
        <v>1</v>
      </c>
      <c r="P120" s="291" t="s">
        <v>3022</v>
      </c>
      <c r="Q120" s="285">
        <f t="shared" si="30"/>
        <v>1</v>
      </c>
      <c r="R120" s="285">
        <f t="shared" si="31"/>
        <v>27888</v>
      </c>
      <c r="S120" s="284">
        <f t="shared" si="22"/>
        <v>144</v>
      </c>
    </row>
    <row r="121" spans="1:19">
      <c r="A121" s="1061" t="str">
        <f>清单!D226</f>
        <v>C-7-2-1301</v>
      </c>
      <c r="B121" s="1061">
        <f>清单!F226</f>
        <v>49.17</v>
      </c>
      <c r="C121" s="285">
        <f t="shared" si="23"/>
        <v>1</v>
      </c>
      <c r="D121" s="293"/>
      <c r="E121" s="285">
        <f t="shared" si="24"/>
        <v>1</v>
      </c>
      <c r="F121" s="293"/>
      <c r="G121" s="285">
        <f t="shared" si="25"/>
        <v>1</v>
      </c>
      <c r="H121" s="293"/>
      <c r="I121" s="285">
        <f t="shared" si="26"/>
        <v>1</v>
      </c>
      <c r="J121" s="293"/>
      <c r="K121" s="285">
        <f t="shared" si="27"/>
        <v>1</v>
      </c>
      <c r="L121" s="293"/>
      <c r="M121" s="285">
        <f t="shared" si="28"/>
        <v>1</v>
      </c>
      <c r="N121" s="293"/>
      <c r="O121" s="285">
        <f t="shared" si="29"/>
        <v>1</v>
      </c>
      <c r="P121" s="291" t="s">
        <v>3020</v>
      </c>
      <c r="Q121" s="285">
        <f t="shared" si="30"/>
        <v>1.03</v>
      </c>
      <c r="R121" s="285">
        <f t="shared" si="31"/>
        <v>28725</v>
      </c>
      <c r="S121" s="284">
        <f t="shared" si="22"/>
        <v>141</v>
      </c>
    </row>
    <row r="122" spans="1:19">
      <c r="A122" s="1061" t="str">
        <f>清单!D245</f>
        <v>C-7-1-1002</v>
      </c>
      <c r="B122" s="1061">
        <f>清单!F245</f>
        <v>51.67</v>
      </c>
      <c r="C122" s="285">
        <f t="shared" si="23"/>
        <v>1</v>
      </c>
      <c r="D122" s="293"/>
      <c r="E122" s="285">
        <f t="shared" si="24"/>
        <v>1</v>
      </c>
      <c r="F122" s="293"/>
      <c r="G122" s="285">
        <f t="shared" si="25"/>
        <v>1</v>
      </c>
      <c r="H122" s="293"/>
      <c r="I122" s="285">
        <f t="shared" si="26"/>
        <v>1</v>
      </c>
      <c r="J122" s="293"/>
      <c r="K122" s="285">
        <f t="shared" si="27"/>
        <v>1</v>
      </c>
      <c r="L122" s="293"/>
      <c r="M122" s="285">
        <f t="shared" si="28"/>
        <v>1</v>
      </c>
      <c r="N122" s="293"/>
      <c r="O122" s="285">
        <f t="shared" si="29"/>
        <v>1</v>
      </c>
      <c r="P122" s="291" t="s">
        <v>3022</v>
      </c>
      <c r="Q122" s="285">
        <f t="shared" si="30"/>
        <v>1</v>
      </c>
      <c r="R122" s="285">
        <f t="shared" si="31"/>
        <v>27888</v>
      </c>
      <c r="S122" s="284">
        <f t="shared" si="22"/>
        <v>144</v>
      </c>
    </row>
    <row r="123" spans="1:19">
      <c r="A123" s="1061" t="str">
        <f>清单!D246</f>
        <v>C-7-1-1106</v>
      </c>
      <c r="B123" s="1061">
        <f>清单!F246</f>
        <v>49.17</v>
      </c>
      <c r="C123" s="285">
        <f t="shared" si="23"/>
        <v>1</v>
      </c>
      <c r="D123" s="293"/>
      <c r="E123" s="285">
        <f t="shared" si="24"/>
        <v>1</v>
      </c>
      <c r="F123" s="293"/>
      <c r="G123" s="285">
        <f t="shared" si="25"/>
        <v>1</v>
      </c>
      <c r="H123" s="293"/>
      <c r="I123" s="285">
        <f t="shared" si="26"/>
        <v>1</v>
      </c>
      <c r="J123" s="293"/>
      <c r="K123" s="285">
        <f t="shared" si="27"/>
        <v>1</v>
      </c>
      <c r="L123" s="293"/>
      <c r="M123" s="285">
        <f t="shared" si="28"/>
        <v>1</v>
      </c>
      <c r="N123" s="293"/>
      <c r="O123" s="285">
        <f t="shared" si="29"/>
        <v>1</v>
      </c>
      <c r="P123" s="291" t="s">
        <v>3020</v>
      </c>
      <c r="Q123" s="285">
        <f t="shared" si="30"/>
        <v>1.03</v>
      </c>
      <c r="R123" s="285">
        <f t="shared" si="31"/>
        <v>28725</v>
      </c>
      <c r="S123" s="284">
        <f t="shared" ref="S123:S186" si="32">ROUND(R123*B123/10000,0)</f>
        <v>141</v>
      </c>
    </row>
    <row r="124" spans="1:19">
      <c r="A124" s="1061" t="str">
        <f>清单!D229</f>
        <v>C-7-2-1504</v>
      </c>
      <c r="B124" s="1061">
        <f>清单!F229</f>
        <v>49.34</v>
      </c>
      <c r="C124" s="285">
        <f t="shared" si="23"/>
        <v>1</v>
      </c>
      <c r="D124" s="293"/>
      <c r="E124" s="285">
        <f t="shared" si="24"/>
        <v>1</v>
      </c>
      <c r="F124" s="293"/>
      <c r="G124" s="285">
        <f t="shared" si="25"/>
        <v>1</v>
      </c>
      <c r="H124" s="293"/>
      <c r="I124" s="285">
        <f t="shared" si="26"/>
        <v>1</v>
      </c>
      <c r="J124" s="293"/>
      <c r="K124" s="285">
        <f t="shared" si="27"/>
        <v>1</v>
      </c>
      <c r="L124" s="293"/>
      <c r="M124" s="285">
        <f t="shared" si="28"/>
        <v>1</v>
      </c>
      <c r="N124" s="293"/>
      <c r="O124" s="285">
        <f t="shared" si="29"/>
        <v>1</v>
      </c>
      <c r="P124" s="291" t="s">
        <v>3020</v>
      </c>
      <c r="Q124" s="285">
        <f t="shared" si="30"/>
        <v>1.03</v>
      </c>
      <c r="R124" s="285">
        <f t="shared" si="31"/>
        <v>28725</v>
      </c>
      <c r="S124" s="284">
        <f t="shared" si="32"/>
        <v>142</v>
      </c>
    </row>
    <row r="125" spans="1:19">
      <c r="A125" s="1061" t="str">
        <f>清单!D248</f>
        <v>C-7-1-1102</v>
      </c>
      <c r="B125" s="1061">
        <f>清单!F248</f>
        <v>51.67</v>
      </c>
      <c r="C125" s="285">
        <f t="shared" si="23"/>
        <v>1</v>
      </c>
      <c r="D125" s="293"/>
      <c r="E125" s="285">
        <f t="shared" si="24"/>
        <v>1</v>
      </c>
      <c r="F125" s="293"/>
      <c r="G125" s="285">
        <f t="shared" si="25"/>
        <v>1</v>
      </c>
      <c r="H125" s="293"/>
      <c r="I125" s="285">
        <f t="shared" si="26"/>
        <v>1</v>
      </c>
      <c r="J125" s="293"/>
      <c r="K125" s="285">
        <f t="shared" si="27"/>
        <v>1</v>
      </c>
      <c r="L125" s="293"/>
      <c r="M125" s="285">
        <f t="shared" si="28"/>
        <v>1</v>
      </c>
      <c r="N125" s="293"/>
      <c r="O125" s="285">
        <f t="shared" si="29"/>
        <v>1</v>
      </c>
      <c r="P125" s="291" t="s">
        <v>3020</v>
      </c>
      <c r="Q125" s="285">
        <f t="shared" si="30"/>
        <v>1.03</v>
      </c>
      <c r="R125" s="285">
        <f t="shared" si="31"/>
        <v>28725</v>
      </c>
      <c r="S125" s="284">
        <f t="shared" si="32"/>
        <v>148</v>
      </c>
    </row>
    <row r="126" spans="1:19">
      <c r="A126" s="1061" t="str">
        <f>清单!D249</f>
        <v>C-7-1-1206</v>
      </c>
      <c r="B126" s="1061">
        <f>清单!F249</f>
        <v>49.17</v>
      </c>
      <c r="C126" s="285">
        <f t="shared" si="23"/>
        <v>1</v>
      </c>
      <c r="D126" s="293"/>
      <c r="E126" s="285">
        <f t="shared" si="24"/>
        <v>1</v>
      </c>
      <c r="F126" s="293"/>
      <c r="G126" s="285">
        <f t="shared" si="25"/>
        <v>1</v>
      </c>
      <c r="H126" s="293"/>
      <c r="I126" s="285">
        <f t="shared" si="26"/>
        <v>1</v>
      </c>
      <c r="J126" s="293"/>
      <c r="K126" s="285">
        <f t="shared" si="27"/>
        <v>1</v>
      </c>
      <c r="L126" s="293"/>
      <c r="M126" s="285">
        <f t="shared" si="28"/>
        <v>1</v>
      </c>
      <c r="N126" s="293"/>
      <c r="O126" s="285">
        <f t="shared" si="29"/>
        <v>1</v>
      </c>
      <c r="P126" s="291" t="s">
        <v>3020</v>
      </c>
      <c r="Q126" s="285">
        <f t="shared" si="30"/>
        <v>1.03</v>
      </c>
      <c r="R126" s="285">
        <f t="shared" si="31"/>
        <v>28725</v>
      </c>
      <c r="S126" s="284">
        <f t="shared" si="32"/>
        <v>141</v>
      </c>
    </row>
    <row r="127" spans="1:19">
      <c r="A127" s="1061" t="str">
        <f>清单!D232</f>
        <v>C-7-1-103</v>
      </c>
      <c r="B127" s="1061">
        <f>清单!F232</f>
        <v>51.76</v>
      </c>
      <c r="C127" s="285">
        <f t="shared" si="23"/>
        <v>1</v>
      </c>
      <c r="D127" s="293"/>
      <c r="E127" s="285">
        <f t="shared" si="24"/>
        <v>1</v>
      </c>
      <c r="F127" s="293"/>
      <c r="G127" s="285">
        <f t="shared" si="25"/>
        <v>1</v>
      </c>
      <c r="H127" s="293"/>
      <c r="I127" s="285">
        <f t="shared" si="26"/>
        <v>1</v>
      </c>
      <c r="J127" s="293"/>
      <c r="K127" s="285">
        <f t="shared" si="27"/>
        <v>1</v>
      </c>
      <c r="L127" s="293"/>
      <c r="M127" s="285">
        <f t="shared" si="28"/>
        <v>1</v>
      </c>
      <c r="N127" s="293"/>
      <c r="O127" s="285">
        <f t="shared" si="29"/>
        <v>1</v>
      </c>
      <c r="P127" s="291" t="s">
        <v>3024</v>
      </c>
      <c r="Q127" s="285">
        <f t="shared" si="30"/>
        <v>0.97</v>
      </c>
      <c r="R127" s="285">
        <f t="shared" si="31"/>
        <v>27051</v>
      </c>
      <c r="S127" s="284">
        <f t="shared" si="32"/>
        <v>140</v>
      </c>
    </row>
    <row r="128" spans="1:19">
      <c r="A128" s="1061" t="str">
        <f>清单!D251</f>
        <v>C-7-1-1203</v>
      </c>
      <c r="B128" s="1061">
        <f>清单!F251</f>
        <v>51.76</v>
      </c>
      <c r="C128" s="285">
        <f t="shared" si="23"/>
        <v>1</v>
      </c>
      <c r="D128" s="293"/>
      <c r="E128" s="285">
        <f t="shared" si="24"/>
        <v>1</v>
      </c>
      <c r="F128" s="293"/>
      <c r="G128" s="285">
        <f t="shared" si="25"/>
        <v>1</v>
      </c>
      <c r="H128" s="293"/>
      <c r="I128" s="285">
        <f t="shared" si="26"/>
        <v>1</v>
      </c>
      <c r="J128" s="293"/>
      <c r="K128" s="285">
        <f t="shared" si="27"/>
        <v>1</v>
      </c>
      <c r="L128" s="293"/>
      <c r="M128" s="285">
        <f t="shared" si="28"/>
        <v>1</v>
      </c>
      <c r="N128" s="293"/>
      <c r="O128" s="285">
        <f t="shared" si="29"/>
        <v>1</v>
      </c>
      <c r="P128" s="291" t="s">
        <v>3020</v>
      </c>
      <c r="Q128" s="285">
        <f t="shared" si="30"/>
        <v>1.03</v>
      </c>
      <c r="R128" s="285">
        <f t="shared" si="31"/>
        <v>28725</v>
      </c>
      <c r="S128" s="284">
        <f t="shared" si="32"/>
        <v>149</v>
      </c>
    </row>
    <row r="129" spans="1:19">
      <c r="A129" s="1061" t="str">
        <f>清单!D252</f>
        <v>C-7-1-1202</v>
      </c>
      <c r="B129" s="1061">
        <f>清单!F252</f>
        <v>51.67</v>
      </c>
      <c r="C129" s="285">
        <f t="shared" si="23"/>
        <v>1</v>
      </c>
      <c r="D129" s="293"/>
      <c r="E129" s="285">
        <f t="shared" si="24"/>
        <v>1</v>
      </c>
      <c r="F129" s="293"/>
      <c r="G129" s="285">
        <f t="shared" si="25"/>
        <v>1</v>
      </c>
      <c r="H129" s="293"/>
      <c r="I129" s="285">
        <f t="shared" si="26"/>
        <v>1</v>
      </c>
      <c r="J129" s="293"/>
      <c r="K129" s="285">
        <f t="shared" si="27"/>
        <v>1</v>
      </c>
      <c r="L129" s="293"/>
      <c r="M129" s="285">
        <f t="shared" si="28"/>
        <v>1</v>
      </c>
      <c r="N129" s="293"/>
      <c r="O129" s="285">
        <f t="shared" si="29"/>
        <v>1</v>
      </c>
      <c r="P129" s="291" t="s">
        <v>3020</v>
      </c>
      <c r="Q129" s="285">
        <f t="shared" si="30"/>
        <v>1.03</v>
      </c>
      <c r="R129" s="285">
        <f t="shared" si="31"/>
        <v>28725</v>
      </c>
      <c r="S129" s="284">
        <f t="shared" si="32"/>
        <v>148</v>
      </c>
    </row>
    <row r="130" spans="1:19">
      <c r="A130" s="1061" t="str">
        <f>清单!D235</f>
        <v>C-7-1-205</v>
      </c>
      <c r="B130" s="1061">
        <f>清单!F235</f>
        <v>49.88</v>
      </c>
      <c r="C130" s="285">
        <f t="shared" si="23"/>
        <v>1</v>
      </c>
      <c r="D130" s="293"/>
      <c r="E130" s="285">
        <f t="shared" si="24"/>
        <v>1</v>
      </c>
      <c r="F130" s="293"/>
      <c r="G130" s="285">
        <f t="shared" si="25"/>
        <v>1</v>
      </c>
      <c r="H130" s="293"/>
      <c r="I130" s="285">
        <f t="shared" si="26"/>
        <v>1</v>
      </c>
      <c r="J130" s="293"/>
      <c r="K130" s="285">
        <f t="shared" si="27"/>
        <v>1</v>
      </c>
      <c r="L130" s="293"/>
      <c r="M130" s="285">
        <f t="shared" si="28"/>
        <v>1</v>
      </c>
      <c r="N130" s="293"/>
      <c r="O130" s="285">
        <f t="shared" si="29"/>
        <v>1</v>
      </c>
      <c r="P130" s="291" t="s">
        <v>3024</v>
      </c>
      <c r="Q130" s="285">
        <f t="shared" si="30"/>
        <v>0.97</v>
      </c>
      <c r="R130" s="285">
        <f t="shared" si="31"/>
        <v>27051</v>
      </c>
      <c r="S130" s="284">
        <f t="shared" si="32"/>
        <v>135</v>
      </c>
    </row>
    <row r="131" spans="1:19">
      <c r="A131" s="1061" t="str">
        <f>清单!D254</f>
        <v>C-7-1-1303</v>
      </c>
      <c r="B131" s="1061">
        <f>清单!F254</f>
        <v>51.76</v>
      </c>
      <c r="C131" s="285">
        <f t="shared" si="23"/>
        <v>1</v>
      </c>
      <c r="D131" s="293"/>
      <c r="E131" s="285">
        <f t="shared" si="24"/>
        <v>1</v>
      </c>
      <c r="F131" s="293"/>
      <c r="G131" s="285">
        <f t="shared" si="25"/>
        <v>1</v>
      </c>
      <c r="H131" s="293"/>
      <c r="I131" s="285">
        <f t="shared" si="26"/>
        <v>1</v>
      </c>
      <c r="J131" s="293"/>
      <c r="K131" s="285">
        <f t="shared" si="27"/>
        <v>1</v>
      </c>
      <c r="L131" s="293"/>
      <c r="M131" s="285">
        <f t="shared" si="28"/>
        <v>1</v>
      </c>
      <c r="N131" s="293"/>
      <c r="O131" s="285">
        <f t="shared" si="29"/>
        <v>1</v>
      </c>
      <c r="P131" s="291" t="s">
        <v>3020</v>
      </c>
      <c r="Q131" s="285">
        <f t="shared" si="30"/>
        <v>1.03</v>
      </c>
      <c r="R131" s="285">
        <f t="shared" si="31"/>
        <v>28725</v>
      </c>
      <c r="S131" s="284">
        <f t="shared" si="32"/>
        <v>149</v>
      </c>
    </row>
    <row r="132" spans="1:19">
      <c r="A132" s="1061" t="str">
        <f>清单!D255</f>
        <v>C-7-1-1302</v>
      </c>
      <c r="B132" s="1061">
        <f>清单!F255</f>
        <v>51.67</v>
      </c>
      <c r="C132" s="285">
        <f t="shared" si="23"/>
        <v>1</v>
      </c>
      <c r="D132" s="293"/>
      <c r="E132" s="285">
        <f t="shared" si="24"/>
        <v>1</v>
      </c>
      <c r="F132" s="293"/>
      <c r="G132" s="285">
        <f t="shared" si="25"/>
        <v>1</v>
      </c>
      <c r="H132" s="293"/>
      <c r="I132" s="285">
        <f t="shared" si="26"/>
        <v>1</v>
      </c>
      <c r="J132" s="293"/>
      <c r="K132" s="285">
        <f t="shared" si="27"/>
        <v>1</v>
      </c>
      <c r="L132" s="293"/>
      <c r="M132" s="285">
        <f t="shared" si="28"/>
        <v>1</v>
      </c>
      <c r="N132" s="293"/>
      <c r="O132" s="285">
        <f t="shared" si="29"/>
        <v>1</v>
      </c>
      <c r="P132" s="291" t="s">
        <v>3020</v>
      </c>
      <c r="Q132" s="285">
        <f t="shared" si="30"/>
        <v>1.03</v>
      </c>
      <c r="R132" s="285">
        <f t="shared" si="31"/>
        <v>28725</v>
      </c>
      <c r="S132" s="284">
        <f t="shared" si="32"/>
        <v>148</v>
      </c>
    </row>
    <row r="133" spans="1:19">
      <c r="A133" s="1061" t="str">
        <f>清单!D238</f>
        <v>C-7-1-302</v>
      </c>
      <c r="B133" s="1061">
        <f>清单!F238</f>
        <v>51.67</v>
      </c>
      <c r="C133" s="285">
        <f t="shared" si="23"/>
        <v>1</v>
      </c>
      <c r="D133" s="293"/>
      <c r="E133" s="285">
        <f t="shared" si="24"/>
        <v>1</v>
      </c>
      <c r="F133" s="293"/>
      <c r="G133" s="285">
        <f t="shared" si="25"/>
        <v>1</v>
      </c>
      <c r="H133" s="293"/>
      <c r="I133" s="285">
        <f t="shared" si="26"/>
        <v>1</v>
      </c>
      <c r="J133" s="293"/>
      <c r="K133" s="285">
        <f t="shared" si="27"/>
        <v>1</v>
      </c>
      <c r="L133" s="293"/>
      <c r="M133" s="285">
        <f t="shared" si="28"/>
        <v>1</v>
      </c>
      <c r="N133" s="293"/>
      <c r="O133" s="285">
        <f t="shared" si="29"/>
        <v>1</v>
      </c>
      <c r="P133" s="291" t="s">
        <v>3024</v>
      </c>
      <c r="Q133" s="285">
        <f t="shared" si="30"/>
        <v>0.97</v>
      </c>
      <c r="R133" s="285">
        <f t="shared" si="31"/>
        <v>27051</v>
      </c>
      <c r="S133" s="284">
        <f t="shared" si="32"/>
        <v>140</v>
      </c>
    </row>
    <row r="134" spans="1:19">
      <c r="A134" s="1061" t="str">
        <f>清单!D257</f>
        <v>C-7-1-1403</v>
      </c>
      <c r="B134" s="1061">
        <f>清单!F257</f>
        <v>51.76</v>
      </c>
      <c r="C134" s="285">
        <f t="shared" si="23"/>
        <v>1</v>
      </c>
      <c r="D134" s="293"/>
      <c r="E134" s="285">
        <f t="shared" si="24"/>
        <v>1</v>
      </c>
      <c r="F134" s="293"/>
      <c r="G134" s="285">
        <f t="shared" si="25"/>
        <v>1</v>
      </c>
      <c r="H134" s="293"/>
      <c r="I134" s="285">
        <f t="shared" si="26"/>
        <v>1</v>
      </c>
      <c r="J134" s="293"/>
      <c r="K134" s="285">
        <f t="shared" si="27"/>
        <v>1</v>
      </c>
      <c r="L134" s="293"/>
      <c r="M134" s="285">
        <f t="shared" si="28"/>
        <v>1</v>
      </c>
      <c r="N134" s="293"/>
      <c r="O134" s="285">
        <f t="shared" si="29"/>
        <v>1</v>
      </c>
      <c r="P134" s="291" t="s">
        <v>3020</v>
      </c>
      <c r="Q134" s="285">
        <f t="shared" si="30"/>
        <v>1.03</v>
      </c>
      <c r="R134" s="285">
        <f t="shared" si="31"/>
        <v>28725</v>
      </c>
      <c r="S134" s="284">
        <f t="shared" si="32"/>
        <v>149</v>
      </c>
    </row>
    <row r="135" spans="1:19">
      <c r="A135" s="1061" t="str">
        <f>清单!D258</f>
        <v>C-7-1-1402</v>
      </c>
      <c r="B135" s="1061">
        <f>清单!F258</f>
        <v>51.67</v>
      </c>
      <c r="C135" s="285">
        <f t="shared" si="23"/>
        <v>1</v>
      </c>
      <c r="D135" s="293"/>
      <c r="E135" s="285">
        <f t="shared" si="24"/>
        <v>1</v>
      </c>
      <c r="F135" s="293"/>
      <c r="G135" s="285">
        <f t="shared" si="25"/>
        <v>1</v>
      </c>
      <c r="H135" s="293"/>
      <c r="I135" s="285">
        <f t="shared" si="26"/>
        <v>1</v>
      </c>
      <c r="J135" s="293"/>
      <c r="K135" s="285">
        <f t="shared" si="27"/>
        <v>1</v>
      </c>
      <c r="L135" s="293"/>
      <c r="M135" s="285">
        <f t="shared" si="28"/>
        <v>1</v>
      </c>
      <c r="N135" s="293"/>
      <c r="O135" s="285">
        <f t="shared" si="29"/>
        <v>1</v>
      </c>
      <c r="P135" s="291" t="s">
        <v>3020</v>
      </c>
      <c r="Q135" s="285">
        <f t="shared" si="30"/>
        <v>1.03</v>
      </c>
      <c r="R135" s="285">
        <f t="shared" si="31"/>
        <v>28725</v>
      </c>
      <c r="S135" s="284">
        <f t="shared" si="32"/>
        <v>148</v>
      </c>
    </row>
    <row r="136" spans="1:19">
      <c r="A136" s="1061" t="str">
        <f>清单!D241</f>
        <v>C-7-1-506</v>
      </c>
      <c r="B136" s="1061">
        <f>清单!F241</f>
        <v>49.17</v>
      </c>
      <c r="C136" s="285">
        <f t="shared" si="23"/>
        <v>1</v>
      </c>
      <c r="D136" s="293"/>
      <c r="E136" s="285">
        <f t="shared" si="24"/>
        <v>1</v>
      </c>
      <c r="F136" s="293"/>
      <c r="G136" s="285">
        <f t="shared" si="25"/>
        <v>1</v>
      </c>
      <c r="H136" s="293"/>
      <c r="I136" s="285">
        <f t="shared" si="26"/>
        <v>1</v>
      </c>
      <c r="J136" s="293"/>
      <c r="K136" s="285">
        <f t="shared" si="27"/>
        <v>1</v>
      </c>
      <c r="L136" s="293"/>
      <c r="M136" s="285">
        <f t="shared" si="28"/>
        <v>1</v>
      </c>
      <c r="N136" s="293"/>
      <c r="O136" s="285">
        <f t="shared" si="29"/>
        <v>1</v>
      </c>
      <c r="P136" s="291" t="s">
        <v>3024</v>
      </c>
      <c r="Q136" s="285">
        <f t="shared" si="30"/>
        <v>0.97</v>
      </c>
      <c r="R136" s="285">
        <f t="shared" si="31"/>
        <v>27051</v>
      </c>
      <c r="S136" s="284">
        <f t="shared" si="32"/>
        <v>133</v>
      </c>
    </row>
    <row r="137" spans="1:19">
      <c r="A137" s="1061" t="str">
        <f>清单!D260</f>
        <v>C-7-1-1506</v>
      </c>
      <c r="B137" s="1061">
        <f>清单!F260</f>
        <v>49.17</v>
      </c>
      <c r="C137" s="285">
        <f t="shared" si="23"/>
        <v>1</v>
      </c>
      <c r="D137" s="293"/>
      <c r="E137" s="285">
        <f t="shared" si="24"/>
        <v>1</v>
      </c>
      <c r="F137" s="293"/>
      <c r="G137" s="285">
        <f t="shared" si="25"/>
        <v>1</v>
      </c>
      <c r="H137" s="293"/>
      <c r="I137" s="285">
        <f t="shared" si="26"/>
        <v>1</v>
      </c>
      <c r="J137" s="293"/>
      <c r="K137" s="285">
        <f t="shared" si="27"/>
        <v>1</v>
      </c>
      <c r="L137" s="293"/>
      <c r="M137" s="285">
        <f t="shared" si="28"/>
        <v>1</v>
      </c>
      <c r="N137" s="293"/>
      <c r="O137" s="285">
        <f t="shared" si="29"/>
        <v>1</v>
      </c>
      <c r="P137" s="291" t="s">
        <v>3020</v>
      </c>
      <c r="Q137" s="285">
        <f t="shared" si="30"/>
        <v>1.03</v>
      </c>
      <c r="R137" s="285">
        <f t="shared" si="31"/>
        <v>28725</v>
      </c>
      <c r="S137" s="284">
        <f t="shared" si="32"/>
        <v>141</v>
      </c>
    </row>
    <row r="138" spans="1:19">
      <c r="A138" s="1061" t="str">
        <f>清单!D261</f>
        <v>C-7-1-1502</v>
      </c>
      <c r="B138" s="1061">
        <f>清单!F261</f>
        <v>51.67</v>
      </c>
      <c r="C138" s="285">
        <f t="shared" si="23"/>
        <v>1</v>
      </c>
      <c r="D138" s="293"/>
      <c r="E138" s="285">
        <f t="shared" si="24"/>
        <v>1</v>
      </c>
      <c r="F138" s="293"/>
      <c r="G138" s="285">
        <f t="shared" si="25"/>
        <v>1</v>
      </c>
      <c r="H138" s="293"/>
      <c r="I138" s="285">
        <f t="shared" si="26"/>
        <v>1</v>
      </c>
      <c r="J138" s="293"/>
      <c r="K138" s="285">
        <f t="shared" si="27"/>
        <v>1</v>
      </c>
      <c r="L138" s="293"/>
      <c r="M138" s="285">
        <f t="shared" si="28"/>
        <v>1</v>
      </c>
      <c r="N138" s="293"/>
      <c r="O138" s="285">
        <f t="shared" si="29"/>
        <v>1</v>
      </c>
      <c r="P138" s="291" t="s">
        <v>3020</v>
      </c>
      <c r="Q138" s="285">
        <f t="shared" si="30"/>
        <v>1.03</v>
      </c>
      <c r="R138" s="285">
        <f t="shared" si="31"/>
        <v>28725</v>
      </c>
      <c r="S138" s="284">
        <f t="shared" si="32"/>
        <v>148</v>
      </c>
    </row>
    <row r="139" spans="1:19">
      <c r="A139" s="1061" t="str">
        <f>清单!D244</f>
        <v>C-7-1-902</v>
      </c>
      <c r="B139" s="1061">
        <f>清单!F244</f>
        <v>51.67</v>
      </c>
      <c r="C139" s="285">
        <f t="shared" si="23"/>
        <v>1</v>
      </c>
      <c r="D139" s="293"/>
      <c r="E139" s="285">
        <f t="shared" si="24"/>
        <v>1</v>
      </c>
      <c r="F139" s="293"/>
      <c r="G139" s="285">
        <f t="shared" si="25"/>
        <v>1</v>
      </c>
      <c r="H139" s="293"/>
      <c r="I139" s="285">
        <f t="shared" si="26"/>
        <v>1</v>
      </c>
      <c r="J139" s="293"/>
      <c r="K139" s="285">
        <f t="shared" si="27"/>
        <v>1</v>
      </c>
      <c r="L139" s="293"/>
      <c r="M139" s="285">
        <f t="shared" si="28"/>
        <v>1</v>
      </c>
      <c r="N139" s="293"/>
      <c r="O139" s="285">
        <f t="shared" si="29"/>
        <v>1</v>
      </c>
      <c r="P139" s="291" t="s">
        <v>3022</v>
      </c>
      <c r="Q139" s="285">
        <f t="shared" si="30"/>
        <v>1</v>
      </c>
      <c r="R139" s="285">
        <f t="shared" si="31"/>
        <v>27888</v>
      </c>
      <c r="S139" s="284">
        <f t="shared" si="32"/>
        <v>144</v>
      </c>
    </row>
    <row r="140" spans="1:19">
      <c r="A140" s="1061" t="str">
        <f>清单!D263</f>
        <v>C-1-3-106</v>
      </c>
      <c r="B140" s="1061">
        <f>清单!F263</f>
        <v>50.28</v>
      </c>
      <c r="C140" s="285">
        <f t="shared" si="23"/>
        <v>1</v>
      </c>
      <c r="D140" s="293"/>
      <c r="E140" s="285">
        <f t="shared" si="24"/>
        <v>1</v>
      </c>
      <c r="F140" s="293"/>
      <c r="G140" s="285">
        <f t="shared" si="25"/>
        <v>1</v>
      </c>
      <c r="H140" s="293"/>
      <c r="I140" s="285">
        <f t="shared" si="26"/>
        <v>1</v>
      </c>
      <c r="J140" s="293"/>
      <c r="K140" s="285">
        <f t="shared" si="27"/>
        <v>1</v>
      </c>
      <c r="L140" s="293"/>
      <c r="M140" s="285">
        <f t="shared" si="28"/>
        <v>1</v>
      </c>
      <c r="N140" s="293"/>
      <c r="O140" s="285">
        <f t="shared" si="29"/>
        <v>1</v>
      </c>
      <c r="P140" s="291" t="s">
        <v>3024</v>
      </c>
      <c r="Q140" s="285">
        <f t="shared" si="30"/>
        <v>0.97</v>
      </c>
      <c r="R140" s="285">
        <f t="shared" si="31"/>
        <v>27051</v>
      </c>
      <c r="S140" s="284">
        <f t="shared" si="32"/>
        <v>136</v>
      </c>
    </row>
    <row r="141" spans="1:19">
      <c r="A141" s="1061" t="str">
        <f>清单!D264</f>
        <v>C-1-3-105</v>
      </c>
      <c r="B141" s="1061">
        <f>清单!F264</f>
        <v>64.44</v>
      </c>
      <c r="C141" s="285">
        <f t="shared" si="23"/>
        <v>0.97</v>
      </c>
      <c r="D141" s="293"/>
      <c r="E141" s="285">
        <f t="shared" si="24"/>
        <v>1</v>
      </c>
      <c r="F141" s="293"/>
      <c r="G141" s="285">
        <f t="shared" si="25"/>
        <v>1</v>
      </c>
      <c r="H141" s="293"/>
      <c r="I141" s="285">
        <f t="shared" si="26"/>
        <v>1</v>
      </c>
      <c r="J141" s="293"/>
      <c r="K141" s="285">
        <f t="shared" si="27"/>
        <v>1</v>
      </c>
      <c r="L141" s="293"/>
      <c r="M141" s="285">
        <f t="shared" si="28"/>
        <v>1</v>
      </c>
      <c r="N141" s="293"/>
      <c r="O141" s="285">
        <f t="shared" si="29"/>
        <v>1</v>
      </c>
      <c r="P141" s="291" t="s">
        <v>3024</v>
      </c>
      <c r="Q141" s="285">
        <f t="shared" si="30"/>
        <v>0.97</v>
      </c>
      <c r="R141" s="285">
        <f t="shared" si="31"/>
        <v>26240</v>
      </c>
      <c r="S141" s="284">
        <f t="shared" si="32"/>
        <v>169</v>
      </c>
    </row>
    <row r="142" spans="1:19">
      <c r="A142" s="1061" t="str">
        <f>清单!D247</f>
        <v>C-7-1-1103</v>
      </c>
      <c r="B142" s="1061">
        <f>清单!F247</f>
        <v>51.76</v>
      </c>
      <c r="C142" s="285">
        <f t="shared" si="23"/>
        <v>1</v>
      </c>
      <c r="D142" s="293"/>
      <c r="E142" s="285">
        <f t="shared" si="24"/>
        <v>1</v>
      </c>
      <c r="F142" s="293"/>
      <c r="G142" s="285">
        <f t="shared" si="25"/>
        <v>1</v>
      </c>
      <c r="H142" s="293"/>
      <c r="I142" s="285">
        <f t="shared" si="26"/>
        <v>1</v>
      </c>
      <c r="J142" s="293"/>
      <c r="K142" s="285">
        <f t="shared" si="27"/>
        <v>1</v>
      </c>
      <c r="L142" s="293"/>
      <c r="M142" s="285">
        <f t="shared" si="28"/>
        <v>1</v>
      </c>
      <c r="N142" s="293"/>
      <c r="O142" s="285">
        <f t="shared" si="29"/>
        <v>1</v>
      </c>
      <c r="P142" s="291" t="s">
        <v>3020</v>
      </c>
      <c r="Q142" s="285">
        <f t="shared" si="30"/>
        <v>1.03</v>
      </c>
      <c r="R142" s="285">
        <f t="shared" si="31"/>
        <v>28725</v>
      </c>
      <c r="S142" s="284">
        <f t="shared" si="32"/>
        <v>149</v>
      </c>
    </row>
    <row r="143" spans="1:19">
      <c r="A143" s="1061" t="str">
        <f>清单!D266</f>
        <v>C-1-3-103</v>
      </c>
      <c r="B143" s="1061">
        <f>清单!F266</f>
        <v>50.26</v>
      </c>
      <c r="C143" s="285">
        <f t="shared" si="23"/>
        <v>1</v>
      </c>
      <c r="D143" s="293"/>
      <c r="E143" s="285">
        <f t="shared" si="24"/>
        <v>1</v>
      </c>
      <c r="F143" s="293"/>
      <c r="G143" s="285">
        <f t="shared" si="25"/>
        <v>1</v>
      </c>
      <c r="H143" s="293"/>
      <c r="I143" s="285">
        <f t="shared" si="26"/>
        <v>1</v>
      </c>
      <c r="J143" s="293"/>
      <c r="K143" s="285">
        <f t="shared" si="27"/>
        <v>1</v>
      </c>
      <c r="L143" s="293"/>
      <c r="M143" s="285">
        <f t="shared" si="28"/>
        <v>1</v>
      </c>
      <c r="N143" s="293"/>
      <c r="O143" s="285">
        <f t="shared" si="29"/>
        <v>1</v>
      </c>
      <c r="P143" s="291" t="s">
        <v>3024</v>
      </c>
      <c r="Q143" s="285">
        <f t="shared" si="30"/>
        <v>0.97</v>
      </c>
      <c r="R143" s="285">
        <f t="shared" si="31"/>
        <v>27051</v>
      </c>
      <c r="S143" s="284">
        <f t="shared" si="32"/>
        <v>136</v>
      </c>
    </row>
    <row r="144" spans="1:19">
      <c r="A144" s="1061" t="str">
        <f>清单!D267</f>
        <v>C-1-3-102</v>
      </c>
      <c r="B144" s="1061">
        <f>清单!F267</f>
        <v>50.21</v>
      </c>
      <c r="C144" s="285">
        <f t="shared" si="23"/>
        <v>1</v>
      </c>
      <c r="D144" s="293"/>
      <c r="E144" s="285">
        <f t="shared" si="24"/>
        <v>1</v>
      </c>
      <c r="F144" s="293"/>
      <c r="G144" s="285">
        <f t="shared" si="25"/>
        <v>1</v>
      </c>
      <c r="H144" s="293"/>
      <c r="I144" s="285">
        <f t="shared" si="26"/>
        <v>1</v>
      </c>
      <c r="J144" s="293"/>
      <c r="K144" s="285">
        <f t="shared" si="27"/>
        <v>1</v>
      </c>
      <c r="L144" s="293"/>
      <c r="M144" s="285">
        <f t="shared" si="28"/>
        <v>1</v>
      </c>
      <c r="N144" s="293"/>
      <c r="O144" s="285">
        <f t="shared" si="29"/>
        <v>1</v>
      </c>
      <c r="P144" s="291" t="s">
        <v>3024</v>
      </c>
      <c r="Q144" s="285">
        <f t="shared" si="30"/>
        <v>0.97</v>
      </c>
      <c r="R144" s="285">
        <f t="shared" si="31"/>
        <v>27051</v>
      </c>
      <c r="S144" s="284">
        <f t="shared" si="32"/>
        <v>136</v>
      </c>
    </row>
    <row r="145" spans="1:19">
      <c r="A145" s="1061" t="str">
        <f>清单!D250</f>
        <v>C-7-1-1204</v>
      </c>
      <c r="B145" s="1061">
        <f>清单!F250</f>
        <v>49.79</v>
      </c>
      <c r="C145" s="285">
        <f t="shared" si="23"/>
        <v>1</v>
      </c>
      <c r="D145" s="293"/>
      <c r="E145" s="285">
        <f t="shared" si="24"/>
        <v>1</v>
      </c>
      <c r="F145" s="293"/>
      <c r="G145" s="285">
        <f t="shared" si="25"/>
        <v>1</v>
      </c>
      <c r="H145" s="293"/>
      <c r="I145" s="285">
        <f t="shared" si="26"/>
        <v>1</v>
      </c>
      <c r="J145" s="293"/>
      <c r="K145" s="285">
        <f t="shared" si="27"/>
        <v>1</v>
      </c>
      <c r="L145" s="293"/>
      <c r="M145" s="285">
        <f t="shared" si="28"/>
        <v>1</v>
      </c>
      <c r="N145" s="293"/>
      <c r="O145" s="285">
        <f t="shared" si="29"/>
        <v>1</v>
      </c>
      <c r="P145" s="291" t="s">
        <v>3020</v>
      </c>
      <c r="Q145" s="285">
        <f t="shared" si="30"/>
        <v>1.03</v>
      </c>
      <c r="R145" s="285">
        <f t="shared" si="31"/>
        <v>28725</v>
      </c>
      <c r="S145" s="284">
        <f t="shared" si="32"/>
        <v>143</v>
      </c>
    </row>
    <row r="146" spans="1:19">
      <c r="A146" s="1061" t="str">
        <f>清单!D269</f>
        <v>C-1-3-207</v>
      </c>
      <c r="B146" s="1061">
        <f>清单!F269</f>
        <v>50.54</v>
      </c>
      <c r="C146" s="285">
        <f t="shared" si="23"/>
        <v>1</v>
      </c>
      <c r="D146" s="293"/>
      <c r="E146" s="285">
        <f t="shared" si="24"/>
        <v>1</v>
      </c>
      <c r="F146" s="293"/>
      <c r="G146" s="285">
        <f t="shared" si="25"/>
        <v>1</v>
      </c>
      <c r="H146" s="293"/>
      <c r="I146" s="285">
        <f t="shared" si="26"/>
        <v>1</v>
      </c>
      <c r="J146" s="293"/>
      <c r="K146" s="285">
        <f t="shared" si="27"/>
        <v>1</v>
      </c>
      <c r="L146" s="293"/>
      <c r="M146" s="285">
        <f t="shared" si="28"/>
        <v>1</v>
      </c>
      <c r="N146" s="293"/>
      <c r="O146" s="285">
        <f t="shared" si="29"/>
        <v>1</v>
      </c>
      <c r="P146" s="291" t="s">
        <v>3024</v>
      </c>
      <c r="Q146" s="285">
        <f t="shared" si="30"/>
        <v>0.97</v>
      </c>
      <c r="R146" s="285">
        <f t="shared" si="31"/>
        <v>27051</v>
      </c>
      <c r="S146" s="284">
        <f t="shared" si="32"/>
        <v>137</v>
      </c>
    </row>
    <row r="147" spans="1:19">
      <c r="A147" s="1061" t="str">
        <f>清单!D270</f>
        <v>C-1-3-206</v>
      </c>
      <c r="B147" s="1061">
        <f>清单!F270</f>
        <v>50.28</v>
      </c>
      <c r="C147" s="285">
        <f t="shared" si="23"/>
        <v>1</v>
      </c>
      <c r="D147" s="293"/>
      <c r="E147" s="285">
        <f t="shared" si="24"/>
        <v>1</v>
      </c>
      <c r="F147" s="293"/>
      <c r="G147" s="285">
        <f t="shared" si="25"/>
        <v>1</v>
      </c>
      <c r="H147" s="293"/>
      <c r="I147" s="285">
        <f t="shared" si="26"/>
        <v>1</v>
      </c>
      <c r="J147" s="293"/>
      <c r="K147" s="285">
        <f t="shared" si="27"/>
        <v>1</v>
      </c>
      <c r="L147" s="293"/>
      <c r="M147" s="285">
        <f t="shared" si="28"/>
        <v>1</v>
      </c>
      <c r="N147" s="293"/>
      <c r="O147" s="285">
        <f t="shared" si="29"/>
        <v>1</v>
      </c>
      <c r="P147" s="291" t="s">
        <v>3024</v>
      </c>
      <c r="Q147" s="285">
        <f t="shared" si="30"/>
        <v>0.97</v>
      </c>
      <c r="R147" s="285">
        <f t="shared" si="31"/>
        <v>27051</v>
      </c>
      <c r="S147" s="284">
        <f t="shared" si="32"/>
        <v>136</v>
      </c>
    </row>
    <row r="148" spans="1:19">
      <c r="A148" s="1061" t="str">
        <f>清单!D253</f>
        <v>C-7-1-1304</v>
      </c>
      <c r="B148" s="1061">
        <f>清单!F253</f>
        <v>49.79</v>
      </c>
      <c r="C148" s="285">
        <f t="shared" si="23"/>
        <v>1</v>
      </c>
      <c r="D148" s="293"/>
      <c r="E148" s="285">
        <f t="shared" si="24"/>
        <v>1</v>
      </c>
      <c r="F148" s="293"/>
      <c r="G148" s="285">
        <f t="shared" si="25"/>
        <v>1</v>
      </c>
      <c r="H148" s="293"/>
      <c r="I148" s="285">
        <f t="shared" si="26"/>
        <v>1</v>
      </c>
      <c r="J148" s="293"/>
      <c r="K148" s="285">
        <f t="shared" si="27"/>
        <v>1</v>
      </c>
      <c r="L148" s="293"/>
      <c r="M148" s="285">
        <f t="shared" si="28"/>
        <v>1</v>
      </c>
      <c r="N148" s="293"/>
      <c r="O148" s="285">
        <f t="shared" si="29"/>
        <v>1</v>
      </c>
      <c r="P148" s="291" t="s">
        <v>3020</v>
      </c>
      <c r="Q148" s="285">
        <f t="shared" si="30"/>
        <v>1.03</v>
      </c>
      <c r="R148" s="285">
        <f t="shared" si="31"/>
        <v>28725</v>
      </c>
      <c r="S148" s="284">
        <f t="shared" si="32"/>
        <v>143</v>
      </c>
    </row>
    <row r="149" spans="1:19">
      <c r="A149" s="1061" t="str">
        <f>清单!D272</f>
        <v>C-1-3-204</v>
      </c>
      <c r="B149" s="1061">
        <f>清单!F272</f>
        <v>64.44</v>
      </c>
      <c r="C149" s="285">
        <f t="shared" si="23"/>
        <v>0.97</v>
      </c>
      <c r="D149" s="293"/>
      <c r="E149" s="285">
        <f t="shared" si="24"/>
        <v>1</v>
      </c>
      <c r="F149" s="293"/>
      <c r="G149" s="285">
        <f t="shared" si="25"/>
        <v>1</v>
      </c>
      <c r="H149" s="293"/>
      <c r="I149" s="285">
        <f t="shared" si="26"/>
        <v>1</v>
      </c>
      <c r="J149" s="293"/>
      <c r="K149" s="285">
        <f t="shared" si="27"/>
        <v>1</v>
      </c>
      <c r="L149" s="293"/>
      <c r="M149" s="285">
        <f t="shared" si="28"/>
        <v>1</v>
      </c>
      <c r="N149" s="293"/>
      <c r="O149" s="285">
        <f t="shared" si="29"/>
        <v>1</v>
      </c>
      <c r="P149" s="291" t="s">
        <v>3024</v>
      </c>
      <c r="Q149" s="285">
        <f t="shared" si="30"/>
        <v>0.97</v>
      </c>
      <c r="R149" s="285">
        <f t="shared" si="31"/>
        <v>26240</v>
      </c>
      <c r="S149" s="284">
        <f t="shared" si="32"/>
        <v>169</v>
      </c>
    </row>
    <row r="150" spans="1:19">
      <c r="A150" s="1061" t="str">
        <f>清单!D273</f>
        <v>C-1-3-203</v>
      </c>
      <c r="B150" s="1061">
        <f>清单!F273</f>
        <v>50.26</v>
      </c>
      <c r="C150" s="285">
        <f t="shared" si="23"/>
        <v>1</v>
      </c>
      <c r="D150" s="293"/>
      <c r="E150" s="285">
        <f t="shared" si="24"/>
        <v>1</v>
      </c>
      <c r="F150" s="293"/>
      <c r="G150" s="285">
        <f t="shared" si="25"/>
        <v>1</v>
      </c>
      <c r="H150" s="293"/>
      <c r="I150" s="285">
        <f t="shared" si="26"/>
        <v>1</v>
      </c>
      <c r="J150" s="293"/>
      <c r="K150" s="285">
        <f t="shared" si="27"/>
        <v>1</v>
      </c>
      <c r="L150" s="293"/>
      <c r="M150" s="285">
        <f t="shared" si="28"/>
        <v>1</v>
      </c>
      <c r="N150" s="293"/>
      <c r="O150" s="285">
        <f t="shared" si="29"/>
        <v>1</v>
      </c>
      <c r="P150" s="291" t="s">
        <v>3024</v>
      </c>
      <c r="Q150" s="285">
        <f t="shared" si="30"/>
        <v>0.97</v>
      </c>
      <c r="R150" s="285">
        <f t="shared" si="31"/>
        <v>27051</v>
      </c>
      <c r="S150" s="284">
        <f t="shared" si="32"/>
        <v>136</v>
      </c>
    </row>
    <row r="151" spans="1:19">
      <c r="A151" s="1061" t="str">
        <f>清单!D256</f>
        <v>C-7-1-1406</v>
      </c>
      <c r="B151" s="1061">
        <f>清单!F256</f>
        <v>49.17</v>
      </c>
      <c r="C151" s="285">
        <f t="shared" si="23"/>
        <v>1</v>
      </c>
      <c r="D151" s="293"/>
      <c r="E151" s="285">
        <f t="shared" si="24"/>
        <v>1</v>
      </c>
      <c r="F151" s="293"/>
      <c r="G151" s="285">
        <f t="shared" si="25"/>
        <v>1</v>
      </c>
      <c r="H151" s="293"/>
      <c r="I151" s="285">
        <f t="shared" si="26"/>
        <v>1</v>
      </c>
      <c r="J151" s="293"/>
      <c r="K151" s="285">
        <f t="shared" si="27"/>
        <v>1</v>
      </c>
      <c r="L151" s="293"/>
      <c r="M151" s="285">
        <f t="shared" si="28"/>
        <v>1</v>
      </c>
      <c r="N151" s="293"/>
      <c r="O151" s="285">
        <f t="shared" si="29"/>
        <v>1</v>
      </c>
      <c r="P151" s="291" t="s">
        <v>3020</v>
      </c>
      <c r="Q151" s="285">
        <f t="shared" si="30"/>
        <v>1.03</v>
      </c>
      <c r="R151" s="285">
        <f t="shared" si="31"/>
        <v>28725</v>
      </c>
      <c r="S151" s="284">
        <f t="shared" si="32"/>
        <v>141</v>
      </c>
    </row>
    <row r="152" spans="1:19">
      <c r="A152" s="1061" t="str">
        <f>清单!D275</f>
        <v>C-1-3-201</v>
      </c>
      <c r="B152" s="1061">
        <f>清单!F275</f>
        <v>49.48</v>
      </c>
      <c r="C152" s="285">
        <f t="shared" si="23"/>
        <v>1</v>
      </c>
      <c r="D152" s="293"/>
      <c r="E152" s="285">
        <f t="shared" si="24"/>
        <v>1</v>
      </c>
      <c r="F152" s="293"/>
      <c r="G152" s="285">
        <f t="shared" si="25"/>
        <v>1</v>
      </c>
      <c r="H152" s="293"/>
      <c r="I152" s="285">
        <f t="shared" si="26"/>
        <v>1</v>
      </c>
      <c r="J152" s="293"/>
      <c r="K152" s="285">
        <f t="shared" si="27"/>
        <v>1</v>
      </c>
      <c r="L152" s="293"/>
      <c r="M152" s="285">
        <f t="shared" si="28"/>
        <v>1</v>
      </c>
      <c r="N152" s="293"/>
      <c r="O152" s="285">
        <f t="shared" si="29"/>
        <v>1</v>
      </c>
      <c r="P152" s="291" t="s">
        <v>3024</v>
      </c>
      <c r="Q152" s="285">
        <f t="shared" si="30"/>
        <v>0.97</v>
      </c>
      <c r="R152" s="285">
        <f t="shared" si="31"/>
        <v>27051</v>
      </c>
      <c r="S152" s="284">
        <f t="shared" si="32"/>
        <v>134</v>
      </c>
    </row>
    <row r="153" spans="1:19">
      <c r="A153" s="1061" t="str">
        <f>清单!D276</f>
        <v>C-1-3-307</v>
      </c>
      <c r="B153" s="1061">
        <f>清单!F276</f>
        <v>50.72</v>
      </c>
      <c r="C153" s="285">
        <f t="shared" si="23"/>
        <v>1</v>
      </c>
      <c r="D153" s="293"/>
      <c r="E153" s="285">
        <f t="shared" si="24"/>
        <v>1</v>
      </c>
      <c r="F153" s="293"/>
      <c r="G153" s="285">
        <f t="shared" si="25"/>
        <v>1</v>
      </c>
      <c r="H153" s="293"/>
      <c r="I153" s="285">
        <f t="shared" si="26"/>
        <v>1</v>
      </c>
      <c r="J153" s="293"/>
      <c r="K153" s="285">
        <f t="shared" si="27"/>
        <v>1</v>
      </c>
      <c r="L153" s="293"/>
      <c r="M153" s="285">
        <f t="shared" si="28"/>
        <v>1</v>
      </c>
      <c r="N153" s="293"/>
      <c r="O153" s="285">
        <f t="shared" si="29"/>
        <v>1</v>
      </c>
      <c r="P153" s="291" t="s">
        <v>3024</v>
      </c>
      <c r="Q153" s="285">
        <f t="shared" si="30"/>
        <v>0.97</v>
      </c>
      <c r="R153" s="285">
        <f t="shared" si="31"/>
        <v>27051</v>
      </c>
      <c r="S153" s="284">
        <f t="shared" si="32"/>
        <v>137</v>
      </c>
    </row>
    <row r="154" spans="1:19">
      <c r="A154" s="1061" t="str">
        <f>清单!D259</f>
        <v>C-7-1-1401</v>
      </c>
      <c r="B154" s="1061">
        <f>清单!F259</f>
        <v>54.07</v>
      </c>
      <c r="C154" s="285">
        <f t="shared" ref="C154:C217" si="33">IF(B154="",1,(LOOKUP(B154,$3:$3,$4:$4)-LOOKUP($B$24,$3:$3,$4:$4)+100)/100)</f>
        <v>1</v>
      </c>
      <c r="D154" s="293"/>
      <c r="E154" s="285">
        <f t="shared" ref="E154:E217" si="34">(SUMIF($5:$5,D154,$6:$6)-SUMIF($5:$5,$D$24,$6:$6)+100)/100</f>
        <v>1</v>
      </c>
      <c r="F154" s="293"/>
      <c r="G154" s="285">
        <f t="shared" ref="G154:G217" si="35">(SUMIF($7:$7,F154,$8:$8)-SUMIF($7:$7,$F$24,$8:$8)+100)/100</f>
        <v>1</v>
      </c>
      <c r="H154" s="293"/>
      <c r="I154" s="285">
        <f t="shared" ref="I154:I217" si="36">(SUMIF($9:$9,H154,$10:$10)-SUMIF($9:$9,$H$24,$10:$10)+100)/100</f>
        <v>1</v>
      </c>
      <c r="J154" s="293"/>
      <c r="K154" s="285">
        <f t="shared" ref="K154:K217" si="37">(SUMIF($11:$11,J154,$12:$12)-SUMIF($11:$11,$J$24,$12:$12)+100)/100</f>
        <v>1</v>
      </c>
      <c r="L154" s="293"/>
      <c r="M154" s="285">
        <f t="shared" ref="M154:M217" si="38">(SUMIF($13:$13,L154,$14:$14)-SUMIF($13:$13,$L$24,$14:$14)+100)/100</f>
        <v>1</v>
      </c>
      <c r="N154" s="293"/>
      <c r="O154" s="285">
        <f t="shared" ref="O154:O217" si="39">(SUMIF($15:$15,N154,$16:$16)-SUMIF($15:$15,$N$24,$16:$16)+100)/100</f>
        <v>1</v>
      </c>
      <c r="P154" s="291" t="s">
        <v>3020</v>
      </c>
      <c r="Q154" s="285">
        <f t="shared" ref="Q154:Q217" si="40">(SUMIF($17:$17,P154,$18:$18)-SUMIF($17:$17,$P$24,$18:$18)+100)/100</f>
        <v>1.03</v>
      </c>
      <c r="R154" s="285">
        <f t="shared" ref="R154:R217" si="41">IF(B154="",0,ROUND($R$24*C154*E154*G154*I154*K154*M154*O154*Q154,0))</f>
        <v>28725</v>
      </c>
      <c r="S154" s="284">
        <f t="shared" si="32"/>
        <v>155</v>
      </c>
    </row>
    <row r="155" spans="1:19">
      <c r="A155" s="1061" t="str">
        <f>清单!D278</f>
        <v>C-1-3-305</v>
      </c>
      <c r="B155" s="1061">
        <f>清单!F278</f>
        <v>64.44</v>
      </c>
      <c r="C155" s="285">
        <f t="shared" si="33"/>
        <v>0.97</v>
      </c>
      <c r="D155" s="293"/>
      <c r="E155" s="285">
        <f t="shared" si="34"/>
        <v>1</v>
      </c>
      <c r="F155" s="293"/>
      <c r="G155" s="285">
        <f t="shared" si="35"/>
        <v>1</v>
      </c>
      <c r="H155" s="293"/>
      <c r="I155" s="285">
        <f t="shared" si="36"/>
        <v>1</v>
      </c>
      <c r="J155" s="293"/>
      <c r="K155" s="285">
        <f t="shared" si="37"/>
        <v>1</v>
      </c>
      <c r="L155" s="293"/>
      <c r="M155" s="285">
        <f t="shared" si="38"/>
        <v>1</v>
      </c>
      <c r="N155" s="293"/>
      <c r="O155" s="285">
        <f t="shared" si="39"/>
        <v>1</v>
      </c>
      <c r="P155" s="291" t="s">
        <v>3024</v>
      </c>
      <c r="Q155" s="285">
        <f t="shared" si="40"/>
        <v>0.97</v>
      </c>
      <c r="R155" s="285">
        <f t="shared" si="41"/>
        <v>26240</v>
      </c>
      <c r="S155" s="284">
        <f t="shared" si="32"/>
        <v>169</v>
      </c>
    </row>
    <row r="156" spans="1:19">
      <c r="A156" s="1061" t="str">
        <f>清单!D279</f>
        <v>C-1-3-304</v>
      </c>
      <c r="B156" s="1061">
        <f>清单!F279</f>
        <v>64.44</v>
      </c>
      <c r="C156" s="285">
        <f t="shared" si="33"/>
        <v>0.97</v>
      </c>
      <c r="D156" s="293"/>
      <c r="E156" s="285">
        <f t="shared" si="34"/>
        <v>1</v>
      </c>
      <c r="F156" s="293"/>
      <c r="G156" s="285">
        <f t="shared" si="35"/>
        <v>1</v>
      </c>
      <c r="H156" s="293"/>
      <c r="I156" s="285">
        <f t="shared" si="36"/>
        <v>1</v>
      </c>
      <c r="J156" s="293"/>
      <c r="K156" s="285">
        <f t="shared" si="37"/>
        <v>1</v>
      </c>
      <c r="L156" s="293"/>
      <c r="M156" s="285">
        <f t="shared" si="38"/>
        <v>1</v>
      </c>
      <c r="N156" s="293"/>
      <c r="O156" s="285">
        <f t="shared" si="39"/>
        <v>1</v>
      </c>
      <c r="P156" s="291" t="s">
        <v>3024</v>
      </c>
      <c r="Q156" s="285">
        <f t="shared" si="40"/>
        <v>0.97</v>
      </c>
      <c r="R156" s="285">
        <f t="shared" si="41"/>
        <v>26240</v>
      </c>
      <c r="S156" s="284">
        <f t="shared" si="32"/>
        <v>169</v>
      </c>
    </row>
    <row r="157" spans="1:19">
      <c r="A157" s="1061" t="str">
        <f>清单!D262</f>
        <v>C-1-3-107</v>
      </c>
      <c r="B157" s="1061">
        <f>清单!F262</f>
        <v>50.54</v>
      </c>
      <c r="C157" s="285">
        <f t="shared" si="33"/>
        <v>1</v>
      </c>
      <c r="D157" s="293"/>
      <c r="E157" s="285">
        <f t="shared" si="34"/>
        <v>1</v>
      </c>
      <c r="F157" s="293"/>
      <c r="G157" s="285">
        <f t="shared" si="35"/>
        <v>1</v>
      </c>
      <c r="H157" s="293"/>
      <c r="I157" s="285">
        <f t="shared" si="36"/>
        <v>1</v>
      </c>
      <c r="J157" s="293"/>
      <c r="K157" s="285">
        <f t="shared" si="37"/>
        <v>1</v>
      </c>
      <c r="L157" s="293"/>
      <c r="M157" s="285">
        <f t="shared" si="38"/>
        <v>1</v>
      </c>
      <c r="N157" s="293"/>
      <c r="O157" s="285">
        <f t="shared" si="39"/>
        <v>1</v>
      </c>
      <c r="P157" s="291" t="s">
        <v>3024</v>
      </c>
      <c r="Q157" s="285">
        <f t="shared" si="40"/>
        <v>0.97</v>
      </c>
      <c r="R157" s="285">
        <f t="shared" si="41"/>
        <v>27051</v>
      </c>
      <c r="S157" s="284">
        <f t="shared" si="32"/>
        <v>137</v>
      </c>
    </row>
    <row r="158" spans="1:19">
      <c r="A158" s="1061" t="str">
        <f>清单!D281</f>
        <v>C-1-3-302</v>
      </c>
      <c r="B158" s="1061">
        <f>清单!F281</f>
        <v>50.21</v>
      </c>
      <c r="C158" s="285">
        <f t="shared" si="33"/>
        <v>1</v>
      </c>
      <c r="D158" s="293"/>
      <c r="E158" s="285">
        <f t="shared" si="34"/>
        <v>1</v>
      </c>
      <c r="F158" s="293"/>
      <c r="G158" s="285">
        <f t="shared" si="35"/>
        <v>1</v>
      </c>
      <c r="H158" s="293"/>
      <c r="I158" s="285">
        <f t="shared" si="36"/>
        <v>1</v>
      </c>
      <c r="J158" s="293"/>
      <c r="K158" s="285">
        <f t="shared" si="37"/>
        <v>1</v>
      </c>
      <c r="L158" s="293"/>
      <c r="M158" s="285">
        <f t="shared" si="38"/>
        <v>1</v>
      </c>
      <c r="N158" s="293"/>
      <c r="O158" s="285">
        <f t="shared" si="39"/>
        <v>1</v>
      </c>
      <c r="P158" s="291" t="s">
        <v>3024</v>
      </c>
      <c r="Q158" s="285">
        <f t="shared" si="40"/>
        <v>0.97</v>
      </c>
      <c r="R158" s="285">
        <f t="shared" si="41"/>
        <v>27051</v>
      </c>
      <c r="S158" s="284">
        <f t="shared" si="32"/>
        <v>136</v>
      </c>
    </row>
    <row r="159" spans="1:19">
      <c r="A159" s="1061" t="str">
        <f>清单!D282</f>
        <v>C-1-3-301</v>
      </c>
      <c r="B159" s="1061">
        <f>清单!F282</f>
        <v>49.5</v>
      </c>
      <c r="C159" s="285">
        <f t="shared" si="33"/>
        <v>1</v>
      </c>
      <c r="D159" s="293"/>
      <c r="E159" s="285">
        <f t="shared" si="34"/>
        <v>1</v>
      </c>
      <c r="F159" s="293"/>
      <c r="G159" s="285">
        <f t="shared" si="35"/>
        <v>1</v>
      </c>
      <c r="H159" s="293"/>
      <c r="I159" s="285">
        <f t="shared" si="36"/>
        <v>1</v>
      </c>
      <c r="J159" s="293"/>
      <c r="K159" s="285">
        <f t="shared" si="37"/>
        <v>1</v>
      </c>
      <c r="L159" s="293"/>
      <c r="M159" s="285">
        <f t="shared" si="38"/>
        <v>1</v>
      </c>
      <c r="N159" s="293"/>
      <c r="O159" s="285">
        <f t="shared" si="39"/>
        <v>1</v>
      </c>
      <c r="P159" s="291" t="s">
        <v>3024</v>
      </c>
      <c r="Q159" s="285">
        <f t="shared" si="40"/>
        <v>0.97</v>
      </c>
      <c r="R159" s="285">
        <f t="shared" si="41"/>
        <v>27051</v>
      </c>
      <c r="S159" s="284">
        <f t="shared" si="32"/>
        <v>134</v>
      </c>
    </row>
    <row r="160" spans="1:19">
      <c r="A160" s="1061" t="str">
        <f>清单!D265</f>
        <v>C-1-3-104</v>
      </c>
      <c r="B160" s="1061">
        <f>清单!F265</f>
        <v>64.44</v>
      </c>
      <c r="C160" s="285">
        <f t="shared" si="33"/>
        <v>0.97</v>
      </c>
      <c r="D160" s="293"/>
      <c r="E160" s="285">
        <f t="shared" si="34"/>
        <v>1</v>
      </c>
      <c r="F160" s="293"/>
      <c r="G160" s="285">
        <f t="shared" si="35"/>
        <v>1</v>
      </c>
      <c r="H160" s="293"/>
      <c r="I160" s="285">
        <f t="shared" si="36"/>
        <v>1</v>
      </c>
      <c r="J160" s="293"/>
      <c r="K160" s="285">
        <f t="shared" si="37"/>
        <v>1</v>
      </c>
      <c r="L160" s="293"/>
      <c r="M160" s="285">
        <f t="shared" si="38"/>
        <v>1</v>
      </c>
      <c r="N160" s="293"/>
      <c r="O160" s="285">
        <f t="shared" si="39"/>
        <v>1</v>
      </c>
      <c r="P160" s="291" t="s">
        <v>3024</v>
      </c>
      <c r="Q160" s="285">
        <f t="shared" si="40"/>
        <v>0.97</v>
      </c>
      <c r="R160" s="285">
        <f t="shared" si="41"/>
        <v>26240</v>
      </c>
      <c r="S160" s="284">
        <f t="shared" si="32"/>
        <v>169</v>
      </c>
    </row>
    <row r="161" spans="1:19">
      <c r="A161" s="1061" t="str">
        <f>清单!D284</f>
        <v>C-1-3-406</v>
      </c>
      <c r="B161" s="1061">
        <f>清单!F284</f>
        <v>50.28</v>
      </c>
      <c r="C161" s="285">
        <f t="shared" si="33"/>
        <v>1</v>
      </c>
      <c r="D161" s="293"/>
      <c r="E161" s="285">
        <f t="shared" si="34"/>
        <v>1</v>
      </c>
      <c r="F161" s="293"/>
      <c r="G161" s="285">
        <f t="shared" si="35"/>
        <v>1</v>
      </c>
      <c r="H161" s="293"/>
      <c r="I161" s="285">
        <f t="shared" si="36"/>
        <v>1</v>
      </c>
      <c r="J161" s="293"/>
      <c r="K161" s="285">
        <f t="shared" si="37"/>
        <v>1</v>
      </c>
      <c r="L161" s="293"/>
      <c r="M161" s="285">
        <f t="shared" si="38"/>
        <v>1</v>
      </c>
      <c r="N161" s="293"/>
      <c r="O161" s="285">
        <f t="shared" si="39"/>
        <v>1</v>
      </c>
      <c r="P161" s="291" t="s">
        <v>3024</v>
      </c>
      <c r="Q161" s="285">
        <f t="shared" si="40"/>
        <v>0.97</v>
      </c>
      <c r="R161" s="285">
        <f t="shared" si="41"/>
        <v>27051</v>
      </c>
      <c r="S161" s="284">
        <f t="shared" si="32"/>
        <v>136</v>
      </c>
    </row>
    <row r="162" spans="1:19">
      <c r="A162" s="1061" t="str">
        <f>清单!D285</f>
        <v>C-1-3-405</v>
      </c>
      <c r="B162" s="1061">
        <f>清单!F285</f>
        <v>64.44</v>
      </c>
      <c r="C162" s="285">
        <f t="shared" si="33"/>
        <v>0.97</v>
      </c>
      <c r="D162" s="293"/>
      <c r="E162" s="285">
        <f t="shared" si="34"/>
        <v>1</v>
      </c>
      <c r="F162" s="293"/>
      <c r="G162" s="285">
        <f t="shared" si="35"/>
        <v>1</v>
      </c>
      <c r="H162" s="293"/>
      <c r="I162" s="285">
        <f t="shared" si="36"/>
        <v>1</v>
      </c>
      <c r="J162" s="293"/>
      <c r="K162" s="285">
        <f t="shared" si="37"/>
        <v>1</v>
      </c>
      <c r="L162" s="293"/>
      <c r="M162" s="285">
        <f t="shared" si="38"/>
        <v>1</v>
      </c>
      <c r="N162" s="293"/>
      <c r="O162" s="285">
        <f t="shared" si="39"/>
        <v>1</v>
      </c>
      <c r="P162" s="291" t="s">
        <v>3024</v>
      </c>
      <c r="Q162" s="285">
        <f t="shared" si="40"/>
        <v>0.97</v>
      </c>
      <c r="R162" s="285">
        <f t="shared" si="41"/>
        <v>26240</v>
      </c>
      <c r="S162" s="284">
        <f t="shared" si="32"/>
        <v>169</v>
      </c>
    </row>
    <row r="163" spans="1:19">
      <c r="A163" s="1061" t="str">
        <f>清单!D268</f>
        <v>C-1-3-101</v>
      </c>
      <c r="B163" s="1061">
        <f>清单!F268</f>
        <v>49.34</v>
      </c>
      <c r="C163" s="285">
        <f t="shared" si="33"/>
        <v>1</v>
      </c>
      <c r="D163" s="293"/>
      <c r="E163" s="285">
        <f t="shared" si="34"/>
        <v>1</v>
      </c>
      <c r="F163" s="293"/>
      <c r="G163" s="285">
        <f t="shared" si="35"/>
        <v>1</v>
      </c>
      <c r="H163" s="293"/>
      <c r="I163" s="285">
        <f t="shared" si="36"/>
        <v>1</v>
      </c>
      <c r="J163" s="293"/>
      <c r="K163" s="285">
        <f t="shared" si="37"/>
        <v>1</v>
      </c>
      <c r="L163" s="293"/>
      <c r="M163" s="285">
        <f t="shared" si="38"/>
        <v>1</v>
      </c>
      <c r="N163" s="293"/>
      <c r="O163" s="285">
        <f t="shared" si="39"/>
        <v>1</v>
      </c>
      <c r="P163" s="291" t="s">
        <v>3024</v>
      </c>
      <c r="Q163" s="285">
        <f t="shared" si="40"/>
        <v>0.97</v>
      </c>
      <c r="R163" s="285">
        <f t="shared" si="41"/>
        <v>27051</v>
      </c>
      <c r="S163" s="284">
        <f t="shared" si="32"/>
        <v>133</v>
      </c>
    </row>
    <row r="164" spans="1:19">
      <c r="A164" s="1061" t="str">
        <f>清单!D287</f>
        <v>C-1-3-403</v>
      </c>
      <c r="B164" s="1061">
        <f>清单!F287</f>
        <v>50.26</v>
      </c>
      <c r="C164" s="285">
        <f t="shared" si="33"/>
        <v>1</v>
      </c>
      <c r="D164" s="293"/>
      <c r="E164" s="285">
        <f t="shared" si="34"/>
        <v>1</v>
      </c>
      <c r="F164" s="293"/>
      <c r="G164" s="285">
        <f t="shared" si="35"/>
        <v>1</v>
      </c>
      <c r="H164" s="293"/>
      <c r="I164" s="285">
        <f t="shared" si="36"/>
        <v>1</v>
      </c>
      <c r="J164" s="293"/>
      <c r="K164" s="285">
        <f t="shared" si="37"/>
        <v>1</v>
      </c>
      <c r="L164" s="293"/>
      <c r="M164" s="285">
        <f t="shared" si="38"/>
        <v>1</v>
      </c>
      <c r="N164" s="293"/>
      <c r="O164" s="285">
        <f t="shared" si="39"/>
        <v>1</v>
      </c>
      <c r="P164" s="291" t="s">
        <v>3024</v>
      </c>
      <c r="Q164" s="285">
        <f t="shared" si="40"/>
        <v>0.97</v>
      </c>
      <c r="R164" s="285">
        <f t="shared" si="41"/>
        <v>27051</v>
      </c>
      <c r="S164" s="284">
        <f t="shared" si="32"/>
        <v>136</v>
      </c>
    </row>
    <row r="165" spans="1:19">
      <c r="A165" s="1061" t="str">
        <f>清单!D288</f>
        <v>C-1-3-402</v>
      </c>
      <c r="B165" s="1061">
        <f>清单!F288</f>
        <v>50.21</v>
      </c>
      <c r="C165" s="285">
        <f t="shared" si="33"/>
        <v>1</v>
      </c>
      <c r="D165" s="293"/>
      <c r="E165" s="285">
        <f t="shared" si="34"/>
        <v>1</v>
      </c>
      <c r="F165" s="293"/>
      <c r="G165" s="285">
        <f t="shared" si="35"/>
        <v>1</v>
      </c>
      <c r="H165" s="293"/>
      <c r="I165" s="285">
        <f t="shared" si="36"/>
        <v>1</v>
      </c>
      <c r="J165" s="293"/>
      <c r="K165" s="285">
        <f t="shared" si="37"/>
        <v>1</v>
      </c>
      <c r="L165" s="293"/>
      <c r="M165" s="285">
        <f t="shared" si="38"/>
        <v>1</v>
      </c>
      <c r="N165" s="293"/>
      <c r="O165" s="285">
        <f t="shared" si="39"/>
        <v>1</v>
      </c>
      <c r="P165" s="291" t="s">
        <v>3024</v>
      </c>
      <c r="Q165" s="285">
        <f t="shared" si="40"/>
        <v>0.97</v>
      </c>
      <c r="R165" s="285">
        <f t="shared" si="41"/>
        <v>27051</v>
      </c>
      <c r="S165" s="284">
        <f t="shared" si="32"/>
        <v>136</v>
      </c>
    </row>
    <row r="166" spans="1:19">
      <c r="A166" s="1061" t="str">
        <f>清单!D271</f>
        <v>C-1-3-205</v>
      </c>
      <c r="B166" s="1061">
        <f>清单!F271</f>
        <v>64.44</v>
      </c>
      <c r="C166" s="285">
        <f t="shared" si="33"/>
        <v>0.97</v>
      </c>
      <c r="D166" s="293"/>
      <c r="E166" s="285">
        <f t="shared" si="34"/>
        <v>1</v>
      </c>
      <c r="F166" s="293"/>
      <c r="G166" s="285">
        <f t="shared" si="35"/>
        <v>1</v>
      </c>
      <c r="H166" s="293"/>
      <c r="I166" s="285">
        <f t="shared" si="36"/>
        <v>1</v>
      </c>
      <c r="J166" s="293"/>
      <c r="K166" s="285">
        <f t="shared" si="37"/>
        <v>1</v>
      </c>
      <c r="L166" s="293"/>
      <c r="M166" s="285">
        <f t="shared" si="38"/>
        <v>1</v>
      </c>
      <c r="N166" s="293"/>
      <c r="O166" s="285">
        <f t="shared" si="39"/>
        <v>1</v>
      </c>
      <c r="P166" s="291" t="s">
        <v>3024</v>
      </c>
      <c r="Q166" s="285">
        <f t="shared" si="40"/>
        <v>0.97</v>
      </c>
      <c r="R166" s="285">
        <f t="shared" si="41"/>
        <v>26240</v>
      </c>
      <c r="S166" s="284">
        <f t="shared" si="32"/>
        <v>169</v>
      </c>
    </row>
    <row r="167" spans="1:19">
      <c r="A167" s="1061" t="str">
        <f>清单!D290</f>
        <v>C-1-3-507</v>
      </c>
      <c r="B167" s="1061">
        <f>清单!F290</f>
        <v>50.72</v>
      </c>
      <c r="C167" s="285">
        <f t="shared" si="33"/>
        <v>1</v>
      </c>
      <c r="D167" s="293"/>
      <c r="E167" s="285">
        <f t="shared" si="34"/>
        <v>1</v>
      </c>
      <c r="F167" s="293"/>
      <c r="G167" s="285">
        <f t="shared" si="35"/>
        <v>1</v>
      </c>
      <c r="H167" s="293"/>
      <c r="I167" s="285">
        <f t="shared" si="36"/>
        <v>1</v>
      </c>
      <c r="J167" s="293"/>
      <c r="K167" s="285">
        <f t="shared" si="37"/>
        <v>1</v>
      </c>
      <c r="L167" s="293"/>
      <c r="M167" s="285">
        <f t="shared" si="38"/>
        <v>1</v>
      </c>
      <c r="N167" s="293"/>
      <c r="O167" s="285">
        <f t="shared" si="39"/>
        <v>1</v>
      </c>
      <c r="P167" s="291" t="s">
        <v>3024</v>
      </c>
      <c r="Q167" s="285">
        <f t="shared" si="40"/>
        <v>0.97</v>
      </c>
      <c r="R167" s="285">
        <f t="shared" si="41"/>
        <v>27051</v>
      </c>
      <c r="S167" s="284">
        <f t="shared" si="32"/>
        <v>137</v>
      </c>
    </row>
    <row r="168" spans="1:19">
      <c r="A168" s="1061" t="str">
        <f>清单!D291</f>
        <v>C-1-3-506</v>
      </c>
      <c r="B168" s="1061">
        <f>清单!F291</f>
        <v>50.28</v>
      </c>
      <c r="C168" s="285">
        <f t="shared" si="33"/>
        <v>1</v>
      </c>
      <c r="D168" s="293"/>
      <c r="E168" s="285">
        <f t="shared" si="34"/>
        <v>1</v>
      </c>
      <c r="F168" s="293"/>
      <c r="G168" s="285">
        <f t="shared" si="35"/>
        <v>1</v>
      </c>
      <c r="H168" s="293"/>
      <c r="I168" s="285">
        <f t="shared" si="36"/>
        <v>1</v>
      </c>
      <c r="J168" s="293"/>
      <c r="K168" s="285">
        <f t="shared" si="37"/>
        <v>1</v>
      </c>
      <c r="L168" s="293"/>
      <c r="M168" s="285">
        <f t="shared" si="38"/>
        <v>1</v>
      </c>
      <c r="N168" s="293"/>
      <c r="O168" s="285">
        <f t="shared" si="39"/>
        <v>1</v>
      </c>
      <c r="P168" s="291" t="s">
        <v>3024</v>
      </c>
      <c r="Q168" s="285">
        <f t="shared" si="40"/>
        <v>0.97</v>
      </c>
      <c r="R168" s="285">
        <f t="shared" si="41"/>
        <v>27051</v>
      </c>
      <c r="S168" s="284">
        <f t="shared" si="32"/>
        <v>136</v>
      </c>
    </row>
    <row r="169" spans="1:19">
      <c r="A169" s="1061" t="str">
        <f>清单!D274</f>
        <v>C-1-3-202</v>
      </c>
      <c r="B169" s="1061">
        <f>清单!F274</f>
        <v>50.21</v>
      </c>
      <c r="C169" s="285">
        <f t="shared" si="33"/>
        <v>1</v>
      </c>
      <c r="D169" s="293"/>
      <c r="E169" s="285">
        <f t="shared" si="34"/>
        <v>1</v>
      </c>
      <c r="F169" s="293"/>
      <c r="G169" s="285">
        <f t="shared" si="35"/>
        <v>1</v>
      </c>
      <c r="H169" s="293"/>
      <c r="I169" s="285">
        <f t="shared" si="36"/>
        <v>1</v>
      </c>
      <c r="J169" s="293"/>
      <c r="K169" s="285">
        <f t="shared" si="37"/>
        <v>1</v>
      </c>
      <c r="L169" s="293"/>
      <c r="M169" s="285">
        <f t="shared" si="38"/>
        <v>1</v>
      </c>
      <c r="N169" s="293"/>
      <c r="O169" s="285">
        <f t="shared" si="39"/>
        <v>1</v>
      </c>
      <c r="P169" s="291" t="s">
        <v>3024</v>
      </c>
      <c r="Q169" s="285">
        <f t="shared" si="40"/>
        <v>0.97</v>
      </c>
      <c r="R169" s="285">
        <f t="shared" si="41"/>
        <v>27051</v>
      </c>
      <c r="S169" s="284">
        <f t="shared" si="32"/>
        <v>136</v>
      </c>
    </row>
    <row r="170" spans="1:19">
      <c r="A170" s="1061" t="str">
        <f>清单!D293</f>
        <v>C-1-3-503</v>
      </c>
      <c r="B170" s="1061">
        <f>清单!F293</f>
        <v>50.26</v>
      </c>
      <c r="C170" s="285">
        <f t="shared" si="33"/>
        <v>1</v>
      </c>
      <c r="D170" s="293"/>
      <c r="E170" s="285">
        <f t="shared" si="34"/>
        <v>1</v>
      </c>
      <c r="F170" s="293"/>
      <c r="G170" s="285">
        <f t="shared" si="35"/>
        <v>1</v>
      </c>
      <c r="H170" s="293"/>
      <c r="I170" s="285">
        <f t="shared" si="36"/>
        <v>1</v>
      </c>
      <c r="J170" s="293"/>
      <c r="K170" s="285">
        <f t="shared" si="37"/>
        <v>1</v>
      </c>
      <c r="L170" s="293"/>
      <c r="M170" s="285">
        <f t="shared" si="38"/>
        <v>1</v>
      </c>
      <c r="N170" s="293"/>
      <c r="O170" s="285">
        <f t="shared" si="39"/>
        <v>1</v>
      </c>
      <c r="P170" s="291" t="s">
        <v>3024</v>
      </c>
      <c r="Q170" s="285">
        <f t="shared" si="40"/>
        <v>0.97</v>
      </c>
      <c r="R170" s="285">
        <f t="shared" si="41"/>
        <v>27051</v>
      </c>
      <c r="S170" s="284">
        <f t="shared" si="32"/>
        <v>136</v>
      </c>
    </row>
    <row r="171" spans="1:19">
      <c r="A171" s="1061" t="str">
        <f>清单!D294</f>
        <v>C-1-3-502</v>
      </c>
      <c r="B171" s="1061">
        <f>清单!F294</f>
        <v>50.21</v>
      </c>
      <c r="C171" s="285">
        <f t="shared" si="33"/>
        <v>1</v>
      </c>
      <c r="D171" s="293"/>
      <c r="E171" s="285">
        <f t="shared" si="34"/>
        <v>1</v>
      </c>
      <c r="F171" s="293"/>
      <c r="G171" s="285">
        <f t="shared" si="35"/>
        <v>1</v>
      </c>
      <c r="H171" s="293"/>
      <c r="I171" s="285">
        <f t="shared" si="36"/>
        <v>1</v>
      </c>
      <c r="J171" s="293"/>
      <c r="K171" s="285">
        <f t="shared" si="37"/>
        <v>1</v>
      </c>
      <c r="L171" s="293"/>
      <c r="M171" s="285">
        <f t="shared" si="38"/>
        <v>1</v>
      </c>
      <c r="N171" s="293"/>
      <c r="O171" s="285">
        <f t="shared" si="39"/>
        <v>1</v>
      </c>
      <c r="P171" s="291" t="s">
        <v>3024</v>
      </c>
      <c r="Q171" s="285">
        <f t="shared" si="40"/>
        <v>0.97</v>
      </c>
      <c r="R171" s="285">
        <f t="shared" si="41"/>
        <v>27051</v>
      </c>
      <c r="S171" s="284">
        <f t="shared" si="32"/>
        <v>136</v>
      </c>
    </row>
    <row r="172" spans="1:19">
      <c r="A172" s="1061" t="str">
        <f>清单!D277</f>
        <v>C-1-3-306</v>
      </c>
      <c r="B172" s="1061">
        <f>清单!F277</f>
        <v>50.28</v>
      </c>
      <c r="C172" s="285">
        <f t="shared" si="33"/>
        <v>1</v>
      </c>
      <c r="D172" s="293"/>
      <c r="E172" s="285">
        <f t="shared" si="34"/>
        <v>1</v>
      </c>
      <c r="F172" s="293"/>
      <c r="G172" s="285">
        <f t="shared" si="35"/>
        <v>1</v>
      </c>
      <c r="H172" s="293"/>
      <c r="I172" s="285">
        <f t="shared" si="36"/>
        <v>1</v>
      </c>
      <c r="J172" s="293"/>
      <c r="K172" s="285">
        <f t="shared" si="37"/>
        <v>1</v>
      </c>
      <c r="L172" s="293"/>
      <c r="M172" s="285">
        <f t="shared" si="38"/>
        <v>1</v>
      </c>
      <c r="N172" s="293"/>
      <c r="O172" s="285">
        <f t="shared" si="39"/>
        <v>1</v>
      </c>
      <c r="P172" s="291" t="s">
        <v>3024</v>
      </c>
      <c r="Q172" s="285">
        <f t="shared" si="40"/>
        <v>0.97</v>
      </c>
      <c r="R172" s="285">
        <f t="shared" si="41"/>
        <v>27051</v>
      </c>
      <c r="S172" s="284">
        <f t="shared" si="32"/>
        <v>136</v>
      </c>
    </row>
    <row r="173" spans="1:19">
      <c r="A173" s="1061" t="str">
        <f>清单!D296</f>
        <v>C-1-3-607</v>
      </c>
      <c r="B173" s="1061">
        <f>清单!F296</f>
        <v>50.72</v>
      </c>
      <c r="C173" s="285">
        <f t="shared" si="33"/>
        <v>1</v>
      </c>
      <c r="D173" s="293"/>
      <c r="E173" s="285">
        <f t="shared" si="34"/>
        <v>1</v>
      </c>
      <c r="F173" s="293"/>
      <c r="G173" s="285">
        <f t="shared" si="35"/>
        <v>1</v>
      </c>
      <c r="H173" s="293"/>
      <c r="I173" s="285">
        <f t="shared" si="36"/>
        <v>1</v>
      </c>
      <c r="J173" s="293"/>
      <c r="K173" s="285">
        <f t="shared" si="37"/>
        <v>1</v>
      </c>
      <c r="L173" s="293"/>
      <c r="M173" s="285">
        <f t="shared" si="38"/>
        <v>1</v>
      </c>
      <c r="N173" s="293"/>
      <c r="O173" s="285">
        <f t="shared" si="39"/>
        <v>1</v>
      </c>
      <c r="P173" s="291" t="s">
        <v>3022</v>
      </c>
      <c r="Q173" s="285">
        <f t="shared" si="40"/>
        <v>1</v>
      </c>
      <c r="R173" s="285">
        <f t="shared" si="41"/>
        <v>27888</v>
      </c>
      <c r="S173" s="284">
        <f t="shared" si="32"/>
        <v>141</v>
      </c>
    </row>
    <row r="174" spans="1:19">
      <c r="A174" s="1061" t="str">
        <f>清单!D297</f>
        <v>C-1-3-606</v>
      </c>
      <c r="B174" s="1061">
        <f>清单!F297</f>
        <v>50.28</v>
      </c>
      <c r="C174" s="285">
        <f t="shared" si="33"/>
        <v>1</v>
      </c>
      <c r="D174" s="293"/>
      <c r="E174" s="285">
        <f t="shared" si="34"/>
        <v>1</v>
      </c>
      <c r="F174" s="293"/>
      <c r="G174" s="285">
        <f t="shared" si="35"/>
        <v>1</v>
      </c>
      <c r="H174" s="293"/>
      <c r="I174" s="285">
        <f t="shared" si="36"/>
        <v>1</v>
      </c>
      <c r="J174" s="293"/>
      <c r="K174" s="285">
        <f t="shared" si="37"/>
        <v>1</v>
      </c>
      <c r="L174" s="293"/>
      <c r="M174" s="285">
        <f t="shared" si="38"/>
        <v>1</v>
      </c>
      <c r="N174" s="293"/>
      <c r="O174" s="285">
        <f t="shared" si="39"/>
        <v>1</v>
      </c>
      <c r="P174" s="291" t="s">
        <v>3022</v>
      </c>
      <c r="Q174" s="285">
        <f t="shared" si="40"/>
        <v>1</v>
      </c>
      <c r="R174" s="285">
        <f t="shared" si="41"/>
        <v>27888</v>
      </c>
      <c r="S174" s="284">
        <f t="shared" si="32"/>
        <v>140</v>
      </c>
    </row>
    <row r="175" spans="1:19">
      <c r="A175" s="1061" t="str">
        <f>清单!D280</f>
        <v>C-1-3-303</v>
      </c>
      <c r="B175" s="1061">
        <f>清单!F280</f>
        <v>50.26</v>
      </c>
      <c r="C175" s="285">
        <f t="shared" si="33"/>
        <v>1</v>
      </c>
      <c r="D175" s="293"/>
      <c r="E175" s="285">
        <f t="shared" si="34"/>
        <v>1</v>
      </c>
      <c r="F175" s="293"/>
      <c r="G175" s="285">
        <f t="shared" si="35"/>
        <v>1</v>
      </c>
      <c r="H175" s="293"/>
      <c r="I175" s="285">
        <f t="shared" si="36"/>
        <v>1</v>
      </c>
      <c r="J175" s="293"/>
      <c r="K175" s="285">
        <f t="shared" si="37"/>
        <v>1</v>
      </c>
      <c r="L175" s="293"/>
      <c r="M175" s="285">
        <f t="shared" si="38"/>
        <v>1</v>
      </c>
      <c r="N175" s="293"/>
      <c r="O175" s="285">
        <f t="shared" si="39"/>
        <v>1</v>
      </c>
      <c r="P175" s="291" t="s">
        <v>3024</v>
      </c>
      <c r="Q175" s="285">
        <f t="shared" si="40"/>
        <v>0.97</v>
      </c>
      <c r="R175" s="285">
        <f t="shared" si="41"/>
        <v>27051</v>
      </c>
      <c r="S175" s="284">
        <f t="shared" si="32"/>
        <v>136</v>
      </c>
    </row>
    <row r="176" spans="1:19">
      <c r="A176" s="1061" t="str">
        <f>清单!D299</f>
        <v>C-1-3-604</v>
      </c>
      <c r="B176" s="1061">
        <f>清单!F299</f>
        <v>64.44</v>
      </c>
      <c r="C176" s="285">
        <f t="shared" si="33"/>
        <v>0.97</v>
      </c>
      <c r="D176" s="293"/>
      <c r="E176" s="285">
        <f t="shared" si="34"/>
        <v>1</v>
      </c>
      <c r="F176" s="293"/>
      <c r="G176" s="285">
        <f t="shared" si="35"/>
        <v>1</v>
      </c>
      <c r="H176" s="293"/>
      <c r="I176" s="285">
        <f t="shared" si="36"/>
        <v>1</v>
      </c>
      <c r="J176" s="293"/>
      <c r="K176" s="285">
        <f t="shared" si="37"/>
        <v>1</v>
      </c>
      <c r="L176" s="293"/>
      <c r="M176" s="285">
        <f t="shared" si="38"/>
        <v>1</v>
      </c>
      <c r="N176" s="293"/>
      <c r="O176" s="285">
        <f t="shared" si="39"/>
        <v>1</v>
      </c>
      <c r="P176" s="291" t="s">
        <v>3022</v>
      </c>
      <c r="Q176" s="285">
        <f t="shared" si="40"/>
        <v>1</v>
      </c>
      <c r="R176" s="285">
        <f t="shared" si="41"/>
        <v>27051</v>
      </c>
      <c r="S176" s="284">
        <f t="shared" si="32"/>
        <v>174</v>
      </c>
    </row>
    <row r="177" spans="1:19">
      <c r="A177" s="1061" t="str">
        <f>清单!D300</f>
        <v>C-1-3-603</v>
      </c>
      <c r="B177" s="1061">
        <f>清单!F300</f>
        <v>50.26</v>
      </c>
      <c r="C177" s="285">
        <f t="shared" si="33"/>
        <v>1</v>
      </c>
      <c r="D177" s="293"/>
      <c r="E177" s="285">
        <f t="shared" si="34"/>
        <v>1</v>
      </c>
      <c r="F177" s="293"/>
      <c r="G177" s="285">
        <f t="shared" si="35"/>
        <v>1</v>
      </c>
      <c r="H177" s="293"/>
      <c r="I177" s="285">
        <f t="shared" si="36"/>
        <v>1</v>
      </c>
      <c r="J177" s="293"/>
      <c r="K177" s="285">
        <f t="shared" si="37"/>
        <v>1</v>
      </c>
      <c r="L177" s="293"/>
      <c r="M177" s="285">
        <f t="shared" si="38"/>
        <v>1</v>
      </c>
      <c r="N177" s="293"/>
      <c r="O177" s="285">
        <f t="shared" si="39"/>
        <v>1</v>
      </c>
      <c r="P177" s="291" t="s">
        <v>3022</v>
      </c>
      <c r="Q177" s="285">
        <f t="shared" si="40"/>
        <v>1</v>
      </c>
      <c r="R177" s="285">
        <f t="shared" si="41"/>
        <v>27888</v>
      </c>
      <c r="S177" s="284">
        <f t="shared" si="32"/>
        <v>140</v>
      </c>
    </row>
    <row r="178" spans="1:19">
      <c r="A178" s="1061" t="str">
        <f>清单!D283</f>
        <v>C-1-3-407</v>
      </c>
      <c r="B178" s="1061">
        <f>清单!F283</f>
        <v>50.72</v>
      </c>
      <c r="C178" s="285">
        <f t="shared" si="33"/>
        <v>1</v>
      </c>
      <c r="D178" s="293"/>
      <c r="E178" s="285">
        <f t="shared" si="34"/>
        <v>1</v>
      </c>
      <c r="F178" s="293"/>
      <c r="G178" s="285">
        <f t="shared" si="35"/>
        <v>1</v>
      </c>
      <c r="H178" s="293"/>
      <c r="I178" s="285">
        <f t="shared" si="36"/>
        <v>1</v>
      </c>
      <c r="J178" s="293"/>
      <c r="K178" s="285">
        <f t="shared" si="37"/>
        <v>1</v>
      </c>
      <c r="L178" s="293"/>
      <c r="M178" s="285">
        <f t="shared" si="38"/>
        <v>1</v>
      </c>
      <c r="N178" s="293"/>
      <c r="O178" s="285">
        <f t="shared" si="39"/>
        <v>1</v>
      </c>
      <c r="P178" s="291" t="s">
        <v>3024</v>
      </c>
      <c r="Q178" s="285">
        <f t="shared" si="40"/>
        <v>0.97</v>
      </c>
      <c r="R178" s="285">
        <f t="shared" si="41"/>
        <v>27051</v>
      </c>
      <c r="S178" s="284">
        <f t="shared" si="32"/>
        <v>137</v>
      </c>
    </row>
    <row r="179" spans="1:19">
      <c r="A179" s="1061" t="str">
        <f>清单!D302</f>
        <v>C-1-3-601</v>
      </c>
      <c r="B179" s="1061">
        <f>清单!F302</f>
        <v>49.5</v>
      </c>
      <c r="C179" s="285">
        <f t="shared" si="33"/>
        <v>1</v>
      </c>
      <c r="D179" s="293"/>
      <c r="E179" s="285">
        <f t="shared" si="34"/>
        <v>1</v>
      </c>
      <c r="F179" s="293"/>
      <c r="G179" s="285">
        <f t="shared" si="35"/>
        <v>1</v>
      </c>
      <c r="H179" s="293"/>
      <c r="I179" s="285">
        <f t="shared" si="36"/>
        <v>1</v>
      </c>
      <c r="J179" s="293"/>
      <c r="K179" s="285">
        <f t="shared" si="37"/>
        <v>1</v>
      </c>
      <c r="L179" s="293"/>
      <c r="M179" s="285">
        <f t="shared" si="38"/>
        <v>1</v>
      </c>
      <c r="N179" s="293"/>
      <c r="O179" s="285">
        <f t="shared" si="39"/>
        <v>1</v>
      </c>
      <c r="P179" s="291" t="s">
        <v>3022</v>
      </c>
      <c r="Q179" s="285">
        <f t="shared" si="40"/>
        <v>1</v>
      </c>
      <c r="R179" s="285">
        <f t="shared" si="41"/>
        <v>27888</v>
      </c>
      <c r="S179" s="284">
        <f t="shared" si="32"/>
        <v>138</v>
      </c>
    </row>
    <row r="180" spans="1:19">
      <c r="A180" s="1061" t="str">
        <f>清单!D303</f>
        <v>C-1-3-707</v>
      </c>
      <c r="B180" s="1061">
        <f>清单!F303</f>
        <v>50.72</v>
      </c>
      <c r="C180" s="285">
        <f t="shared" si="33"/>
        <v>1</v>
      </c>
      <c r="D180" s="293"/>
      <c r="E180" s="285">
        <f t="shared" si="34"/>
        <v>1</v>
      </c>
      <c r="F180" s="293"/>
      <c r="G180" s="285">
        <f t="shared" si="35"/>
        <v>1</v>
      </c>
      <c r="H180" s="293"/>
      <c r="I180" s="285">
        <f t="shared" si="36"/>
        <v>1</v>
      </c>
      <c r="J180" s="293"/>
      <c r="K180" s="285">
        <f t="shared" si="37"/>
        <v>1</v>
      </c>
      <c r="L180" s="293"/>
      <c r="M180" s="285">
        <f t="shared" si="38"/>
        <v>1</v>
      </c>
      <c r="N180" s="293"/>
      <c r="O180" s="285">
        <f t="shared" si="39"/>
        <v>1</v>
      </c>
      <c r="P180" s="291" t="s">
        <v>3022</v>
      </c>
      <c r="Q180" s="285">
        <f t="shared" si="40"/>
        <v>1</v>
      </c>
      <c r="R180" s="285">
        <f t="shared" si="41"/>
        <v>27888</v>
      </c>
      <c r="S180" s="284">
        <f t="shared" si="32"/>
        <v>141</v>
      </c>
    </row>
    <row r="181" spans="1:19">
      <c r="A181" s="1061" t="str">
        <f>清单!D286</f>
        <v>C-1-3-404</v>
      </c>
      <c r="B181" s="1061">
        <f>清单!F286</f>
        <v>64.44</v>
      </c>
      <c r="C181" s="285">
        <f t="shared" si="33"/>
        <v>0.97</v>
      </c>
      <c r="D181" s="293"/>
      <c r="E181" s="285">
        <f t="shared" si="34"/>
        <v>1</v>
      </c>
      <c r="F181" s="293"/>
      <c r="G181" s="285">
        <f t="shared" si="35"/>
        <v>1</v>
      </c>
      <c r="H181" s="293"/>
      <c r="I181" s="285">
        <f t="shared" si="36"/>
        <v>1</v>
      </c>
      <c r="J181" s="293"/>
      <c r="K181" s="285">
        <f t="shared" si="37"/>
        <v>1</v>
      </c>
      <c r="L181" s="293"/>
      <c r="M181" s="285">
        <f t="shared" si="38"/>
        <v>1</v>
      </c>
      <c r="N181" s="293"/>
      <c r="O181" s="285">
        <f t="shared" si="39"/>
        <v>1</v>
      </c>
      <c r="P181" s="291" t="s">
        <v>3024</v>
      </c>
      <c r="Q181" s="285">
        <f t="shared" si="40"/>
        <v>0.97</v>
      </c>
      <c r="R181" s="285">
        <f t="shared" si="41"/>
        <v>26240</v>
      </c>
      <c r="S181" s="284">
        <f t="shared" si="32"/>
        <v>169</v>
      </c>
    </row>
    <row r="182" spans="1:19">
      <c r="A182" s="1061" t="str">
        <f>清单!D305</f>
        <v>C-1-3-705</v>
      </c>
      <c r="B182" s="1061">
        <f>清单!F305</f>
        <v>64.44</v>
      </c>
      <c r="C182" s="285">
        <f t="shared" si="33"/>
        <v>0.97</v>
      </c>
      <c r="D182" s="293"/>
      <c r="E182" s="285">
        <f t="shared" si="34"/>
        <v>1</v>
      </c>
      <c r="F182" s="293"/>
      <c r="G182" s="285">
        <f t="shared" si="35"/>
        <v>1</v>
      </c>
      <c r="H182" s="293"/>
      <c r="I182" s="285">
        <f t="shared" si="36"/>
        <v>1</v>
      </c>
      <c r="J182" s="293"/>
      <c r="K182" s="285">
        <f t="shared" si="37"/>
        <v>1</v>
      </c>
      <c r="L182" s="293"/>
      <c r="M182" s="285">
        <f t="shared" si="38"/>
        <v>1</v>
      </c>
      <c r="N182" s="293"/>
      <c r="O182" s="285">
        <f t="shared" si="39"/>
        <v>1</v>
      </c>
      <c r="P182" s="291" t="s">
        <v>3022</v>
      </c>
      <c r="Q182" s="285">
        <f t="shared" si="40"/>
        <v>1</v>
      </c>
      <c r="R182" s="285">
        <f t="shared" si="41"/>
        <v>27051</v>
      </c>
      <c r="S182" s="284">
        <f t="shared" si="32"/>
        <v>174</v>
      </c>
    </row>
    <row r="183" spans="1:19">
      <c r="A183" s="1061" t="str">
        <f>清单!D306</f>
        <v>C-1-3-703</v>
      </c>
      <c r="B183" s="1061">
        <f>清单!F306</f>
        <v>50.26</v>
      </c>
      <c r="C183" s="285">
        <f t="shared" si="33"/>
        <v>1</v>
      </c>
      <c r="D183" s="293"/>
      <c r="E183" s="285">
        <f t="shared" si="34"/>
        <v>1</v>
      </c>
      <c r="F183" s="293"/>
      <c r="G183" s="285">
        <f t="shared" si="35"/>
        <v>1</v>
      </c>
      <c r="H183" s="293"/>
      <c r="I183" s="285">
        <f t="shared" si="36"/>
        <v>1</v>
      </c>
      <c r="J183" s="293"/>
      <c r="K183" s="285">
        <f t="shared" si="37"/>
        <v>1</v>
      </c>
      <c r="L183" s="293"/>
      <c r="M183" s="285">
        <f t="shared" si="38"/>
        <v>1</v>
      </c>
      <c r="N183" s="293"/>
      <c r="O183" s="285">
        <f t="shared" si="39"/>
        <v>1</v>
      </c>
      <c r="P183" s="291" t="s">
        <v>3022</v>
      </c>
      <c r="Q183" s="285">
        <f t="shared" si="40"/>
        <v>1</v>
      </c>
      <c r="R183" s="285">
        <f t="shared" si="41"/>
        <v>27888</v>
      </c>
      <c r="S183" s="284">
        <f t="shared" si="32"/>
        <v>140</v>
      </c>
    </row>
    <row r="184" spans="1:19">
      <c r="A184" s="1061" t="str">
        <f>清单!D289</f>
        <v>C-1-3-401</v>
      </c>
      <c r="B184" s="1061">
        <f>清单!F289</f>
        <v>49.5</v>
      </c>
      <c r="C184" s="285">
        <f t="shared" si="33"/>
        <v>1</v>
      </c>
      <c r="D184" s="293"/>
      <c r="E184" s="285">
        <f t="shared" si="34"/>
        <v>1</v>
      </c>
      <c r="F184" s="293"/>
      <c r="G184" s="285">
        <f t="shared" si="35"/>
        <v>1</v>
      </c>
      <c r="H184" s="293"/>
      <c r="I184" s="285">
        <f t="shared" si="36"/>
        <v>1</v>
      </c>
      <c r="J184" s="293"/>
      <c r="K184" s="285">
        <f t="shared" si="37"/>
        <v>1</v>
      </c>
      <c r="L184" s="293"/>
      <c r="M184" s="285">
        <f t="shared" si="38"/>
        <v>1</v>
      </c>
      <c r="N184" s="293"/>
      <c r="O184" s="285">
        <f t="shared" si="39"/>
        <v>1</v>
      </c>
      <c r="P184" s="291" t="s">
        <v>3024</v>
      </c>
      <c r="Q184" s="285">
        <f t="shared" si="40"/>
        <v>0.97</v>
      </c>
      <c r="R184" s="285">
        <f t="shared" si="41"/>
        <v>27051</v>
      </c>
      <c r="S184" s="284">
        <f t="shared" si="32"/>
        <v>134</v>
      </c>
    </row>
    <row r="185" spans="1:19">
      <c r="A185" s="1061" t="str">
        <f>清单!D308</f>
        <v>C-1-3-701</v>
      </c>
      <c r="B185" s="1061">
        <f>清单!F308</f>
        <v>49.5</v>
      </c>
      <c r="C185" s="285">
        <f t="shared" si="33"/>
        <v>1</v>
      </c>
      <c r="D185" s="293"/>
      <c r="E185" s="285">
        <f t="shared" si="34"/>
        <v>1</v>
      </c>
      <c r="F185" s="293"/>
      <c r="G185" s="285">
        <f t="shared" si="35"/>
        <v>1</v>
      </c>
      <c r="H185" s="293"/>
      <c r="I185" s="285">
        <f t="shared" si="36"/>
        <v>1</v>
      </c>
      <c r="J185" s="293"/>
      <c r="K185" s="285">
        <f t="shared" si="37"/>
        <v>1</v>
      </c>
      <c r="L185" s="293"/>
      <c r="M185" s="285">
        <f t="shared" si="38"/>
        <v>1</v>
      </c>
      <c r="N185" s="293"/>
      <c r="O185" s="285">
        <f t="shared" si="39"/>
        <v>1</v>
      </c>
      <c r="P185" s="291" t="s">
        <v>3022</v>
      </c>
      <c r="Q185" s="285">
        <f t="shared" si="40"/>
        <v>1</v>
      </c>
      <c r="R185" s="285">
        <f t="shared" si="41"/>
        <v>27888</v>
      </c>
      <c r="S185" s="284">
        <f t="shared" si="32"/>
        <v>138</v>
      </c>
    </row>
    <row r="186" spans="1:19">
      <c r="A186" s="1061" t="str">
        <f>清单!D309</f>
        <v>C-1-3-807</v>
      </c>
      <c r="B186" s="1061">
        <f>清单!F309</f>
        <v>50.72</v>
      </c>
      <c r="C186" s="285">
        <f t="shared" si="33"/>
        <v>1</v>
      </c>
      <c r="D186" s="293"/>
      <c r="E186" s="285">
        <f t="shared" si="34"/>
        <v>1</v>
      </c>
      <c r="F186" s="293"/>
      <c r="G186" s="285">
        <f t="shared" si="35"/>
        <v>1</v>
      </c>
      <c r="H186" s="293"/>
      <c r="I186" s="285">
        <f t="shared" si="36"/>
        <v>1</v>
      </c>
      <c r="J186" s="293"/>
      <c r="K186" s="285">
        <f t="shared" si="37"/>
        <v>1</v>
      </c>
      <c r="L186" s="293"/>
      <c r="M186" s="285">
        <f t="shared" si="38"/>
        <v>1</v>
      </c>
      <c r="N186" s="293"/>
      <c r="O186" s="285">
        <f t="shared" si="39"/>
        <v>1</v>
      </c>
      <c r="P186" s="291" t="s">
        <v>3022</v>
      </c>
      <c r="Q186" s="285">
        <f t="shared" si="40"/>
        <v>1</v>
      </c>
      <c r="R186" s="285">
        <f t="shared" si="41"/>
        <v>27888</v>
      </c>
      <c r="S186" s="284">
        <f t="shared" si="32"/>
        <v>141</v>
      </c>
    </row>
    <row r="187" spans="1:19">
      <c r="A187" s="1061" t="str">
        <f>清单!D292</f>
        <v>C-1-3-504</v>
      </c>
      <c r="B187" s="1061">
        <f>清单!F292</f>
        <v>64.44</v>
      </c>
      <c r="C187" s="285">
        <f t="shared" si="33"/>
        <v>0.97</v>
      </c>
      <c r="D187" s="293"/>
      <c r="E187" s="285">
        <f t="shared" si="34"/>
        <v>1</v>
      </c>
      <c r="F187" s="293"/>
      <c r="G187" s="285">
        <f t="shared" si="35"/>
        <v>1</v>
      </c>
      <c r="H187" s="293"/>
      <c r="I187" s="285">
        <f t="shared" si="36"/>
        <v>1</v>
      </c>
      <c r="J187" s="293"/>
      <c r="K187" s="285">
        <f t="shared" si="37"/>
        <v>1</v>
      </c>
      <c r="L187" s="293"/>
      <c r="M187" s="285">
        <f t="shared" si="38"/>
        <v>1</v>
      </c>
      <c r="N187" s="293"/>
      <c r="O187" s="285">
        <f t="shared" si="39"/>
        <v>1</v>
      </c>
      <c r="P187" s="291" t="s">
        <v>3024</v>
      </c>
      <c r="Q187" s="285">
        <f t="shared" si="40"/>
        <v>0.97</v>
      </c>
      <c r="R187" s="285">
        <f t="shared" si="41"/>
        <v>26240</v>
      </c>
      <c r="S187" s="284">
        <f t="shared" ref="S187:S222" si="42">ROUND(R187*B187/10000,0)</f>
        <v>169</v>
      </c>
    </row>
    <row r="188" spans="1:19">
      <c r="A188" s="1061" t="str">
        <f>清单!D311</f>
        <v>C-1-3-805</v>
      </c>
      <c r="B188" s="1061">
        <f>清单!F311</f>
        <v>64.44</v>
      </c>
      <c r="C188" s="285">
        <f t="shared" si="33"/>
        <v>0.97</v>
      </c>
      <c r="D188" s="293"/>
      <c r="E188" s="285">
        <f t="shared" si="34"/>
        <v>1</v>
      </c>
      <c r="F188" s="293"/>
      <c r="G188" s="285">
        <f t="shared" si="35"/>
        <v>1</v>
      </c>
      <c r="H188" s="293"/>
      <c r="I188" s="285">
        <f t="shared" si="36"/>
        <v>1</v>
      </c>
      <c r="J188" s="293"/>
      <c r="K188" s="285">
        <f t="shared" si="37"/>
        <v>1</v>
      </c>
      <c r="L188" s="293"/>
      <c r="M188" s="285">
        <f t="shared" si="38"/>
        <v>1</v>
      </c>
      <c r="N188" s="293"/>
      <c r="O188" s="285">
        <f t="shared" si="39"/>
        <v>1</v>
      </c>
      <c r="P188" s="291" t="s">
        <v>3022</v>
      </c>
      <c r="Q188" s="285">
        <f t="shared" si="40"/>
        <v>1</v>
      </c>
      <c r="R188" s="285">
        <f t="shared" si="41"/>
        <v>27051</v>
      </c>
      <c r="S188" s="284">
        <f t="shared" si="42"/>
        <v>174</v>
      </c>
    </row>
    <row r="189" spans="1:19">
      <c r="A189" s="1061" t="str">
        <f>清单!D312</f>
        <v>C-1-3-804</v>
      </c>
      <c r="B189" s="1061">
        <f>清单!F312</f>
        <v>64.44</v>
      </c>
      <c r="C189" s="285">
        <f t="shared" si="33"/>
        <v>0.97</v>
      </c>
      <c r="D189" s="293"/>
      <c r="E189" s="285">
        <f t="shared" si="34"/>
        <v>1</v>
      </c>
      <c r="F189" s="293"/>
      <c r="G189" s="285">
        <f t="shared" si="35"/>
        <v>1</v>
      </c>
      <c r="H189" s="293"/>
      <c r="I189" s="285">
        <f t="shared" si="36"/>
        <v>1</v>
      </c>
      <c r="J189" s="293"/>
      <c r="K189" s="285">
        <f t="shared" si="37"/>
        <v>1</v>
      </c>
      <c r="L189" s="293"/>
      <c r="M189" s="285">
        <f t="shared" si="38"/>
        <v>1</v>
      </c>
      <c r="N189" s="293"/>
      <c r="O189" s="285">
        <f t="shared" si="39"/>
        <v>1</v>
      </c>
      <c r="P189" s="291" t="s">
        <v>3022</v>
      </c>
      <c r="Q189" s="285">
        <f t="shared" si="40"/>
        <v>1</v>
      </c>
      <c r="R189" s="285">
        <f t="shared" si="41"/>
        <v>27051</v>
      </c>
      <c r="S189" s="284">
        <f t="shared" si="42"/>
        <v>174</v>
      </c>
    </row>
    <row r="190" spans="1:19">
      <c r="A190" s="1061" t="str">
        <f>清单!D295</f>
        <v>C-1-3-501</v>
      </c>
      <c r="B190" s="1061">
        <f>清单!F295</f>
        <v>49.5</v>
      </c>
      <c r="C190" s="285">
        <f t="shared" si="33"/>
        <v>1</v>
      </c>
      <c r="D190" s="293"/>
      <c r="E190" s="285">
        <f t="shared" si="34"/>
        <v>1</v>
      </c>
      <c r="F190" s="293"/>
      <c r="G190" s="285">
        <f t="shared" si="35"/>
        <v>1</v>
      </c>
      <c r="H190" s="293"/>
      <c r="I190" s="285">
        <f t="shared" si="36"/>
        <v>1</v>
      </c>
      <c r="J190" s="293"/>
      <c r="K190" s="285">
        <f t="shared" si="37"/>
        <v>1</v>
      </c>
      <c r="L190" s="293"/>
      <c r="M190" s="285">
        <f t="shared" si="38"/>
        <v>1</v>
      </c>
      <c r="N190" s="293"/>
      <c r="O190" s="285">
        <f t="shared" si="39"/>
        <v>1</v>
      </c>
      <c r="P190" s="291" t="s">
        <v>3024</v>
      </c>
      <c r="Q190" s="285">
        <f t="shared" si="40"/>
        <v>0.97</v>
      </c>
      <c r="R190" s="285">
        <f t="shared" si="41"/>
        <v>27051</v>
      </c>
      <c r="S190" s="284">
        <f t="shared" si="42"/>
        <v>134</v>
      </c>
    </row>
    <row r="191" spans="1:19">
      <c r="A191" s="1061" t="str">
        <f>清单!D314</f>
        <v>C-1-3-802</v>
      </c>
      <c r="B191" s="1061">
        <f>清单!F314</f>
        <v>50.21</v>
      </c>
      <c r="C191" s="285">
        <f t="shared" si="33"/>
        <v>1</v>
      </c>
      <c r="D191" s="293"/>
      <c r="E191" s="285">
        <f t="shared" si="34"/>
        <v>1</v>
      </c>
      <c r="F191" s="293"/>
      <c r="G191" s="285">
        <f t="shared" si="35"/>
        <v>1</v>
      </c>
      <c r="H191" s="293"/>
      <c r="I191" s="285">
        <f t="shared" si="36"/>
        <v>1</v>
      </c>
      <c r="J191" s="293"/>
      <c r="K191" s="285">
        <f t="shared" si="37"/>
        <v>1</v>
      </c>
      <c r="L191" s="293"/>
      <c r="M191" s="285">
        <f t="shared" si="38"/>
        <v>1</v>
      </c>
      <c r="N191" s="293"/>
      <c r="O191" s="285">
        <f t="shared" si="39"/>
        <v>1</v>
      </c>
      <c r="P191" s="291" t="s">
        <v>3022</v>
      </c>
      <c r="Q191" s="285">
        <f t="shared" si="40"/>
        <v>1</v>
      </c>
      <c r="R191" s="285">
        <f t="shared" si="41"/>
        <v>27888</v>
      </c>
      <c r="S191" s="284">
        <f t="shared" si="42"/>
        <v>140</v>
      </c>
    </row>
    <row r="192" spans="1:19">
      <c r="A192" s="1061" t="str">
        <f>清单!D315</f>
        <v>C-1-3-801</v>
      </c>
      <c r="B192" s="1061">
        <f>清单!F315</f>
        <v>49.5</v>
      </c>
      <c r="C192" s="285">
        <f t="shared" si="33"/>
        <v>1</v>
      </c>
      <c r="D192" s="293"/>
      <c r="E192" s="285">
        <f t="shared" si="34"/>
        <v>1</v>
      </c>
      <c r="F192" s="293"/>
      <c r="G192" s="285">
        <f t="shared" si="35"/>
        <v>1</v>
      </c>
      <c r="H192" s="293"/>
      <c r="I192" s="285">
        <f t="shared" si="36"/>
        <v>1</v>
      </c>
      <c r="J192" s="293"/>
      <c r="K192" s="285">
        <f t="shared" si="37"/>
        <v>1</v>
      </c>
      <c r="L192" s="293"/>
      <c r="M192" s="285">
        <f t="shared" si="38"/>
        <v>1</v>
      </c>
      <c r="N192" s="293"/>
      <c r="O192" s="285">
        <f t="shared" si="39"/>
        <v>1</v>
      </c>
      <c r="P192" s="291" t="s">
        <v>3022</v>
      </c>
      <c r="Q192" s="285">
        <f t="shared" si="40"/>
        <v>1</v>
      </c>
      <c r="R192" s="285">
        <f t="shared" si="41"/>
        <v>27888</v>
      </c>
      <c r="S192" s="284">
        <f t="shared" si="42"/>
        <v>138</v>
      </c>
    </row>
    <row r="193" spans="1:19">
      <c r="A193" s="1061" t="str">
        <f>清单!D298</f>
        <v>C-1-3-605</v>
      </c>
      <c r="B193" s="1061">
        <f>清单!F298</f>
        <v>64.44</v>
      </c>
      <c r="C193" s="285">
        <f t="shared" si="33"/>
        <v>0.97</v>
      </c>
      <c r="D193" s="293"/>
      <c r="E193" s="285">
        <f t="shared" si="34"/>
        <v>1</v>
      </c>
      <c r="F193" s="293"/>
      <c r="G193" s="285">
        <f t="shared" si="35"/>
        <v>1</v>
      </c>
      <c r="H193" s="293"/>
      <c r="I193" s="285">
        <f t="shared" si="36"/>
        <v>1</v>
      </c>
      <c r="J193" s="293"/>
      <c r="K193" s="285">
        <f t="shared" si="37"/>
        <v>1</v>
      </c>
      <c r="L193" s="293"/>
      <c r="M193" s="285">
        <f t="shared" si="38"/>
        <v>1</v>
      </c>
      <c r="N193" s="293"/>
      <c r="O193" s="285">
        <f t="shared" si="39"/>
        <v>1</v>
      </c>
      <c r="P193" s="291" t="s">
        <v>3022</v>
      </c>
      <c r="Q193" s="285">
        <f t="shared" si="40"/>
        <v>1</v>
      </c>
      <c r="R193" s="285">
        <f t="shared" si="41"/>
        <v>27051</v>
      </c>
      <c r="S193" s="284">
        <f t="shared" si="42"/>
        <v>174</v>
      </c>
    </row>
    <row r="194" spans="1:19">
      <c r="A194" s="1061" t="str">
        <f>清单!D317</f>
        <v>C-1-3-906</v>
      </c>
      <c r="B194" s="1061">
        <f>清单!F317</f>
        <v>50.28</v>
      </c>
      <c r="C194" s="285">
        <f t="shared" si="33"/>
        <v>1</v>
      </c>
      <c r="D194" s="293"/>
      <c r="E194" s="285">
        <f t="shared" si="34"/>
        <v>1</v>
      </c>
      <c r="F194" s="293"/>
      <c r="G194" s="285">
        <f t="shared" si="35"/>
        <v>1</v>
      </c>
      <c r="H194" s="293"/>
      <c r="I194" s="285">
        <f t="shared" si="36"/>
        <v>1</v>
      </c>
      <c r="J194" s="293"/>
      <c r="K194" s="285">
        <f t="shared" si="37"/>
        <v>1</v>
      </c>
      <c r="L194" s="293"/>
      <c r="M194" s="285">
        <f t="shared" si="38"/>
        <v>1</v>
      </c>
      <c r="N194" s="293"/>
      <c r="O194" s="285">
        <f t="shared" si="39"/>
        <v>1</v>
      </c>
      <c r="P194" s="291" t="s">
        <v>3022</v>
      </c>
      <c r="Q194" s="285">
        <f t="shared" si="40"/>
        <v>1</v>
      </c>
      <c r="R194" s="285">
        <f t="shared" si="41"/>
        <v>27888</v>
      </c>
      <c r="S194" s="284">
        <f t="shared" si="42"/>
        <v>140</v>
      </c>
    </row>
    <row r="195" spans="1:19">
      <c r="A195" s="1061" t="str">
        <f>清单!D318</f>
        <v>C-1-3-905</v>
      </c>
      <c r="B195" s="1061">
        <f>清单!F318</f>
        <v>64.44</v>
      </c>
      <c r="C195" s="285">
        <f t="shared" si="33"/>
        <v>0.97</v>
      </c>
      <c r="D195" s="293"/>
      <c r="E195" s="285">
        <f t="shared" si="34"/>
        <v>1</v>
      </c>
      <c r="F195" s="293"/>
      <c r="G195" s="285">
        <f t="shared" si="35"/>
        <v>1</v>
      </c>
      <c r="H195" s="293"/>
      <c r="I195" s="285">
        <f t="shared" si="36"/>
        <v>1</v>
      </c>
      <c r="J195" s="293"/>
      <c r="K195" s="285">
        <f t="shared" si="37"/>
        <v>1</v>
      </c>
      <c r="L195" s="293"/>
      <c r="M195" s="285">
        <f t="shared" si="38"/>
        <v>1</v>
      </c>
      <c r="N195" s="293"/>
      <c r="O195" s="285">
        <f t="shared" si="39"/>
        <v>1</v>
      </c>
      <c r="P195" s="291" t="s">
        <v>3022</v>
      </c>
      <c r="Q195" s="285">
        <f t="shared" si="40"/>
        <v>1</v>
      </c>
      <c r="R195" s="285">
        <f t="shared" si="41"/>
        <v>27051</v>
      </c>
      <c r="S195" s="284">
        <f t="shared" si="42"/>
        <v>174</v>
      </c>
    </row>
    <row r="196" spans="1:19">
      <c r="A196" s="1061" t="str">
        <f>清单!D301</f>
        <v>C-1-3-602</v>
      </c>
      <c r="B196" s="1061">
        <f>清单!F301</f>
        <v>50.21</v>
      </c>
      <c r="C196" s="285">
        <f t="shared" si="33"/>
        <v>1</v>
      </c>
      <c r="D196" s="293"/>
      <c r="E196" s="285">
        <f t="shared" si="34"/>
        <v>1</v>
      </c>
      <c r="F196" s="293"/>
      <c r="G196" s="285">
        <f t="shared" si="35"/>
        <v>1</v>
      </c>
      <c r="H196" s="293"/>
      <c r="I196" s="285">
        <f t="shared" si="36"/>
        <v>1</v>
      </c>
      <c r="J196" s="293"/>
      <c r="K196" s="285">
        <f t="shared" si="37"/>
        <v>1</v>
      </c>
      <c r="L196" s="293"/>
      <c r="M196" s="285">
        <f t="shared" si="38"/>
        <v>1</v>
      </c>
      <c r="N196" s="293"/>
      <c r="O196" s="285">
        <f t="shared" si="39"/>
        <v>1</v>
      </c>
      <c r="P196" s="291" t="s">
        <v>3022</v>
      </c>
      <c r="Q196" s="285">
        <f t="shared" si="40"/>
        <v>1</v>
      </c>
      <c r="R196" s="285">
        <f t="shared" si="41"/>
        <v>27888</v>
      </c>
      <c r="S196" s="284">
        <f t="shared" si="42"/>
        <v>140</v>
      </c>
    </row>
    <row r="197" spans="1:19">
      <c r="A197" s="1061" t="str">
        <f>清单!D320</f>
        <v>C-1-3-903</v>
      </c>
      <c r="B197" s="1061">
        <f>清单!F320</f>
        <v>50.26</v>
      </c>
      <c r="C197" s="285">
        <f t="shared" si="33"/>
        <v>1</v>
      </c>
      <c r="D197" s="293"/>
      <c r="E197" s="285">
        <f t="shared" si="34"/>
        <v>1</v>
      </c>
      <c r="F197" s="293"/>
      <c r="G197" s="285">
        <f t="shared" si="35"/>
        <v>1</v>
      </c>
      <c r="H197" s="293"/>
      <c r="I197" s="285">
        <f t="shared" si="36"/>
        <v>1</v>
      </c>
      <c r="J197" s="293"/>
      <c r="K197" s="285">
        <f t="shared" si="37"/>
        <v>1</v>
      </c>
      <c r="L197" s="293"/>
      <c r="M197" s="285">
        <f t="shared" si="38"/>
        <v>1</v>
      </c>
      <c r="N197" s="293"/>
      <c r="O197" s="285">
        <f t="shared" si="39"/>
        <v>1</v>
      </c>
      <c r="P197" s="291" t="s">
        <v>3022</v>
      </c>
      <c r="Q197" s="285">
        <f t="shared" si="40"/>
        <v>1</v>
      </c>
      <c r="R197" s="285">
        <f t="shared" si="41"/>
        <v>27888</v>
      </c>
      <c r="S197" s="284">
        <f t="shared" si="42"/>
        <v>140</v>
      </c>
    </row>
    <row r="198" spans="1:19">
      <c r="A198" s="1061" t="str">
        <f>清单!D321</f>
        <v>C-1-3-902</v>
      </c>
      <c r="B198" s="1061">
        <f>清单!F321</f>
        <v>50.21</v>
      </c>
      <c r="C198" s="285">
        <f t="shared" si="33"/>
        <v>1</v>
      </c>
      <c r="D198" s="293"/>
      <c r="E198" s="285">
        <f t="shared" si="34"/>
        <v>1</v>
      </c>
      <c r="F198" s="293"/>
      <c r="G198" s="285">
        <f t="shared" si="35"/>
        <v>1</v>
      </c>
      <c r="H198" s="293"/>
      <c r="I198" s="285">
        <f t="shared" si="36"/>
        <v>1</v>
      </c>
      <c r="J198" s="293"/>
      <c r="K198" s="285">
        <f t="shared" si="37"/>
        <v>1</v>
      </c>
      <c r="L198" s="293"/>
      <c r="M198" s="285">
        <f t="shared" si="38"/>
        <v>1</v>
      </c>
      <c r="N198" s="293"/>
      <c r="O198" s="285">
        <f t="shared" si="39"/>
        <v>1</v>
      </c>
      <c r="P198" s="291" t="s">
        <v>3022</v>
      </c>
      <c r="Q198" s="285">
        <f t="shared" si="40"/>
        <v>1</v>
      </c>
      <c r="R198" s="285">
        <f t="shared" si="41"/>
        <v>27888</v>
      </c>
      <c r="S198" s="284">
        <f t="shared" si="42"/>
        <v>140</v>
      </c>
    </row>
    <row r="199" spans="1:19">
      <c r="A199" s="1061" t="str">
        <f>清单!D304</f>
        <v>C-1-3-706</v>
      </c>
      <c r="B199" s="1061">
        <f>清单!F304</f>
        <v>50.28</v>
      </c>
      <c r="C199" s="285">
        <f t="shared" si="33"/>
        <v>1</v>
      </c>
      <c r="D199" s="293"/>
      <c r="E199" s="285">
        <f t="shared" si="34"/>
        <v>1</v>
      </c>
      <c r="F199" s="293"/>
      <c r="G199" s="285">
        <f t="shared" si="35"/>
        <v>1</v>
      </c>
      <c r="H199" s="293"/>
      <c r="I199" s="285">
        <f t="shared" si="36"/>
        <v>1</v>
      </c>
      <c r="J199" s="293"/>
      <c r="K199" s="285">
        <f t="shared" si="37"/>
        <v>1</v>
      </c>
      <c r="L199" s="293"/>
      <c r="M199" s="285">
        <f t="shared" si="38"/>
        <v>1</v>
      </c>
      <c r="N199" s="293"/>
      <c r="O199" s="285">
        <f t="shared" si="39"/>
        <v>1</v>
      </c>
      <c r="P199" s="291" t="s">
        <v>3022</v>
      </c>
      <c r="Q199" s="285">
        <f t="shared" si="40"/>
        <v>1</v>
      </c>
      <c r="R199" s="285">
        <f t="shared" si="41"/>
        <v>27888</v>
      </c>
      <c r="S199" s="284">
        <f t="shared" si="42"/>
        <v>140</v>
      </c>
    </row>
    <row r="200" spans="1:19">
      <c r="A200" s="1061" t="str">
        <f>清单!D323</f>
        <v>C-1-3-1007</v>
      </c>
      <c r="B200" s="1061">
        <f>清单!F323</f>
        <v>50.72</v>
      </c>
      <c r="C200" s="285">
        <f t="shared" si="33"/>
        <v>1</v>
      </c>
      <c r="D200" s="293"/>
      <c r="E200" s="285">
        <f t="shared" si="34"/>
        <v>1</v>
      </c>
      <c r="F200" s="293"/>
      <c r="G200" s="285">
        <f t="shared" si="35"/>
        <v>1</v>
      </c>
      <c r="H200" s="293"/>
      <c r="I200" s="285">
        <f t="shared" si="36"/>
        <v>1</v>
      </c>
      <c r="J200" s="293"/>
      <c r="K200" s="285">
        <f t="shared" si="37"/>
        <v>1</v>
      </c>
      <c r="L200" s="293"/>
      <c r="M200" s="285">
        <f t="shared" si="38"/>
        <v>1</v>
      </c>
      <c r="N200" s="293"/>
      <c r="O200" s="285">
        <f t="shared" si="39"/>
        <v>1</v>
      </c>
      <c r="P200" s="291" t="s">
        <v>3022</v>
      </c>
      <c r="Q200" s="285">
        <f t="shared" si="40"/>
        <v>1</v>
      </c>
      <c r="R200" s="285">
        <f t="shared" si="41"/>
        <v>27888</v>
      </c>
      <c r="S200" s="284">
        <f t="shared" si="42"/>
        <v>141</v>
      </c>
    </row>
    <row r="201" spans="1:19">
      <c r="A201" s="1061" t="str">
        <f>清单!D324</f>
        <v>C-1-3-1006</v>
      </c>
      <c r="B201" s="1061">
        <f>清单!F324</f>
        <v>50.28</v>
      </c>
      <c r="C201" s="285">
        <f t="shared" si="33"/>
        <v>1</v>
      </c>
      <c r="D201" s="293"/>
      <c r="E201" s="285">
        <f t="shared" si="34"/>
        <v>1</v>
      </c>
      <c r="F201" s="293"/>
      <c r="G201" s="285">
        <f t="shared" si="35"/>
        <v>1</v>
      </c>
      <c r="H201" s="293"/>
      <c r="I201" s="285">
        <f t="shared" si="36"/>
        <v>1</v>
      </c>
      <c r="J201" s="293"/>
      <c r="K201" s="285">
        <f t="shared" si="37"/>
        <v>1</v>
      </c>
      <c r="L201" s="293"/>
      <c r="M201" s="285">
        <f t="shared" si="38"/>
        <v>1</v>
      </c>
      <c r="N201" s="293"/>
      <c r="O201" s="285">
        <f t="shared" si="39"/>
        <v>1</v>
      </c>
      <c r="P201" s="291" t="s">
        <v>3022</v>
      </c>
      <c r="Q201" s="285">
        <f t="shared" si="40"/>
        <v>1</v>
      </c>
      <c r="R201" s="285">
        <f t="shared" si="41"/>
        <v>27888</v>
      </c>
      <c r="S201" s="284">
        <f t="shared" si="42"/>
        <v>140</v>
      </c>
    </row>
    <row r="202" spans="1:19">
      <c r="A202" s="1061" t="str">
        <f>清单!D307</f>
        <v>C-1-3-702</v>
      </c>
      <c r="B202" s="1061">
        <f>清单!F307</f>
        <v>50.21</v>
      </c>
      <c r="C202" s="285">
        <f t="shared" si="33"/>
        <v>1</v>
      </c>
      <c r="D202" s="293"/>
      <c r="E202" s="285">
        <f t="shared" si="34"/>
        <v>1</v>
      </c>
      <c r="F202" s="293"/>
      <c r="G202" s="285">
        <f t="shared" si="35"/>
        <v>1</v>
      </c>
      <c r="H202" s="293"/>
      <c r="I202" s="285">
        <f t="shared" si="36"/>
        <v>1</v>
      </c>
      <c r="J202" s="293"/>
      <c r="K202" s="285">
        <f t="shared" si="37"/>
        <v>1</v>
      </c>
      <c r="L202" s="293"/>
      <c r="M202" s="285">
        <f t="shared" si="38"/>
        <v>1</v>
      </c>
      <c r="N202" s="293"/>
      <c r="O202" s="285">
        <f t="shared" si="39"/>
        <v>1</v>
      </c>
      <c r="P202" s="291" t="s">
        <v>3022</v>
      </c>
      <c r="Q202" s="285">
        <f t="shared" si="40"/>
        <v>1</v>
      </c>
      <c r="R202" s="285">
        <f t="shared" si="41"/>
        <v>27888</v>
      </c>
      <c r="S202" s="284">
        <f t="shared" si="42"/>
        <v>140</v>
      </c>
    </row>
    <row r="203" spans="1:19">
      <c r="A203" s="1061" t="str">
        <f>清单!D326</f>
        <v>C-1-3-1004</v>
      </c>
      <c r="B203" s="1061">
        <f>清单!F326</f>
        <v>64.44</v>
      </c>
      <c r="C203" s="285">
        <f t="shared" si="33"/>
        <v>0.97</v>
      </c>
      <c r="D203" s="293"/>
      <c r="E203" s="285">
        <f t="shared" si="34"/>
        <v>1</v>
      </c>
      <c r="F203" s="293"/>
      <c r="G203" s="285">
        <f t="shared" si="35"/>
        <v>1</v>
      </c>
      <c r="H203" s="293"/>
      <c r="I203" s="285">
        <f t="shared" si="36"/>
        <v>1</v>
      </c>
      <c r="J203" s="293"/>
      <c r="K203" s="285">
        <f t="shared" si="37"/>
        <v>1</v>
      </c>
      <c r="L203" s="293"/>
      <c r="M203" s="285">
        <f t="shared" si="38"/>
        <v>1</v>
      </c>
      <c r="N203" s="293"/>
      <c r="O203" s="285">
        <f t="shared" si="39"/>
        <v>1</v>
      </c>
      <c r="P203" s="291" t="s">
        <v>3022</v>
      </c>
      <c r="Q203" s="285">
        <f t="shared" si="40"/>
        <v>1</v>
      </c>
      <c r="R203" s="285">
        <f t="shared" si="41"/>
        <v>27051</v>
      </c>
      <c r="S203" s="284">
        <f t="shared" si="42"/>
        <v>174</v>
      </c>
    </row>
    <row r="204" spans="1:19">
      <c r="A204" s="1061" t="str">
        <f>清单!D327</f>
        <v>C-1-3-1003</v>
      </c>
      <c r="B204" s="1061">
        <f>清单!F327</f>
        <v>50.26</v>
      </c>
      <c r="C204" s="285">
        <f t="shared" si="33"/>
        <v>1</v>
      </c>
      <c r="D204" s="293"/>
      <c r="E204" s="285">
        <f t="shared" si="34"/>
        <v>1</v>
      </c>
      <c r="F204" s="293"/>
      <c r="G204" s="285">
        <f t="shared" si="35"/>
        <v>1</v>
      </c>
      <c r="H204" s="293"/>
      <c r="I204" s="285">
        <f t="shared" si="36"/>
        <v>1</v>
      </c>
      <c r="J204" s="293"/>
      <c r="K204" s="285">
        <f t="shared" si="37"/>
        <v>1</v>
      </c>
      <c r="L204" s="293"/>
      <c r="M204" s="285">
        <f t="shared" si="38"/>
        <v>1</v>
      </c>
      <c r="N204" s="293"/>
      <c r="O204" s="285">
        <f t="shared" si="39"/>
        <v>1</v>
      </c>
      <c r="P204" s="291" t="s">
        <v>3022</v>
      </c>
      <c r="Q204" s="285">
        <f t="shared" si="40"/>
        <v>1</v>
      </c>
      <c r="R204" s="285">
        <f t="shared" si="41"/>
        <v>27888</v>
      </c>
      <c r="S204" s="284">
        <f t="shared" si="42"/>
        <v>140</v>
      </c>
    </row>
    <row r="205" spans="1:19">
      <c r="A205" s="1061" t="str">
        <f>清单!D310</f>
        <v>C-1-3-806</v>
      </c>
      <c r="B205" s="1061">
        <f>清单!F310</f>
        <v>50.28</v>
      </c>
      <c r="C205" s="285">
        <f t="shared" si="33"/>
        <v>1</v>
      </c>
      <c r="D205" s="293"/>
      <c r="E205" s="285">
        <f t="shared" si="34"/>
        <v>1</v>
      </c>
      <c r="F205" s="293"/>
      <c r="G205" s="285">
        <f t="shared" si="35"/>
        <v>1</v>
      </c>
      <c r="H205" s="293"/>
      <c r="I205" s="285">
        <f t="shared" si="36"/>
        <v>1</v>
      </c>
      <c r="J205" s="293"/>
      <c r="K205" s="285">
        <f t="shared" si="37"/>
        <v>1</v>
      </c>
      <c r="L205" s="293"/>
      <c r="M205" s="285">
        <f t="shared" si="38"/>
        <v>1</v>
      </c>
      <c r="N205" s="293"/>
      <c r="O205" s="285">
        <f t="shared" si="39"/>
        <v>1</v>
      </c>
      <c r="P205" s="291" t="s">
        <v>3022</v>
      </c>
      <c r="Q205" s="285">
        <f t="shared" si="40"/>
        <v>1</v>
      </c>
      <c r="R205" s="285">
        <f t="shared" si="41"/>
        <v>27888</v>
      </c>
      <c r="S205" s="284">
        <f t="shared" si="42"/>
        <v>140</v>
      </c>
    </row>
    <row r="206" spans="1:19">
      <c r="A206" s="1061" t="str">
        <f>清单!D329</f>
        <v>C-1-3-1001</v>
      </c>
      <c r="B206" s="1061">
        <f>清单!F329</f>
        <v>49.5</v>
      </c>
      <c r="C206" s="285">
        <f t="shared" si="33"/>
        <v>1</v>
      </c>
      <c r="D206" s="293"/>
      <c r="E206" s="285">
        <f t="shared" si="34"/>
        <v>1</v>
      </c>
      <c r="F206" s="293"/>
      <c r="G206" s="285">
        <f t="shared" si="35"/>
        <v>1</v>
      </c>
      <c r="H206" s="293"/>
      <c r="I206" s="285">
        <f t="shared" si="36"/>
        <v>1</v>
      </c>
      <c r="J206" s="293"/>
      <c r="K206" s="285">
        <f t="shared" si="37"/>
        <v>1</v>
      </c>
      <c r="L206" s="293"/>
      <c r="M206" s="285">
        <f t="shared" si="38"/>
        <v>1</v>
      </c>
      <c r="N206" s="293"/>
      <c r="O206" s="285">
        <f t="shared" si="39"/>
        <v>1</v>
      </c>
      <c r="P206" s="291" t="s">
        <v>3022</v>
      </c>
      <c r="Q206" s="285">
        <f t="shared" si="40"/>
        <v>1</v>
      </c>
      <c r="R206" s="285">
        <f t="shared" si="41"/>
        <v>27888</v>
      </c>
      <c r="S206" s="284">
        <f t="shared" si="42"/>
        <v>138</v>
      </c>
    </row>
    <row r="207" spans="1:19">
      <c r="A207" s="1061" t="str">
        <f>清单!D330</f>
        <v>C-1-3-1107</v>
      </c>
      <c r="B207" s="1061">
        <f>清单!F330</f>
        <v>50.72</v>
      </c>
      <c r="C207" s="285">
        <f t="shared" si="33"/>
        <v>1</v>
      </c>
      <c r="D207" s="293"/>
      <c r="E207" s="285">
        <f t="shared" si="34"/>
        <v>1</v>
      </c>
      <c r="F207" s="293"/>
      <c r="G207" s="285">
        <f t="shared" si="35"/>
        <v>1</v>
      </c>
      <c r="H207" s="293"/>
      <c r="I207" s="285">
        <f t="shared" si="36"/>
        <v>1</v>
      </c>
      <c r="J207" s="293"/>
      <c r="K207" s="285">
        <f t="shared" si="37"/>
        <v>1</v>
      </c>
      <c r="L207" s="293"/>
      <c r="M207" s="285">
        <f t="shared" si="38"/>
        <v>1</v>
      </c>
      <c r="N207" s="293"/>
      <c r="O207" s="285">
        <f t="shared" si="39"/>
        <v>1</v>
      </c>
      <c r="P207" s="291" t="s">
        <v>3020</v>
      </c>
      <c r="Q207" s="285">
        <f t="shared" si="40"/>
        <v>1.03</v>
      </c>
      <c r="R207" s="285">
        <f t="shared" si="41"/>
        <v>28725</v>
      </c>
      <c r="S207" s="284">
        <f t="shared" si="42"/>
        <v>146</v>
      </c>
    </row>
    <row r="208" spans="1:19">
      <c r="A208" s="1061" t="str">
        <f>清单!D313</f>
        <v>C-1-3-803</v>
      </c>
      <c r="B208" s="1061">
        <f>清单!F313</f>
        <v>50.26</v>
      </c>
      <c r="C208" s="285">
        <f t="shared" si="33"/>
        <v>1</v>
      </c>
      <c r="D208" s="293"/>
      <c r="E208" s="285">
        <f t="shared" si="34"/>
        <v>1</v>
      </c>
      <c r="F208" s="293"/>
      <c r="G208" s="285">
        <f t="shared" si="35"/>
        <v>1</v>
      </c>
      <c r="H208" s="293"/>
      <c r="I208" s="285">
        <f t="shared" si="36"/>
        <v>1</v>
      </c>
      <c r="J208" s="293"/>
      <c r="K208" s="285">
        <f t="shared" si="37"/>
        <v>1</v>
      </c>
      <c r="L208" s="293"/>
      <c r="M208" s="285">
        <f t="shared" si="38"/>
        <v>1</v>
      </c>
      <c r="N208" s="293"/>
      <c r="O208" s="285">
        <f t="shared" si="39"/>
        <v>1</v>
      </c>
      <c r="P208" s="291" t="s">
        <v>3022</v>
      </c>
      <c r="Q208" s="285">
        <f t="shared" si="40"/>
        <v>1</v>
      </c>
      <c r="R208" s="285">
        <f t="shared" si="41"/>
        <v>27888</v>
      </c>
      <c r="S208" s="284">
        <f t="shared" si="42"/>
        <v>140</v>
      </c>
    </row>
    <row r="209" spans="1:19">
      <c r="A209" s="1061" t="str">
        <f>清单!D332</f>
        <v>C-1-3-1105</v>
      </c>
      <c r="B209" s="1061">
        <f>清单!F332</f>
        <v>64.44</v>
      </c>
      <c r="C209" s="285">
        <f t="shared" si="33"/>
        <v>0.97</v>
      </c>
      <c r="D209" s="293"/>
      <c r="E209" s="285">
        <f t="shared" si="34"/>
        <v>1</v>
      </c>
      <c r="F209" s="293"/>
      <c r="G209" s="285">
        <f t="shared" si="35"/>
        <v>1</v>
      </c>
      <c r="H209" s="293"/>
      <c r="I209" s="285">
        <f t="shared" si="36"/>
        <v>1</v>
      </c>
      <c r="J209" s="293"/>
      <c r="K209" s="285">
        <f t="shared" si="37"/>
        <v>1</v>
      </c>
      <c r="L209" s="293"/>
      <c r="M209" s="285">
        <f t="shared" si="38"/>
        <v>1</v>
      </c>
      <c r="N209" s="293"/>
      <c r="O209" s="285">
        <f t="shared" si="39"/>
        <v>1</v>
      </c>
      <c r="P209" s="291" t="s">
        <v>3020</v>
      </c>
      <c r="Q209" s="285">
        <f t="shared" si="40"/>
        <v>1.03</v>
      </c>
      <c r="R209" s="285">
        <f t="shared" si="41"/>
        <v>27863</v>
      </c>
      <c r="S209" s="284">
        <f t="shared" si="42"/>
        <v>180</v>
      </c>
    </row>
    <row r="210" spans="1:19">
      <c r="A210" s="1061" t="str">
        <f>清单!D333</f>
        <v>C-1-3-1104</v>
      </c>
      <c r="B210" s="1061">
        <f>清单!F333</f>
        <v>64.44</v>
      </c>
      <c r="C210" s="285">
        <f t="shared" si="33"/>
        <v>0.97</v>
      </c>
      <c r="D210" s="293"/>
      <c r="E210" s="285">
        <f t="shared" si="34"/>
        <v>1</v>
      </c>
      <c r="F210" s="293"/>
      <c r="G210" s="285">
        <f t="shared" si="35"/>
        <v>1</v>
      </c>
      <c r="H210" s="293"/>
      <c r="I210" s="285">
        <f t="shared" si="36"/>
        <v>1</v>
      </c>
      <c r="J210" s="293"/>
      <c r="K210" s="285">
        <f t="shared" si="37"/>
        <v>1</v>
      </c>
      <c r="L210" s="293"/>
      <c r="M210" s="285">
        <f t="shared" si="38"/>
        <v>1</v>
      </c>
      <c r="N210" s="293"/>
      <c r="O210" s="285">
        <f t="shared" si="39"/>
        <v>1</v>
      </c>
      <c r="P210" s="291" t="s">
        <v>3020</v>
      </c>
      <c r="Q210" s="285">
        <f t="shared" si="40"/>
        <v>1.03</v>
      </c>
      <c r="R210" s="285">
        <f t="shared" si="41"/>
        <v>27863</v>
      </c>
      <c r="S210" s="284">
        <f t="shared" si="42"/>
        <v>180</v>
      </c>
    </row>
    <row r="211" spans="1:19">
      <c r="A211" s="1061" t="str">
        <f>清单!D316</f>
        <v>C-1-3-907</v>
      </c>
      <c r="B211" s="1061">
        <f>清单!F316</f>
        <v>50.72</v>
      </c>
      <c r="C211" s="285">
        <f t="shared" si="33"/>
        <v>1</v>
      </c>
      <c r="D211" s="293"/>
      <c r="E211" s="285">
        <f t="shared" si="34"/>
        <v>1</v>
      </c>
      <c r="F211" s="293"/>
      <c r="G211" s="285">
        <f t="shared" si="35"/>
        <v>1</v>
      </c>
      <c r="H211" s="293"/>
      <c r="I211" s="285">
        <f t="shared" si="36"/>
        <v>1</v>
      </c>
      <c r="J211" s="293"/>
      <c r="K211" s="285">
        <f t="shared" si="37"/>
        <v>1</v>
      </c>
      <c r="L211" s="293"/>
      <c r="M211" s="285">
        <f t="shared" si="38"/>
        <v>1</v>
      </c>
      <c r="N211" s="293"/>
      <c r="O211" s="285">
        <f t="shared" si="39"/>
        <v>1</v>
      </c>
      <c r="P211" s="291" t="s">
        <v>3022</v>
      </c>
      <c r="Q211" s="285">
        <f t="shared" si="40"/>
        <v>1</v>
      </c>
      <c r="R211" s="285">
        <f t="shared" si="41"/>
        <v>27888</v>
      </c>
      <c r="S211" s="284">
        <f t="shared" si="42"/>
        <v>141</v>
      </c>
    </row>
    <row r="212" spans="1:19">
      <c r="A212" s="1061" t="str">
        <f>清单!D335</f>
        <v>C-1-3-1102</v>
      </c>
      <c r="B212" s="1061">
        <f>清单!F335</f>
        <v>50.21</v>
      </c>
      <c r="C212" s="285">
        <f t="shared" si="33"/>
        <v>1</v>
      </c>
      <c r="D212" s="293"/>
      <c r="E212" s="285">
        <f t="shared" si="34"/>
        <v>1</v>
      </c>
      <c r="F212" s="293"/>
      <c r="G212" s="285">
        <f t="shared" si="35"/>
        <v>1</v>
      </c>
      <c r="H212" s="293"/>
      <c r="I212" s="285">
        <f t="shared" si="36"/>
        <v>1</v>
      </c>
      <c r="J212" s="293"/>
      <c r="K212" s="285">
        <f t="shared" si="37"/>
        <v>1</v>
      </c>
      <c r="L212" s="293"/>
      <c r="M212" s="285">
        <f t="shared" si="38"/>
        <v>1</v>
      </c>
      <c r="N212" s="293"/>
      <c r="O212" s="285">
        <f t="shared" si="39"/>
        <v>1</v>
      </c>
      <c r="P212" s="291" t="s">
        <v>3020</v>
      </c>
      <c r="Q212" s="285">
        <f t="shared" si="40"/>
        <v>1.03</v>
      </c>
      <c r="R212" s="285">
        <f t="shared" si="41"/>
        <v>28725</v>
      </c>
      <c r="S212" s="284">
        <f t="shared" si="42"/>
        <v>144</v>
      </c>
    </row>
    <row r="213" spans="1:19">
      <c r="A213" s="1061" t="str">
        <f>清单!D336</f>
        <v>C-1-3-1101</v>
      </c>
      <c r="B213" s="1061">
        <f>清单!F336</f>
        <v>49.5</v>
      </c>
      <c r="C213" s="285">
        <f t="shared" si="33"/>
        <v>1</v>
      </c>
      <c r="D213" s="293"/>
      <c r="E213" s="285">
        <f t="shared" si="34"/>
        <v>1</v>
      </c>
      <c r="F213" s="293"/>
      <c r="G213" s="285">
        <f t="shared" si="35"/>
        <v>1</v>
      </c>
      <c r="H213" s="293"/>
      <c r="I213" s="285">
        <f t="shared" si="36"/>
        <v>1</v>
      </c>
      <c r="J213" s="293"/>
      <c r="K213" s="285">
        <f t="shared" si="37"/>
        <v>1</v>
      </c>
      <c r="L213" s="293"/>
      <c r="M213" s="285">
        <f t="shared" si="38"/>
        <v>1</v>
      </c>
      <c r="N213" s="293"/>
      <c r="O213" s="285">
        <f t="shared" si="39"/>
        <v>1</v>
      </c>
      <c r="P213" s="291" t="s">
        <v>3020</v>
      </c>
      <c r="Q213" s="285">
        <f t="shared" si="40"/>
        <v>1.03</v>
      </c>
      <c r="R213" s="285">
        <f t="shared" si="41"/>
        <v>28725</v>
      </c>
      <c r="S213" s="284">
        <f t="shared" si="42"/>
        <v>142</v>
      </c>
    </row>
    <row r="214" spans="1:19">
      <c r="A214" s="1061" t="str">
        <f>清单!D319</f>
        <v>C-1-3-904</v>
      </c>
      <c r="B214" s="1061">
        <f>清单!F319</f>
        <v>64.44</v>
      </c>
      <c r="C214" s="285">
        <f t="shared" si="33"/>
        <v>0.97</v>
      </c>
      <c r="D214" s="293"/>
      <c r="E214" s="285">
        <f t="shared" si="34"/>
        <v>1</v>
      </c>
      <c r="F214" s="293"/>
      <c r="G214" s="285">
        <f t="shared" si="35"/>
        <v>1</v>
      </c>
      <c r="H214" s="293"/>
      <c r="I214" s="285">
        <f t="shared" si="36"/>
        <v>1</v>
      </c>
      <c r="J214" s="293"/>
      <c r="K214" s="285">
        <f t="shared" si="37"/>
        <v>1</v>
      </c>
      <c r="L214" s="293"/>
      <c r="M214" s="285">
        <f t="shared" si="38"/>
        <v>1</v>
      </c>
      <c r="N214" s="293"/>
      <c r="O214" s="285">
        <f t="shared" si="39"/>
        <v>1</v>
      </c>
      <c r="P214" s="291" t="s">
        <v>3022</v>
      </c>
      <c r="Q214" s="285">
        <f t="shared" si="40"/>
        <v>1</v>
      </c>
      <c r="R214" s="285">
        <f t="shared" si="41"/>
        <v>27051</v>
      </c>
      <c r="S214" s="284">
        <f t="shared" si="42"/>
        <v>174</v>
      </c>
    </row>
    <row r="215" spans="1:19">
      <c r="A215" s="1061" t="str">
        <f>清单!D338</f>
        <v>C-1-3-1206</v>
      </c>
      <c r="B215" s="1061">
        <f>清单!F338</f>
        <v>50.28</v>
      </c>
      <c r="C215" s="285">
        <f t="shared" si="33"/>
        <v>1</v>
      </c>
      <c r="D215" s="293"/>
      <c r="E215" s="285">
        <f t="shared" si="34"/>
        <v>1</v>
      </c>
      <c r="F215" s="293"/>
      <c r="G215" s="285">
        <f t="shared" si="35"/>
        <v>1</v>
      </c>
      <c r="H215" s="293"/>
      <c r="I215" s="285">
        <f t="shared" si="36"/>
        <v>1</v>
      </c>
      <c r="J215" s="293"/>
      <c r="K215" s="285">
        <f t="shared" si="37"/>
        <v>1</v>
      </c>
      <c r="L215" s="293"/>
      <c r="M215" s="285">
        <f t="shared" si="38"/>
        <v>1</v>
      </c>
      <c r="N215" s="293"/>
      <c r="O215" s="285">
        <f t="shared" si="39"/>
        <v>1</v>
      </c>
      <c r="P215" s="291" t="s">
        <v>3020</v>
      </c>
      <c r="Q215" s="285">
        <f t="shared" si="40"/>
        <v>1.03</v>
      </c>
      <c r="R215" s="285">
        <f t="shared" si="41"/>
        <v>28725</v>
      </c>
      <c r="S215" s="284">
        <f t="shared" si="42"/>
        <v>144</v>
      </c>
    </row>
    <row r="216" spans="1:19">
      <c r="A216" s="1061" t="str">
        <f>清单!D339</f>
        <v>C-1-3-1205</v>
      </c>
      <c r="B216" s="1061">
        <f>清单!F339</f>
        <v>64.44</v>
      </c>
      <c r="C216" s="285">
        <f t="shared" si="33"/>
        <v>0.97</v>
      </c>
      <c r="D216" s="293"/>
      <c r="E216" s="285">
        <f t="shared" si="34"/>
        <v>1</v>
      </c>
      <c r="F216" s="293"/>
      <c r="G216" s="285">
        <f t="shared" si="35"/>
        <v>1</v>
      </c>
      <c r="H216" s="293"/>
      <c r="I216" s="285">
        <f t="shared" si="36"/>
        <v>1</v>
      </c>
      <c r="J216" s="293"/>
      <c r="K216" s="285">
        <f t="shared" si="37"/>
        <v>1</v>
      </c>
      <c r="L216" s="293"/>
      <c r="M216" s="285">
        <f t="shared" si="38"/>
        <v>1</v>
      </c>
      <c r="N216" s="293"/>
      <c r="O216" s="285">
        <f t="shared" si="39"/>
        <v>1</v>
      </c>
      <c r="P216" s="291" t="s">
        <v>3020</v>
      </c>
      <c r="Q216" s="285">
        <f t="shared" si="40"/>
        <v>1.03</v>
      </c>
      <c r="R216" s="285">
        <f t="shared" si="41"/>
        <v>27863</v>
      </c>
      <c r="S216" s="284">
        <f t="shared" si="42"/>
        <v>180</v>
      </c>
    </row>
    <row r="217" spans="1:19">
      <c r="A217" s="1061" t="str">
        <f>清单!D322</f>
        <v>C-1-3-901</v>
      </c>
      <c r="B217" s="1061">
        <f>清单!F322</f>
        <v>49.5</v>
      </c>
      <c r="C217" s="285">
        <f t="shared" si="33"/>
        <v>1</v>
      </c>
      <c r="D217" s="293"/>
      <c r="E217" s="285">
        <f t="shared" si="34"/>
        <v>1</v>
      </c>
      <c r="F217" s="293"/>
      <c r="G217" s="285">
        <f t="shared" si="35"/>
        <v>1</v>
      </c>
      <c r="H217" s="293"/>
      <c r="I217" s="285">
        <f t="shared" si="36"/>
        <v>1</v>
      </c>
      <c r="J217" s="293"/>
      <c r="K217" s="285">
        <f t="shared" si="37"/>
        <v>1</v>
      </c>
      <c r="L217" s="293"/>
      <c r="M217" s="285">
        <f t="shared" si="38"/>
        <v>1</v>
      </c>
      <c r="N217" s="293"/>
      <c r="O217" s="285">
        <f t="shared" si="39"/>
        <v>1</v>
      </c>
      <c r="P217" s="291" t="s">
        <v>3022</v>
      </c>
      <c r="Q217" s="285">
        <f t="shared" si="40"/>
        <v>1</v>
      </c>
      <c r="R217" s="285">
        <f t="shared" si="41"/>
        <v>27888</v>
      </c>
      <c r="S217" s="284">
        <f t="shared" si="42"/>
        <v>138</v>
      </c>
    </row>
    <row r="218" spans="1:19">
      <c r="A218" s="1061" t="str">
        <f>清单!D341</f>
        <v>C-1-3-1203</v>
      </c>
      <c r="B218" s="1061">
        <f>清单!F341</f>
        <v>50.26</v>
      </c>
      <c r="C218" s="285">
        <f t="shared" ref="C218:C281" si="43">IF(B218="",1,(LOOKUP(B218,$3:$3,$4:$4)-LOOKUP($B$24,$3:$3,$4:$4)+100)/100)</f>
        <v>1</v>
      </c>
      <c r="D218" s="293"/>
      <c r="E218" s="285">
        <f t="shared" ref="E218:E281" si="44">(SUMIF($5:$5,D218,$6:$6)-SUMIF($5:$5,$D$24,$6:$6)+100)/100</f>
        <v>1</v>
      </c>
      <c r="F218" s="293"/>
      <c r="G218" s="285">
        <f t="shared" ref="G218:G281" si="45">(SUMIF($7:$7,F218,$8:$8)-SUMIF($7:$7,$F$24,$8:$8)+100)/100</f>
        <v>1</v>
      </c>
      <c r="H218" s="293"/>
      <c r="I218" s="285">
        <f t="shared" ref="I218:I281" si="46">(SUMIF($9:$9,H218,$10:$10)-SUMIF($9:$9,$H$24,$10:$10)+100)/100</f>
        <v>1</v>
      </c>
      <c r="J218" s="293"/>
      <c r="K218" s="285">
        <f t="shared" ref="K218:K281" si="47">(SUMIF($11:$11,J218,$12:$12)-SUMIF($11:$11,$J$24,$12:$12)+100)/100</f>
        <v>1</v>
      </c>
      <c r="L218" s="293"/>
      <c r="M218" s="285">
        <f t="shared" ref="M218:M281" si="48">(SUMIF($13:$13,L218,$14:$14)-SUMIF($13:$13,$L$24,$14:$14)+100)/100</f>
        <v>1</v>
      </c>
      <c r="N218" s="293"/>
      <c r="O218" s="285">
        <f t="shared" ref="O218:O281" si="49">(SUMIF($15:$15,N218,$16:$16)-SUMIF($15:$15,$N$24,$16:$16)+100)/100</f>
        <v>1</v>
      </c>
      <c r="P218" s="291" t="s">
        <v>3020</v>
      </c>
      <c r="Q218" s="285">
        <f t="shared" ref="Q218:Q281" si="50">(SUMIF($17:$17,P218,$18:$18)-SUMIF($17:$17,$P$24,$18:$18)+100)/100</f>
        <v>1.03</v>
      </c>
      <c r="R218" s="285">
        <f t="shared" ref="R218:R281" si="51">IF(B218="",0,ROUND($R$24*C218*E218*G218*I218*K218*M218*O218*Q218,0))</f>
        <v>28725</v>
      </c>
      <c r="S218" s="284">
        <f t="shared" si="42"/>
        <v>144</v>
      </c>
    </row>
    <row r="219" spans="1:19">
      <c r="A219" s="1061" t="str">
        <f>清单!D342</f>
        <v>C-1-3-1202</v>
      </c>
      <c r="B219" s="1061">
        <f>清单!F342</f>
        <v>50.21</v>
      </c>
      <c r="C219" s="285">
        <f t="shared" si="43"/>
        <v>1</v>
      </c>
      <c r="D219" s="293"/>
      <c r="E219" s="285">
        <f t="shared" si="44"/>
        <v>1</v>
      </c>
      <c r="F219" s="293"/>
      <c r="G219" s="285">
        <f t="shared" si="45"/>
        <v>1</v>
      </c>
      <c r="H219" s="293"/>
      <c r="I219" s="285">
        <f t="shared" si="46"/>
        <v>1</v>
      </c>
      <c r="J219" s="293"/>
      <c r="K219" s="285">
        <f t="shared" si="47"/>
        <v>1</v>
      </c>
      <c r="L219" s="293"/>
      <c r="M219" s="285">
        <f t="shared" si="48"/>
        <v>1</v>
      </c>
      <c r="N219" s="293"/>
      <c r="O219" s="285">
        <f t="shared" si="49"/>
        <v>1</v>
      </c>
      <c r="P219" s="291" t="s">
        <v>3020</v>
      </c>
      <c r="Q219" s="285">
        <f t="shared" si="50"/>
        <v>1.03</v>
      </c>
      <c r="R219" s="285">
        <f t="shared" si="51"/>
        <v>28725</v>
      </c>
      <c r="S219" s="284">
        <f t="shared" si="42"/>
        <v>144</v>
      </c>
    </row>
    <row r="220" spans="1:19">
      <c r="A220" s="1061" t="str">
        <f>清单!D325</f>
        <v>C-1-3-1005</v>
      </c>
      <c r="B220" s="1061">
        <f>清单!F325</f>
        <v>64.44</v>
      </c>
      <c r="C220" s="285">
        <f t="shared" si="43"/>
        <v>0.97</v>
      </c>
      <c r="D220" s="293"/>
      <c r="E220" s="285">
        <f t="shared" si="44"/>
        <v>1</v>
      </c>
      <c r="F220" s="293"/>
      <c r="G220" s="285">
        <f t="shared" si="45"/>
        <v>1</v>
      </c>
      <c r="H220" s="293"/>
      <c r="I220" s="285">
        <f t="shared" si="46"/>
        <v>1</v>
      </c>
      <c r="J220" s="293"/>
      <c r="K220" s="285">
        <f t="shared" si="47"/>
        <v>1</v>
      </c>
      <c r="L220" s="293"/>
      <c r="M220" s="285">
        <f t="shared" si="48"/>
        <v>1</v>
      </c>
      <c r="N220" s="293"/>
      <c r="O220" s="285">
        <f t="shared" si="49"/>
        <v>1</v>
      </c>
      <c r="P220" s="291" t="s">
        <v>3022</v>
      </c>
      <c r="Q220" s="285">
        <f t="shared" si="50"/>
        <v>1</v>
      </c>
      <c r="R220" s="285">
        <f t="shared" si="51"/>
        <v>27051</v>
      </c>
      <c r="S220" s="284">
        <f t="shared" si="42"/>
        <v>174</v>
      </c>
    </row>
    <row r="221" spans="1:19">
      <c r="A221" s="1061" t="str">
        <f>清单!D344</f>
        <v>C-1-3-1307</v>
      </c>
      <c r="B221" s="1061">
        <f>清单!F344</f>
        <v>50.72</v>
      </c>
      <c r="C221" s="285">
        <f t="shared" si="43"/>
        <v>1</v>
      </c>
      <c r="D221" s="293"/>
      <c r="E221" s="285">
        <f t="shared" si="44"/>
        <v>1</v>
      </c>
      <c r="F221" s="293"/>
      <c r="G221" s="285">
        <f t="shared" si="45"/>
        <v>1</v>
      </c>
      <c r="H221" s="293"/>
      <c r="I221" s="285">
        <f t="shared" si="46"/>
        <v>1</v>
      </c>
      <c r="J221" s="293"/>
      <c r="K221" s="285">
        <f t="shared" si="47"/>
        <v>1</v>
      </c>
      <c r="L221" s="293"/>
      <c r="M221" s="285">
        <f t="shared" si="48"/>
        <v>1</v>
      </c>
      <c r="N221" s="293"/>
      <c r="O221" s="285">
        <f t="shared" si="49"/>
        <v>1</v>
      </c>
      <c r="P221" s="291" t="s">
        <v>3020</v>
      </c>
      <c r="Q221" s="285">
        <f t="shared" si="50"/>
        <v>1.03</v>
      </c>
      <c r="R221" s="285">
        <f t="shared" si="51"/>
        <v>28725</v>
      </c>
      <c r="S221" s="284">
        <f t="shared" si="42"/>
        <v>146</v>
      </c>
    </row>
    <row r="222" spans="1:19">
      <c r="A222" s="1061" t="str">
        <f>清单!D345</f>
        <v>C-1-3-1306</v>
      </c>
      <c r="B222" s="1061">
        <f>清单!F345</f>
        <v>50.28</v>
      </c>
      <c r="C222" s="285">
        <f t="shared" si="43"/>
        <v>1</v>
      </c>
      <c r="D222" s="293"/>
      <c r="E222" s="285">
        <f t="shared" si="44"/>
        <v>1</v>
      </c>
      <c r="F222" s="293"/>
      <c r="G222" s="285">
        <f t="shared" si="45"/>
        <v>1</v>
      </c>
      <c r="H222" s="293"/>
      <c r="I222" s="285">
        <f t="shared" si="46"/>
        <v>1</v>
      </c>
      <c r="J222" s="293"/>
      <c r="K222" s="285">
        <f t="shared" si="47"/>
        <v>1</v>
      </c>
      <c r="L222" s="293"/>
      <c r="M222" s="285">
        <f t="shared" si="48"/>
        <v>1</v>
      </c>
      <c r="N222" s="293"/>
      <c r="O222" s="285">
        <f t="shared" si="49"/>
        <v>1</v>
      </c>
      <c r="P222" s="291" t="s">
        <v>3020</v>
      </c>
      <c r="Q222" s="285">
        <f t="shared" si="50"/>
        <v>1.03</v>
      </c>
      <c r="R222" s="285">
        <f t="shared" si="51"/>
        <v>28725</v>
      </c>
      <c r="S222" s="284">
        <f t="shared" si="42"/>
        <v>144</v>
      </c>
    </row>
    <row r="223" spans="1:19">
      <c r="A223" s="1061" t="str">
        <f>清单!D328</f>
        <v>C-1-3-1002</v>
      </c>
      <c r="B223" s="1061">
        <f>清单!F328</f>
        <v>50.21</v>
      </c>
      <c r="C223" s="285">
        <f t="shared" si="43"/>
        <v>1</v>
      </c>
      <c r="D223" s="293"/>
      <c r="E223" s="285">
        <f t="shared" si="44"/>
        <v>1</v>
      </c>
      <c r="F223" s="293"/>
      <c r="G223" s="285">
        <f t="shared" si="45"/>
        <v>1</v>
      </c>
      <c r="H223" s="293"/>
      <c r="I223" s="285">
        <f t="shared" si="46"/>
        <v>1</v>
      </c>
      <c r="J223" s="293"/>
      <c r="K223" s="285">
        <f t="shared" si="47"/>
        <v>1</v>
      </c>
      <c r="L223" s="293"/>
      <c r="M223" s="285">
        <f t="shared" si="48"/>
        <v>1</v>
      </c>
      <c r="N223" s="293"/>
      <c r="O223" s="285">
        <f t="shared" si="49"/>
        <v>1</v>
      </c>
      <c r="P223" s="291" t="s">
        <v>3022</v>
      </c>
      <c r="Q223" s="285">
        <f t="shared" si="50"/>
        <v>1</v>
      </c>
      <c r="R223" s="285">
        <f t="shared" si="51"/>
        <v>27888</v>
      </c>
      <c r="S223" s="284">
        <f t="shared" ref="S223:S286" si="52">ROUND(R223*B223/10000,0)</f>
        <v>140</v>
      </c>
    </row>
    <row r="224" spans="1:19">
      <c r="A224" s="1061" t="str">
        <f>清单!D347</f>
        <v>C-1-3-1304</v>
      </c>
      <c r="B224" s="1061">
        <f>清单!F347</f>
        <v>64.44</v>
      </c>
      <c r="C224" s="285">
        <f t="shared" si="43"/>
        <v>0.97</v>
      </c>
      <c r="D224" s="293"/>
      <c r="E224" s="285">
        <f t="shared" si="44"/>
        <v>1</v>
      </c>
      <c r="F224" s="293"/>
      <c r="G224" s="285">
        <f t="shared" si="45"/>
        <v>1</v>
      </c>
      <c r="H224" s="293"/>
      <c r="I224" s="285">
        <f t="shared" si="46"/>
        <v>1</v>
      </c>
      <c r="J224" s="293"/>
      <c r="K224" s="285">
        <f t="shared" si="47"/>
        <v>1</v>
      </c>
      <c r="L224" s="293"/>
      <c r="M224" s="285">
        <f t="shared" si="48"/>
        <v>1</v>
      </c>
      <c r="N224" s="293"/>
      <c r="O224" s="285">
        <f t="shared" si="49"/>
        <v>1</v>
      </c>
      <c r="P224" s="291" t="s">
        <v>3020</v>
      </c>
      <c r="Q224" s="285">
        <f t="shared" si="50"/>
        <v>1.03</v>
      </c>
      <c r="R224" s="285">
        <f t="shared" si="51"/>
        <v>27863</v>
      </c>
      <c r="S224" s="284">
        <f t="shared" si="52"/>
        <v>180</v>
      </c>
    </row>
    <row r="225" spans="1:19">
      <c r="A225" s="1061" t="str">
        <f>清单!D348</f>
        <v>C-1-3-1303</v>
      </c>
      <c r="B225" s="1061">
        <f>清单!F348</f>
        <v>50.26</v>
      </c>
      <c r="C225" s="285">
        <f t="shared" si="43"/>
        <v>1</v>
      </c>
      <c r="D225" s="293"/>
      <c r="E225" s="285">
        <f t="shared" si="44"/>
        <v>1</v>
      </c>
      <c r="F225" s="293"/>
      <c r="G225" s="285">
        <f t="shared" si="45"/>
        <v>1</v>
      </c>
      <c r="H225" s="293"/>
      <c r="I225" s="285">
        <f t="shared" si="46"/>
        <v>1</v>
      </c>
      <c r="J225" s="293"/>
      <c r="K225" s="285">
        <f t="shared" si="47"/>
        <v>1</v>
      </c>
      <c r="L225" s="293"/>
      <c r="M225" s="285">
        <f t="shared" si="48"/>
        <v>1</v>
      </c>
      <c r="N225" s="293"/>
      <c r="O225" s="285">
        <f t="shared" si="49"/>
        <v>1</v>
      </c>
      <c r="P225" s="291" t="s">
        <v>3020</v>
      </c>
      <c r="Q225" s="285">
        <f t="shared" si="50"/>
        <v>1.03</v>
      </c>
      <c r="R225" s="285">
        <f t="shared" si="51"/>
        <v>28725</v>
      </c>
      <c r="S225" s="284">
        <f t="shared" si="52"/>
        <v>144</v>
      </c>
    </row>
    <row r="226" spans="1:19">
      <c r="A226" s="1061" t="str">
        <f>清单!D331</f>
        <v>C-1-3-1106</v>
      </c>
      <c r="B226" s="1061">
        <f>清单!F331</f>
        <v>50.28</v>
      </c>
      <c r="C226" s="285">
        <f t="shared" si="43"/>
        <v>1</v>
      </c>
      <c r="D226" s="293"/>
      <c r="E226" s="285">
        <f t="shared" si="44"/>
        <v>1</v>
      </c>
      <c r="F226" s="293"/>
      <c r="G226" s="285">
        <f t="shared" si="45"/>
        <v>1</v>
      </c>
      <c r="H226" s="293"/>
      <c r="I226" s="285">
        <f t="shared" si="46"/>
        <v>1</v>
      </c>
      <c r="J226" s="293"/>
      <c r="K226" s="285">
        <f t="shared" si="47"/>
        <v>1</v>
      </c>
      <c r="L226" s="293"/>
      <c r="M226" s="285">
        <f t="shared" si="48"/>
        <v>1</v>
      </c>
      <c r="N226" s="293"/>
      <c r="O226" s="285">
        <f t="shared" si="49"/>
        <v>1</v>
      </c>
      <c r="P226" s="291" t="s">
        <v>3020</v>
      </c>
      <c r="Q226" s="285">
        <f t="shared" si="50"/>
        <v>1.03</v>
      </c>
      <c r="R226" s="285">
        <f t="shared" si="51"/>
        <v>28725</v>
      </c>
      <c r="S226" s="284">
        <f t="shared" si="52"/>
        <v>144</v>
      </c>
    </row>
    <row r="227" spans="1:19">
      <c r="A227" s="1061" t="str">
        <f>清单!D350</f>
        <v>C-1-3-1301</v>
      </c>
      <c r="B227" s="1061">
        <f>清单!F350</f>
        <v>49.96</v>
      </c>
      <c r="C227" s="285">
        <f t="shared" si="43"/>
        <v>1</v>
      </c>
      <c r="D227" s="293"/>
      <c r="E227" s="285">
        <f t="shared" si="44"/>
        <v>1</v>
      </c>
      <c r="F227" s="293"/>
      <c r="G227" s="285">
        <f t="shared" si="45"/>
        <v>1</v>
      </c>
      <c r="H227" s="293"/>
      <c r="I227" s="285">
        <f t="shared" si="46"/>
        <v>1</v>
      </c>
      <c r="J227" s="293"/>
      <c r="K227" s="285">
        <f t="shared" si="47"/>
        <v>1</v>
      </c>
      <c r="L227" s="293"/>
      <c r="M227" s="285">
        <f t="shared" si="48"/>
        <v>1</v>
      </c>
      <c r="N227" s="293"/>
      <c r="O227" s="285">
        <f t="shared" si="49"/>
        <v>1</v>
      </c>
      <c r="P227" s="291" t="s">
        <v>3020</v>
      </c>
      <c r="Q227" s="285">
        <f t="shared" si="50"/>
        <v>1.03</v>
      </c>
      <c r="R227" s="285">
        <f t="shared" si="51"/>
        <v>28725</v>
      </c>
      <c r="S227" s="284">
        <f t="shared" si="52"/>
        <v>144</v>
      </c>
    </row>
    <row r="228" spans="1:19">
      <c r="A228" s="1061" t="str">
        <f>清单!D351</f>
        <v>C-1-3-1407</v>
      </c>
      <c r="B228" s="1061">
        <f>清单!F351</f>
        <v>50.72</v>
      </c>
      <c r="C228" s="285">
        <f t="shared" si="43"/>
        <v>1</v>
      </c>
      <c r="D228" s="293"/>
      <c r="E228" s="285">
        <f t="shared" si="44"/>
        <v>1</v>
      </c>
      <c r="F228" s="293"/>
      <c r="G228" s="285">
        <f t="shared" si="45"/>
        <v>1</v>
      </c>
      <c r="H228" s="293"/>
      <c r="I228" s="285">
        <f t="shared" si="46"/>
        <v>1</v>
      </c>
      <c r="J228" s="293"/>
      <c r="K228" s="285">
        <f t="shared" si="47"/>
        <v>1</v>
      </c>
      <c r="L228" s="293"/>
      <c r="M228" s="285">
        <f t="shared" si="48"/>
        <v>1</v>
      </c>
      <c r="N228" s="293"/>
      <c r="O228" s="285">
        <f t="shared" si="49"/>
        <v>1</v>
      </c>
      <c r="P228" s="291" t="s">
        <v>3020</v>
      </c>
      <c r="Q228" s="285">
        <f t="shared" si="50"/>
        <v>1.03</v>
      </c>
      <c r="R228" s="285">
        <f t="shared" si="51"/>
        <v>28725</v>
      </c>
      <c r="S228" s="284">
        <f t="shared" si="52"/>
        <v>146</v>
      </c>
    </row>
    <row r="229" spans="1:19">
      <c r="A229" s="1061" t="str">
        <f>清单!D334</f>
        <v>C-1-3-1103</v>
      </c>
      <c r="B229" s="1061">
        <f>清单!F334</f>
        <v>50.26</v>
      </c>
      <c r="C229" s="285">
        <f t="shared" si="43"/>
        <v>1</v>
      </c>
      <c r="D229" s="293"/>
      <c r="E229" s="285">
        <f t="shared" si="44"/>
        <v>1</v>
      </c>
      <c r="F229" s="293"/>
      <c r="G229" s="285">
        <f t="shared" si="45"/>
        <v>1</v>
      </c>
      <c r="H229" s="293"/>
      <c r="I229" s="285">
        <f t="shared" si="46"/>
        <v>1</v>
      </c>
      <c r="J229" s="293"/>
      <c r="K229" s="285">
        <f t="shared" si="47"/>
        <v>1</v>
      </c>
      <c r="L229" s="293"/>
      <c r="M229" s="285">
        <f t="shared" si="48"/>
        <v>1</v>
      </c>
      <c r="N229" s="293"/>
      <c r="O229" s="285">
        <f t="shared" si="49"/>
        <v>1</v>
      </c>
      <c r="P229" s="291" t="s">
        <v>3020</v>
      </c>
      <c r="Q229" s="285">
        <f t="shared" si="50"/>
        <v>1.03</v>
      </c>
      <c r="R229" s="285">
        <f t="shared" si="51"/>
        <v>28725</v>
      </c>
      <c r="S229" s="284">
        <f t="shared" si="52"/>
        <v>144</v>
      </c>
    </row>
    <row r="230" spans="1:19">
      <c r="A230" s="1061" t="str">
        <f>清单!D353</f>
        <v>C-1-3-1405</v>
      </c>
      <c r="B230" s="1061">
        <f>清单!F353</f>
        <v>64.44</v>
      </c>
      <c r="C230" s="285">
        <f t="shared" si="43"/>
        <v>0.97</v>
      </c>
      <c r="D230" s="293"/>
      <c r="E230" s="285">
        <f t="shared" si="44"/>
        <v>1</v>
      </c>
      <c r="F230" s="293"/>
      <c r="G230" s="285">
        <f t="shared" si="45"/>
        <v>1</v>
      </c>
      <c r="H230" s="293"/>
      <c r="I230" s="285">
        <f t="shared" si="46"/>
        <v>1</v>
      </c>
      <c r="J230" s="293"/>
      <c r="K230" s="285">
        <f t="shared" si="47"/>
        <v>1</v>
      </c>
      <c r="L230" s="293"/>
      <c r="M230" s="285">
        <f t="shared" si="48"/>
        <v>1</v>
      </c>
      <c r="N230" s="293"/>
      <c r="O230" s="285">
        <f t="shared" si="49"/>
        <v>1</v>
      </c>
      <c r="P230" s="291" t="s">
        <v>3020</v>
      </c>
      <c r="Q230" s="285">
        <f t="shared" si="50"/>
        <v>1.03</v>
      </c>
      <c r="R230" s="285">
        <f t="shared" si="51"/>
        <v>27863</v>
      </c>
      <c r="S230" s="284">
        <f t="shared" si="52"/>
        <v>180</v>
      </c>
    </row>
    <row r="231" spans="1:19">
      <c r="A231" s="1061" t="str">
        <f>清单!D354</f>
        <v>C-1-3-1404</v>
      </c>
      <c r="B231" s="1061">
        <f>清单!F354</f>
        <v>64.44</v>
      </c>
      <c r="C231" s="285">
        <f t="shared" si="43"/>
        <v>0.97</v>
      </c>
      <c r="D231" s="293"/>
      <c r="E231" s="285">
        <f t="shared" si="44"/>
        <v>1</v>
      </c>
      <c r="F231" s="293"/>
      <c r="G231" s="285">
        <f t="shared" si="45"/>
        <v>1</v>
      </c>
      <c r="H231" s="293"/>
      <c r="I231" s="285">
        <f t="shared" si="46"/>
        <v>1</v>
      </c>
      <c r="J231" s="293"/>
      <c r="K231" s="285">
        <f t="shared" si="47"/>
        <v>1</v>
      </c>
      <c r="L231" s="293"/>
      <c r="M231" s="285">
        <f t="shared" si="48"/>
        <v>1</v>
      </c>
      <c r="N231" s="293"/>
      <c r="O231" s="285">
        <f t="shared" si="49"/>
        <v>1</v>
      </c>
      <c r="P231" s="291" t="s">
        <v>3020</v>
      </c>
      <c r="Q231" s="285">
        <f t="shared" si="50"/>
        <v>1.03</v>
      </c>
      <c r="R231" s="285">
        <f t="shared" si="51"/>
        <v>27863</v>
      </c>
      <c r="S231" s="284">
        <f t="shared" si="52"/>
        <v>180</v>
      </c>
    </row>
    <row r="232" spans="1:19">
      <c r="A232" s="1061" t="str">
        <f>清单!D337</f>
        <v>C-1-3-1207</v>
      </c>
      <c r="B232" s="1061">
        <f>清单!F337</f>
        <v>50.72</v>
      </c>
      <c r="C232" s="285">
        <f t="shared" si="43"/>
        <v>1</v>
      </c>
      <c r="D232" s="293"/>
      <c r="E232" s="285">
        <f t="shared" si="44"/>
        <v>1</v>
      </c>
      <c r="F232" s="293"/>
      <c r="G232" s="285">
        <f t="shared" si="45"/>
        <v>1</v>
      </c>
      <c r="H232" s="293"/>
      <c r="I232" s="285">
        <f t="shared" si="46"/>
        <v>1</v>
      </c>
      <c r="J232" s="293"/>
      <c r="K232" s="285">
        <f t="shared" si="47"/>
        <v>1</v>
      </c>
      <c r="L232" s="293"/>
      <c r="M232" s="285">
        <f t="shared" si="48"/>
        <v>1</v>
      </c>
      <c r="N232" s="293"/>
      <c r="O232" s="285">
        <f t="shared" si="49"/>
        <v>1</v>
      </c>
      <c r="P232" s="291" t="s">
        <v>3020</v>
      </c>
      <c r="Q232" s="285">
        <f t="shared" si="50"/>
        <v>1.03</v>
      </c>
      <c r="R232" s="285">
        <f t="shared" si="51"/>
        <v>28725</v>
      </c>
      <c r="S232" s="284">
        <f t="shared" si="52"/>
        <v>146</v>
      </c>
    </row>
    <row r="233" spans="1:19">
      <c r="A233" s="1061" t="str">
        <f>清单!D356</f>
        <v>C-1-3-1402</v>
      </c>
      <c r="B233" s="1061">
        <f>清单!F356</f>
        <v>50.21</v>
      </c>
      <c r="C233" s="285">
        <f t="shared" si="43"/>
        <v>1</v>
      </c>
      <c r="D233" s="293"/>
      <c r="E233" s="285">
        <f t="shared" si="44"/>
        <v>1</v>
      </c>
      <c r="F233" s="293"/>
      <c r="G233" s="285">
        <f t="shared" si="45"/>
        <v>1</v>
      </c>
      <c r="H233" s="293"/>
      <c r="I233" s="285">
        <f t="shared" si="46"/>
        <v>1</v>
      </c>
      <c r="J233" s="293"/>
      <c r="K233" s="285">
        <f t="shared" si="47"/>
        <v>1</v>
      </c>
      <c r="L233" s="293"/>
      <c r="M233" s="285">
        <f t="shared" si="48"/>
        <v>1</v>
      </c>
      <c r="N233" s="293"/>
      <c r="O233" s="285">
        <f t="shared" si="49"/>
        <v>1</v>
      </c>
      <c r="P233" s="291" t="s">
        <v>3020</v>
      </c>
      <c r="Q233" s="285">
        <f t="shared" si="50"/>
        <v>1.03</v>
      </c>
      <c r="R233" s="285">
        <f t="shared" si="51"/>
        <v>28725</v>
      </c>
      <c r="S233" s="284">
        <f t="shared" si="52"/>
        <v>144</v>
      </c>
    </row>
    <row r="234" spans="1:19">
      <c r="A234" s="1061" t="str">
        <f>清单!D357</f>
        <v>C-1-3-1401</v>
      </c>
      <c r="B234" s="1061">
        <f>清单!F357</f>
        <v>49.96</v>
      </c>
      <c r="C234" s="285">
        <f t="shared" si="43"/>
        <v>1</v>
      </c>
      <c r="D234" s="293"/>
      <c r="E234" s="285">
        <f t="shared" si="44"/>
        <v>1</v>
      </c>
      <c r="F234" s="293"/>
      <c r="G234" s="285">
        <f t="shared" si="45"/>
        <v>1</v>
      </c>
      <c r="H234" s="293"/>
      <c r="I234" s="285">
        <f t="shared" si="46"/>
        <v>1</v>
      </c>
      <c r="J234" s="293"/>
      <c r="K234" s="285">
        <f t="shared" si="47"/>
        <v>1</v>
      </c>
      <c r="L234" s="293"/>
      <c r="M234" s="285">
        <f t="shared" si="48"/>
        <v>1</v>
      </c>
      <c r="N234" s="293"/>
      <c r="O234" s="285">
        <f t="shared" si="49"/>
        <v>1</v>
      </c>
      <c r="P234" s="291" t="s">
        <v>3020</v>
      </c>
      <c r="Q234" s="285">
        <f t="shared" si="50"/>
        <v>1.03</v>
      </c>
      <c r="R234" s="285">
        <f t="shared" si="51"/>
        <v>28725</v>
      </c>
      <c r="S234" s="284">
        <f t="shared" si="52"/>
        <v>144</v>
      </c>
    </row>
    <row r="235" spans="1:19">
      <c r="A235" s="1061" t="str">
        <f>清单!D340</f>
        <v>C-1-3-1204</v>
      </c>
      <c r="B235" s="1061">
        <f>清单!F340</f>
        <v>64.44</v>
      </c>
      <c r="C235" s="285">
        <f t="shared" si="43"/>
        <v>0.97</v>
      </c>
      <c r="D235" s="293"/>
      <c r="E235" s="285">
        <f t="shared" si="44"/>
        <v>1</v>
      </c>
      <c r="F235" s="293"/>
      <c r="G235" s="285">
        <f t="shared" si="45"/>
        <v>1</v>
      </c>
      <c r="H235" s="293"/>
      <c r="I235" s="285">
        <f t="shared" si="46"/>
        <v>1</v>
      </c>
      <c r="J235" s="293"/>
      <c r="K235" s="285">
        <f t="shared" si="47"/>
        <v>1</v>
      </c>
      <c r="L235" s="293"/>
      <c r="M235" s="285">
        <f t="shared" si="48"/>
        <v>1</v>
      </c>
      <c r="N235" s="293"/>
      <c r="O235" s="285">
        <f t="shared" si="49"/>
        <v>1</v>
      </c>
      <c r="P235" s="291" t="s">
        <v>3020</v>
      </c>
      <c r="Q235" s="285">
        <f t="shared" si="50"/>
        <v>1.03</v>
      </c>
      <c r="R235" s="285">
        <f t="shared" si="51"/>
        <v>27863</v>
      </c>
      <c r="S235" s="284">
        <f t="shared" si="52"/>
        <v>180</v>
      </c>
    </row>
    <row r="236" spans="1:19">
      <c r="A236" s="1061" t="str">
        <f>清单!D359</f>
        <v>C-1-3-1506</v>
      </c>
      <c r="B236" s="1061">
        <f>清单!F359</f>
        <v>50.28</v>
      </c>
      <c r="C236" s="285">
        <f t="shared" si="43"/>
        <v>1</v>
      </c>
      <c r="D236" s="293"/>
      <c r="E236" s="285">
        <f t="shared" si="44"/>
        <v>1</v>
      </c>
      <c r="F236" s="293"/>
      <c r="G236" s="285">
        <f t="shared" si="45"/>
        <v>1</v>
      </c>
      <c r="H236" s="293"/>
      <c r="I236" s="285">
        <f t="shared" si="46"/>
        <v>1</v>
      </c>
      <c r="J236" s="293"/>
      <c r="K236" s="285">
        <f t="shared" si="47"/>
        <v>1</v>
      </c>
      <c r="L236" s="293"/>
      <c r="M236" s="285">
        <f t="shared" si="48"/>
        <v>1</v>
      </c>
      <c r="N236" s="293"/>
      <c r="O236" s="285">
        <f t="shared" si="49"/>
        <v>1</v>
      </c>
      <c r="P236" s="291" t="s">
        <v>3020</v>
      </c>
      <c r="Q236" s="285">
        <f t="shared" si="50"/>
        <v>1.03</v>
      </c>
      <c r="R236" s="285">
        <f t="shared" si="51"/>
        <v>28725</v>
      </c>
      <c r="S236" s="284">
        <f t="shared" si="52"/>
        <v>144</v>
      </c>
    </row>
    <row r="237" spans="1:19">
      <c r="A237" s="1061" t="str">
        <f>清单!D360</f>
        <v>C-1-3-1505</v>
      </c>
      <c r="B237" s="1061">
        <f>清单!F360</f>
        <v>64.44</v>
      </c>
      <c r="C237" s="285">
        <f t="shared" si="43"/>
        <v>0.97</v>
      </c>
      <c r="D237" s="293"/>
      <c r="E237" s="285">
        <f t="shared" si="44"/>
        <v>1</v>
      </c>
      <c r="F237" s="293"/>
      <c r="G237" s="285">
        <f t="shared" si="45"/>
        <v>1</v>
      </c>
      <c r="H237" s="293"/>
      <c r="I237" s="285">
        <f t="shared" si="46"/>
        <v>1</v>
      </c>
      <c r="J237" s="293"/>
      <c r="K237" s="285">
        <f t="shared" si="47"/>
        <v>1</v>
      </c>
      <c r="L237" s="293"/>
      <c r="M237" s="285">
        <f t="shared" si="48"/>
        <v>1</v>
      </c>
      <c r="N237" s="293"/>
      <c r="O237" s="285">
        <f t="shared" si="49"/>
        <v>1</v>
      </c>
      <c r="P237" s="291" t="s">
        <v>3020</v>
      </c>
      <c r="Q237" s="285">
        <f t="shared" si="50"/>
        <v>1.03</v>
      </c>
      <c r="R237" s="285">
        <f t="shared" si="51"/>
        <v>27863</v>
      </c>
      <c r="S237" s="284">
        <f t="shared" si="52"/>
        <v>180</v>
      </c>
    </row>
    <row r="238" spans="1:19">
      <c r="A238" s="1061" t="str">
        <f>清单!D343</f>
        <v>C-1-3-1201</v>
      </c>
      <c r="B238" s="1061">
        <f>清单!F343</f>
        <v>49.96</v>
      </c>
      <c r="C238" s="285">
        <f t="shared" si="43"/>
        <v>1</v>
      </c>
      <c r="D238" s="293"/>
      <c r="E238" s="285">
        <f t="shared" si="44"/>
        <v>1</v>
      </c>
      <c r="F238" s="293"/>
      <c r="G238" s="285">
        <f t="shared" si="45"/>
        <v>1</v>
      </c>
      <c r="H238" s="293"/>
      <c r="I238" s="285">
        <f t="shared" si="46"/>
        <v>1</v>
      </c>
      <c r="J238" s="293"/>
      <c r="K238" s="285">
        <f t="shared" si="47"/>
        <v>1</v>
      </c>
      <c r="L238" s="293"/>
      <c r="M238" s="285">
        <f t="shared" si="48"/>
        <v>1</v>
      </c>
      <c r="N238" s="293"/>
      <c r="O238" s="285">
        <f t="shared" si="49"/>
        <v>1</v>
      </c>
      <c r="P238" s="291" t="s">
        <v>3020</v>
      </c>
      <c r="Q238" s="285">
        <f t="shared" si="50"/>
        <v>1.03</v>
      </c>
      <c r="R238" s="285">
        <f t="shared" si="51"/>
        <v>28725</v>
      </c>
      <c r="S238" s="284">
        <f t="shared" si="52"/>
        <v>144</v>
      </c>
    </row>
    <row r="239" spans="1:19">
      <c r="A239" s="1061" t="str">
        <f>清单!D362</f>
        <v>C-1-3-1503</v>
      </c>
      <c r="B239" s="1061">
        <f>清单!F362</f>
        <v>50.26</v>
      </c>
      <c r="C239" s="285">
        <f t="shared" si="43"/>
        <v>1</v>
      </c>
      <c r="D239" s="293"/>
      <c r="E239" s="285">
        <f t="shared" si="44"/>
        <v>1</v>
      </c>
      <c r="F239" s="293"/>
      <c r="G239" s="285">
        <f t="shared" si="45"/>
        <v>1</v>
      </c>
      <c r="H239" s="293"/>
      <c r="I239" s="285">
        <f t="shared" si="46"/>
        <v>1</v>
      </c>
      <c r="J239" s="293"/>
      <c r="K239" s="285">
        <f t="shared" si="47"/>
        <v>1</v>
      </c>
      <c r="L239" s="293"/>
      <c r="M239" s="285">
        <f t="shared" si="48"/>
        <v>1</v>
      </c>
      <c r="N239" s="293"/>
      <c r="O239" s="285">
        <f t="shared" si="49"/>
        <v>1</v>
      </c>
      <c r="P239" s="291" t="s">
        <v>3020</v>
      </c>
      <c r="Q239" s="285">
        <f t="shared" si="50"/>
        <v>1.03</v>
      </c>
      <c r="R239" s="285">
        <f t="shared" si="51"/>
        <v>28725</v>
      </c>
      <c r="S239" s="284">
        <f t="shared" si="52"/>
        <v>144</v>
      </c>
    </row>
    <row r="240" spans="1:19">
      <c r="A240" s="1061" t="str">
        <f>清单!D363</f>
        <v>C-1-3-1502</v>
      </c>
      <c r="B240" s="1061">
        <f>清单!F363</f>
        <v>50.21</v>
      </c>
      <c r="C240" s="285">
        <f t="shared" si="43"/>
        <v>1</v>
      </c>
      <c r="D240" s="293"/>
      <c r="E240" s="285">
        <f t="shared" si="44"/>
        <v>1</v>
      </c>
      <c r="F240" s="293"/>
      <c r="G240" s="285">
        <f t="shared" si="45"/>
        <v>1</v>
      </c>
      <c r="H240" s="293"/>
      <c r="I240" s="285">
        <f t="shared" si="46"/>
        <v>1</v>
      </c>
      <c r="J240" s="293"/>
      <c r="K240" s="285">
        <f t="shared" si="47"/>
        <v>1</v>
      </c>
      <c r="L240" s="293"/>
      <c r="M240" s="285">
        <f t="shared" si="48"/>
        <v>1</v>
      </c>
      <c r="N240" s="293"/>
      <c r="O240" s="285">
        <f t="shared" si="49"/>
        <v>1</v>
      </c>
      <c r="P240" s="291" t="s">
        <v>3020</v>
      </c>
      <c r="Q240" s="285">
        <f t="shared" si="50"/>
        <v>1.03</v>
      </c>
      <c r="R240" s="285">
        <f t="shared" si="51"/>
        <v>28725</v>
      </c>
      <c r="S240" s="284">
        <f t="shared" si="52"/>
        <v>144</v>
      </c>
    </row>
    <row r="241" spans="1:19">
      <c r="A241" s="1061" t="str">
        <f>清单!D346</f>
        <v>C-1-3-1305</v>
      </c>
      <c r="B241" s="1061">
        <f>清单!F346</f>
        <v>64.44</v>
      </c>
      <c r="C241" s="285">
        <f t="shared" si="43"/>
        <v>0.97</v>
      </c>
      <c r="D241" s="293"/>
      <c r="E241" s="285">
        <f t="shared" si="44"/>
        <v>1</v>
      </c>
      <c r="F241" s="293"/>
      <c r="G241" s="285">
        <f t="shared" si="45"/>
        <v>1</v>
      </c>
      <c r="H241" s="293"/>
      <c r="I241" s="285">
        <f t="shared" si="46"/>
        <v>1</v>
      </c>
      <c r="J241" s="293"/>
      <c r="K241" s="285">
        <f t="shared" si="47"/>
        <v>1</v>
      </c>
      <c r="L241" s="293"/>
      <c r="M241" s="285">
        <f t="shared" si="48"/>
        <v>1</v>
      </c>
      <c r="N241" s="293"/>
      <c r="O241" s="285">
        <f t="shared" si="49"/>
        <v>1</v>
      </c>
      <c r="P241" s="291" t="s">
        <v>3020</v>
      </c>
      <c r="Q241" s="285">
        <f t="shared" si="50"/>
        <v>1.03</v>
      </c>
      <c r="R241" s="285">
        <f t="shared" si="51"/>
        <v>27863</v>
      </c>
      <c r="S241" s="284">
        <f t="shared" si="52"/>
        <v>180</v>
      </c>
    </row>
    <row r="242" spans="1:19">
      <c r="A242" s="1061" t="str">
        <f>清单!D365</f>
        <v>C-1-2-103</v>
      </c>
      <c r="B242" s="1061">
        <f>清单!F365</f>
        <v>50.21</v>
      </c>
      <c r="C242" s="285">
        <f t="shared" si="43"/>
        <v>1</v>
      </c>
      <c r="D242" s="293"/>
      <c r="E242" s="285">
        <f t="shared" si="44"/>
        <v>1</v>
      </c>
      <c r="F242" s="293"/>
      <c r="G242" s="285">
        <f t="shared" si="45"/>
        <v>1</v>
      </c>
      <c r="H242" s="293"/>
      <c r="I242" s="285">
        <f t="shared" si="46"/>
        <v>1</v>
      </c>
      <c r="J242" s="293"/>
      <c r="K242" s="285">
        <f t="shared" si="47"/>
        <v>1</v>
      </c>
      <c r="L242" s="293"/>
      <c r="M242" s="285">
        <f t="shared" si="48"/>
        <v>1</v>
      </c>
      <c r="N242" s="293"/>
      <c r="O242" s="285">
        <f t="shared" si="49"/>
        <v>1</v>
      </c>
      <c r="P242" s="291" t="s">
        <v>3024</v>
      </c>
      <c r="Q242" s="285">
        <f t="shared" si="50"/>
        <v>0.97</v>
      </c>
      <c r="R242" s="285">
        <f t="shared" si="51"/>
        <v>27051</v>
      </c>
      <c r="S242" s="284">
        <f t="shared" si="52"/>
        <v>136</v>
      </c>
    </row>
    <row r="243" spans="1:19">
      <c r="A243" s="1061" t="str">
        <f>清单!D366</f>
        <v>C-1-2-102</v>
      </c>
      <c r="B243" s="1061">
        <f>清单!F366</f>
        <v>50.39</v>
      </c>
      <c r="C243" s="285">
        <f t="shared" si="43"/>
        <v>1</v>
      </c>
      <c r="D243" s="293"/>
      <c r="E243" s="285">
        <f t="shared" si="44"/>
        <v>1</v>
      </c>
      <c r="F243" s="293"/>
      <c r="G243" s="285">
        <f t="shared" si="45"/>
        <v>1</v>
      </c>
      <c r="H243" s="293"/>
      <c r="I243" s="285">
        <f t="shared" si="46"/>
        <v>1</v>
      </c>
      <c r="J243" s="293"/>
      <c r="K243" s="285">
        <f t="shared" si="47"/>
        <v>1</v>
      </c>
      <c r="L243" s="293"/>
      <c r="M243" s="285">
        <f t="shared" si="48"/>
        <v>1</v>
      </c>
      <c r="N243" s="293"/>
      <c r="O243" s="285">
        <f t="shared" si="49"/>
        <v>1</v>
      </c>
      <c r="P243" s="291" t="s">
        <v>3020</v>
      </c>
      <c r="Q243" s="285">
        <f t="shared" si="50"/>
        <v>1.03</v>
      </c>
      <c r="R243" s="285">
        <f t="shared" si="51"/>
        <v>28725</v>
      </c>
      <c r="S243" s="284">
        <f t="shared" si="52"/>
        <v>145</v>
      </c>
    </row>
    <row r="244" spans="1:19">
      <c r="A244" s="1061" t="str">
        <f>清单!D349</f>
        <v>C-1-3-1302</v>
      </c>
      <c r="B244" s="1061">
        <f>清单!F349</f>
        <v>50.21</v>
      </c>
      <c r="C244" s="285">
        <f t="shared" si="43"/>
        <v>1</v>
      </c>
      <c r="D244" s="293"/>
      <c r="E244" s="285">
        <f t="shared" si="44"/>
        <v>1</v>
      </c>
      <c r="F244" s="293"/>
      <c r="G244" s="285">
        <f t="shared" si="45"/>
        <v>1</v>
      </c>
      <c r="H244" s="293"/>
      <c r="I244" s="285">
        <f t="shared" si="46"/>
        <v>1</v>
      </c>
      <c r="J244" s="293"/>
      <c r="K244" s="285">
        <f t="shared" si="47"/>
        <v>1</v>
      </c>
      <c r="L244" s="293"/>
      <c r="M244" s="285">
        <f t="shared" si="48"/>
        <v>1</v>
      </c>
      <c r="N244" s="293"/>
      <c r="O244" s="285">
        <f t="shared" si="49"/>
        <v>1</v>
      </c>
      <c r="P244" s="291" t="s">
        <v>3024</v>
      </c>
      <c r="Q244" s="285">
        <f t="shared" si="50"/>
        <v>0.97</v>
      </c>
      <c r="R244" s="285">
        <f t="shared" si="51"/>
        <v>27051</v>
      </c>
      <c r="S244" s="284">
        <f t="shared" si="52"/>
        <v>136</v>
      </c>
    </row>
    <row r="245" spans="1:19">
      <c r="A245" s="1061" t="str">
        <f>清单!D368</f>
        <v>C-1-2-203</v>
      </c>
      <c r="B245" s="1061">
        <f>清单!F368</f>
        <v>50.21</v>
      </c>
      <c r="C245" s="285">
        <f t="shared" si="43"/>
        <v>1</v>
      </c>
      <c r="D245" s="293"/>
      <c r="E245" s="285">
        <f t="shared" si="44"/>
        <v>1</v>
      </c>
      <c r="F245" s="293"/>
      <c r="G245" s="285">
        <f t="shared" si="45"/>
        <v>1</v>
      </c>
      <c r="H245" s="293"/>
      <c r="I245" s="285">
        <f t="shared" si="46"/>
        <v>1</v>
      </c>
      <c r="J245" s="293"/>
      <c r="K245" s="285">
        <f t="shared" si="47"/>
        <v>1</v>
      </c>
      <c r="L245" s="293"/>
      <c r="M245" s="285">
        <f t="shared" si="48"/>
        <v>1</v>
      </c>
      <c r="N245" s="293"/>
      <c r="O245" s="285">
        <f t="shared" si="49"/>
        <v>1</v>
      </c>
      <c r="P245" s="291" t="s">
        <v>3024</v>
      </c>
      <c r="Q245" s="285">
        <f t="shared" si="50"/>
        <v>0.97</v>
      </c>
      <c r="R245" s="285">
        <f t="shared" si="51"/>
        <v>27051</v>
      </c>
      <c r="S245" s="284">
        <f t="shared" si="52"/>
        <v>136</v>
      </c>
    </row>
    <row r="246" spans="1:19">
      <c r="A246" s="1061" t="str">
        <f>清单!D369</f>
        <v>C-1-2-202</v>
      </c>
      <c r="B246" s="1061">
        <f>清单!F369</f>
        <v>50.39</v>
      </c>
      <c r="C246" s="285">
        <f t="shared" si="43"/>
        <v>1</v>
      </c>
      <c r="D246" s="293"/>
      <c r="E246" s="285">
        <f t="shared" si="44"/>
        <v>1</v>
      </c>
      <c r="F246" s="293"/>
      <c r="G246" s="285">
        <f t="shared" si="45"/>
        <v>1</v>
      </c>
      <c r="H246" s="293"/>
      <c r="I246" s="285">
        <f t="shared" si="46"/>
        <v>1</v>
      </c>
      <c r="J246" s="293"/>
      <c r="K246" s="285">
        <f t="shared" si="47"/>
        <v>1</v>
      </c>
      <c r="L246" s="293"/>
      <c r="M246" s="285">
        <f t="shared" si="48"/>
        <v>1</v>
      </c>
      <c r="N246" s="293"/>
      <c r="O246" s="285">
        <f t="shared" si="49"/>
        <v>1</v>
      </c>
      <c r="P246" s="291" t="s">
        <v>3024</v>
      </c>
      <c r="Q246" s="285">
        <f t="shared" si="50"/>
        <v>0.97</v>
      </c>
      <c r="R246" s="285">
        <f t="shared" si="51"/>
        <v>27051</v>
      </c>
      <c r="S246" s="284">
        <f t="shared" si="52"/>
        <v>136</v>
      </c>
    </row>
    <row r="247" spans="1:19">
      <c r="A247" s="1061" t="str">
        <f>清单!D352</f>
        <v>C-1-3-1406</v>
      </c>
      <c r="B247" s="1061">
        <f>清单!F352</f>
        <v>50.28</v>
      </c>
      <c r="C247" s="285">
        <f t="shared" si="43"/>
        <v>1</v>
      </c>
      <c r="D247" s="293"/>
      <c r="E247" s="285">
        <f t="shared" si="44"/>
        <v>1</v>
      </c>
      <c r="F247" s="293"/>
      <c r="G247" s="285">
        <f t="shared" si="45"/>
        <v>1</v>
      </c>
      <c r="H247" s="293"/>
      <c r="I247" s="285">
        <f t="shared" si="46"/>
        <v>1</v>
      </c>
      <c r="J247" s="293"/>
      <c r="K247" s="285">
        <f t="shared" si="47"/>
        <v>1</v>
      </c>
      <c r="L247" s="293"/>
      <c r="M247" s="285">
        <f t="shared" si="48"/>
        <v>1</v>
      </c>
      <c r="N247" s="293"/>
      <c r="O247" s="285">
        <f t="shared" si="49"/>
        <v>1</v>
      </c>
      <c r="P247" s="291" t="s">
        <v>3020</v>
      </c>
      <c r="Q247" s="285">
        <f t="shared" si="50"/>
        <v>1.03</v>
      </c>
      <c r="R247" s="285">
        <f t="shared" si="51"/>
        <v>28725</v>
      </c>
      <c r="S247" s="284">
        <f t="shared" si="52"/>
        <v>144</v>
      </c>
    </row>
    <row r="248" spans="1:19">
      <c r="A248" s="1061" t="str">
        <f>清单!D371</f>
        <v>C-1-2-303</v>
      </c>
      <c r="B248" s="1061">
        <f>清单!F371</f>
        <v>50.21</v>
      </c>
      <c r="C248" s="285">
        <f t="shared" si="43"/>
        <v>1</v>
      </c>
      <c r="D248" s="293"/>
      <c r="E248" s="285">
        <f t="shared" si="44"/>
        <v>1</v>
      </c>
      <c r="F248" s="293"/>
      <c r="G248" s="285">
        <f t="shared" si="45"/>
        <v>1</v>
      </c>
      <c r="H248" s="293"/>
      <c r="I248" s="285">
        <f t="shared" si="46"/>
        <v>1</v>
      </c>
      <c r="J248" s="293"/>
      <c r="K248" s="285">
        <f t="shared" si="47"/>
        <v>1</v>
      </c>
      <c r="L248" s="293"/>
      <c r="M248" s="285">
        <f t="shared" si="48"/>
        <v>1</v>
      </c>
      <c r="N248" s="293"/>
      <c r="O248" s="285">
        <f t="shared" si="49"/>
        <v>1</v>
      </c>
      <c r="P248" s="291" t="s">
        <v>3024</v>
      </c>
      <c r="Q248" s="285">
        <f t="shared" si="50"/>
        <v>0.97</v>
      </c>
      <c r="R248" s="285">
        <f t="shared" si="51"/>
        <v>27051</v>
      </c>
      <c r="S248" s="284">
        <f t="shared" si="52"/>
        <v>136</v>
      </c>
    </row>
    <row r="249" spans="1:19">
      <c r="A249" s="1061" t="str">
        <f>清单!D372</f>
        <v>C-1-2-302</v>
      </c>
      <c r="B249" s="1061">
        <f>清单!F372</f>
        <v>50.39</v>
      </c>
      <c r="C249" s="285">
        <f t="shared" si="43"/>
        <v>1</v>
      </c>
      <c r="D249" s="293"/>
      <c r="E249" s="285">
        <f t="shared" si="44"/>
        <v>1</v>
      </c>
      <c r="F249" s="293"/>
      <c r="G249" s="285">
        <f t="shared" si="45"/>
        <v>1</v>
      </c>
      <c r="H249" s="293"/>
      <c r="I249" s="285">
        <f t="shared" si="46"/>
        <v>1</v>
      </c>
      <c r="J249" s="293"/>
      <c r="K249" s="285">
        <f t="shared" si="47"/>
        <v>1</v>
      </c>
      <c r="L249" s="293"/>
      <c r="M249" s="285">
        <f t="shared" si="48"/>
        <v>1</v>
      </c>
      <c r="N249" s="293"/>
      <c r="O249" s="285">
        <f t="shared" si="49"/>
        <v>1</v>
      </c>
      <c r="P249" s="291" t="s">
        <v>3024</v>
      </c>
      <c r="Q249" s="285">
        <f t="shared" si="50"/>
        <v>0.97</v>
      </c>
      <c r="R249" s="285">
        <f t="shared" si="51"/>
        <v>27051</v>
      </c>
      <c r="S249" s="284">
        <f t="shared" si="52"/>
        <v>136</v>
      </c>
    </row>
    <row r="250" spans="1:19">
      <c r="A250" s="1061" t="str">
        <f>清单!D355</f>
        <v>C-1-3-1403</v>
      </c>
      <c r="B250" s="1061">
        <f>清单!F355</f>
        <v>50.26</v>
      </c>
      <c r="C250" s="285">
        <f t="shared" si="43"/>
        <v>1</v>
      </c>
      <c r="D250" s="293"/>
      <c r="E250" s="285">
        <f t="shared" si="44"/>
        <v>1</v>
      </c>
      <c r="F250" s="293"/>
      <c r="G250" s="285">
        <f t="shared" si="45"/>
        <v>1</v>
      </c>
      <c r="H250" s="293"/>
      <c r="I250" s="285">
        <f t="shared" si="46"/>
        <v>1</v>
      </c>
      <c r="J250" s="293"/>
      <c r="K250" s="285">
        <f t="shared" si="47"/>
        <v>1</v>
      </c>
      <c r="L250" s="293"/>
      <c r="M250" s="285">
        <f t="shared" si="48"/>
        <v>1</v>
      </c>
      <c r="N250" s="293"/>
      <c r="O250" s="285">
        <f t="shared" si="49"/>
        <v>1</v>
      </c>
      <c r="P250" s="291" t="s">
        <v>3020</v>
      </c>
      <c r="Q250" s="285">
        <f t="shared" si="50"/>
        <v>1.03</v>
      </c>
      <c r="R250" s="285">
        <f t="shared" si="51"/>
        <v>28725</v>
      </c>
      <c r="S250" s="284">
        <f t="shared" si="52"/>
        <v>144</v>
      </c>
    </row>
    <row r="251" spans="1:19">
      <c r="A251" s="1061" t="str">
        <f>清单!D374</f>
        <v>C-1-2-403</v>
      </c>
      <c r="B251" s="1061">
        <f>清单!F374</f>
        <v>50.21</v>
      </c>
      <c r="C251" s="285">
        <f t="shared" si="43"/>
        <v>1</v>
      </c>
      <c r="D251" s="293"/>
      <c r="E251" s="285">
        <f t="shared" si="44"/>
        <v>1</v>
      </c>
      <c r="F251" s="293"/>
      <c r="G251" s="285">
        <f t="shared" si="45"/>
        <v>1</v>
      </c>
      <c r="H251" s="293"/>
      <c r="I251" s="285">
        <f t="shared" si="46"/>
        <v>1</v>
      </c>
      <c r="J251" s="293"/>
      <c r="K251" s="285">
        <f t="shared" si="47"/>
        <v>1</v>
      </c>
      <c r="L251" s="293"/>
      <c r="M251" s="285">
        <f t="shared" si="48"/>
        <v>1</v>
      </c>
      <c r="N251" s="293"/>
      <c r="O251" s="285">
        <f t="shared" si="49"/>
        <v>1</v>
      </c>
      <c r="P251" s="291" t="s">
        <v>3024</v>
      </c>
      <c r="Q251" s="285">
        <f t="shared" si="50"/>
        <v>0.97</v>
      </c>
      <c r="R251" s="285">
        <f t="shared" si="51"/>
        <v>27051</v>
      </c>
      <c r="S251" s="284">
        <f t="shared" si="52"/>
        <v>136</v>
      </c>
    </row>
    <row r="252" spans="1:19">
      <c r="A252" s="1061" t="str">
        <f>清单!D375</f>
        <v>C-1-2-402</v>
      </c>
      <c r="B252" s="1061">
        <f>清单!F375</f>
        <v>50.39</v>
      </c>
      <c r="C252" s="285">
        <f t="shared" si="43"/>
        <v>1</v>
      </c>
      <c r="D252" s="293"/>
      <c r="E252" s="285">
        <f t="shared" si="44"/>
        <v>1</v>
      </c>
      <c r="F252" s="293"/>
      <c r="G252" s="285">
        <f t="shared" si="45"/>
        <v>1</v>
      </c>
      <c r="H252" s="293"/>
      <c r="I252" s="285">
        <f t="shared" si="46"/>
        <v>1</v>
      </c>
      <c r="J252" s="293"/>
      <c r="K252" s="285">
        <f t="shared" si="47"/>
        <v>1</v>
      </c>
      <c r="L252" s="293"/>
      <c r="M252" s="285">
        <f t="shared" si="48"/>
        <v>1</v>
      </c>
      <c r="N252" s="293"/>
      <c r="O252" s="285">
        <f t="shared" si="49"/>
        <v>1</v>
      </c>
      <c r="P252" s="291" t="s">
        <v>3024</v>
      </c>
      <c r="Q252" s="285">
        <f t="shared" si="50"/>
        <v>0.97</v>
      </c>
      <c r="R252" s="285">
        <f t="shared" si="51"/>
        <v>27051</v>
      </c>
      <c r="S252" s="284">
        <f t="shared" si="52"/>
        <v>136</v>
      </c>
    </row>
    <row r="253" spans="1:19">
      <c r="A253" s="1061" t="str">
        <f>清单!D358</f>
        <v>C-1-3-1507</v>
      </c>
      <c r="B253" s="1061">
        <f>清单!F358</f>
        <v>50.72</v>
      </c>
      <c r="C253" s="285">
        <f t="shared" si="43"/>
        <v>1</v>
      </c>
      <c r="D253" s="293"/>
      <c r="E253" s="285">
        <f t="shared" si="44"/>
        <v>1</v>
      </c>
      <c r="F253" s="293"/>
      <c r="G253" s="285">
        <f t="shared" si="45"/>
        <v>1</v>
      </c>
      <c r="H253" s="293"/>
      <c r="I253" s="285">
        <f t="shared" si="46"/>
        <v>1</v>
      </c>
      <c r="J253" s="293"/>
      <c r="K253" s="285">
        <f t="shared" si="47"/>
        <v>1</v>
      </c>
      <c r="L253" s="293"/>
      <c r="M253" s="285">
        <f t="shared" si="48"/>
        <v>1</v>
      </c>
      <c r="N253" s="293"/>
      <c r="O253" s="285">
        <f t="shared" si="49"/>
        <v>1</v>
      </c>
      <c r="P253" s="291" t="s">
        <v>3020</v>
      </c>
      <c r="Q253" s="285">
        <f t="shared" si="50"/>
        <v>1.03</v>
      </c>
      <c r="R253" s="285">
        <f t="shared" si="51"/>
        <v>28725</v>
      </c>
      <c r="S253" s="284">
        <f t="shared" si="52"/>
        <v>146</v>
      </c>
    </row>
    <row r="254" spans="1:19">
      <c r="A254" s="1061" t="str">
        <f>清单!D377</f>
        <v>C-1-2-503</v>
      </c>
      <c r="B254" s="1061">
        <f>清单!F377</f>
        <v>50.21</v>
      </c>
      <c r="C254" s="285">
        <f t="shared" si="43"/>
        <v>1</v>
      </c>
      <c r="D254" s="293"/>
      <c r="E254" s="285">
        <f t="shared" si="44"/>
        <v>1</v>
      </c>
      <c r="F254" s="293"/>
      <c r="G254" s="285">
        <f t="shared" si="45"/>
        <v>1</v>
      </c>
      <c r="H254" s="293"/>
      <c r="I254" s="285">
        <f t="shared" si="46"/>
        <v>1</v>
      </c>
      <c r="J254" s="293"/>
      <c r="K254" s="285">
        <f t="shared" si="47"/>
        <v>1</v>
      </c>
      <c r="L254" s="293"/>
      <c r="M254" s="285">
        <f t="shared" si="48"/>
        <v>1</v>
      </c>
      <c r="N254" s="293"/>
      <c r="O254" s="285">
        <f t="shared" si="49"/>
        <v>1</v>
      </c>
      <c r="P254" s="291" t="s">
        <v>3024</v>
      </c>
      <c r="Q254" s="285">
        <f t="shared" si="50"/>
        <v>0.97</v>
      </c>
      <c r="R254" s="285">
        <f t="shared" si="51"/>
        <v>27051</v>
      </c>
      <c r="S254" s="284">
        <f t="shared" si="52"/>
        <v>136</v>
      </c>
    </row>
    <row r="255" spans="1:19">
      <c r="A255" s="1061" t="str">
        <f>清单!D378</f>
        <v>C-1-2-502</v>
      </c>
      <c r="B255" s="1061">
        <f>清单!F378</f>
        <v>50.39</v>
      </c>
      <c r="C255" s="285">
        <f t="shared" si="43"/>
        <v>1</v>
      </c>
      <c r="D255" s="293"/>
      <c r="E255" s="285">
        <f t="shared" si="44"/>
        <v>1</v>
      </c>
      <c r="F255" s="293"/>
      <c r="G255" s="285">
        <f t="shared" si="45"/>
        <v>1</v>
      </c>
      <c r="H255" s="293"/>
      <c r="I255" s="285">
        <f t="shared" si="46"/>
        <v>1</v>
      </c>
      <c r="J255" s="293"/>
      <c r="K255" s="285">
        <f t="shared" si="47"/>
        <v>1</v>
      </c>
      <c r="L255" s="293"/>
      <c r="M255" s="285">
        <f t="shared" si="48"/>
        <v>1</v>
      </c>
      <c r="N255" s="293"/>
      <c r="O255" s="285">
        <f t="shared" si="49"/>
        <v>1</v>
      </c>
      <c r="P255" s="291" t="s">
        <v>3024</v>
      </c>
      <c r="Q255" s="285">
        <f t="shared" si="50"/>
        <v>0.97</v>
      </c>
      <c r="R255" s="285">
        <f t="shared" si="51"/>
        <v>27051</v>
      </c>
      <c r="S255" s="284">
        <f t="shared" si="52"/>
        <v>136</v>
      </c>
    </row>
    <row r="256" spans="1:19">
      <c r="A256" s="1061" t="str">
        <f>清单!D361</f>
        <v>C-1-3-1504</v>
      </c>
      <c r="B256" s="1061">
        <f>清单!F361</f>
        <v>64.44</v>
      </c>
      <c r="C256" s="285">
        <f t="shared" si="43"/>
        <v>0.97</v>
      </c>
      <c r="D256" s="293"/>
      <c r="E256" s="285">
        <f t="shared" si="44"/>
        <v>1</v>
      </c>
      <c r="F256" s="293"/>
      <c r="G256" s="285">
        <f t="shared" si="45"/>
        <v>1</v>
      </c>
      <c r="H256" s="293"/>
      <c r="I256" s="285">
        <f t="shared" si="46"/>
        <v>1</v>
      </c>
      <c r="J256" s="293"/>
      <c r="K256" s="285">
        <f t="shared" si="47"/>
        <v>1</v>
      </c>
      <c r="L256" s="293"/>
      <c r="M256" s="285">
        <f t="shared" si="48"/>
        <v>1</v>
      </c>
      <c r="N256" s="293"/>
      <c r="O256" s="285">
        <f t="shared" si="49"/>
        <v>1</v>
      </c>
      <c r="P256" s="291" t="s">
        <v>3020</v>
      </c>
      <c r="Q256" s="285">
        <f t="shared" si="50"/>
        <v>1.03</v>
      </c>
      <c r="R256" s="285">
        <f t="shared" si="51"/>
        <v>27863</v>
      </c>
      <c r="S256" s="284">
        <f t="shared" si="52"/>
        <v>180</v>
      </c>
    </row>
    <row r="257" spans="1:19">
      <c r="A257" s="1061" t="str">
        <f>清单!D380</f>
        <v>C-1-2-603</v>
      </c>
      <c r="B257" s="1061">
        <f>清单!F380</f>
        <v>50.21</v>
      </c>
      <c r="C257" s="285">
        <f t="shared" si="43"/>
        <v>1</v>
      </c>
      <c r="D257" s="293"/>
      <c r="E257" s="285">
        <f t="shared" si="44"/>
        <v>1</v>
      </c>
      <c r="F257" s="293"/>
      <c r="G257" s="285">
        <f t="shared" si="45"/>
        <v>1</v>
      </c>
      <c r="H257" s="293"/>
      <c r="I257" s="285">
        <f t="shared" si="46"/>
        <v>1</v>
      </c>
      <c r="J257" s="293"/>
      <c r="K257" s="285">
        <f t="shared" si="47"/>
        <v>1</v>
      </c>
      <c r="L257" s="293"/>
      <c r="M257" s="285">
        <f t="shared" si="48"/>
        <v>1</v>
      </c>
      <c r="N257" s="293"/>
      <c r="O257" s="285">
        <f t="shared" si="49"/>
        <v>1</v>
      </c>
      <c r="P257" s="291" t="s">
        <v>3022</v>
      </c>
      <c r="Q257" s="285">
        <f t="shared" si="50"/>
        <v>1</v>
      </c>
      <c r="R257" s="285">
        <f t="shared" si="51"/>
        <v>27888</v>
      </c>
      <c r="S257" s="284">
        <f t="shared" si="52"/>
        <v>140</v>
      </c>
    </row>
    <row r="258" spans="1:19">
      <c r="A258" s="1061" t="str">
        <f>清单!D381</f>
        <v>C-1-2-602</v>
      </c>
      <c r="B258" s="1061">
        <f>清单!F381</f>
        <v>50.39</v>
      </c>
      <c r="C258" s="285">
        <f t="shared" si="43"/>
        <v>1</v>
      </c>
      <c r="D258" s="293"/>
      <c r="E258" s="285">
        <f t="shared" si="44"/>
        <v>1</v>
      </c>
      <c r="F258" s="293"/>
      <c r="G258" s="285">
        <f t="shared" si="45"/>
        <v>1</v>
      </c>
      <c r="H258" s="293"/>
      <c r="I258" s="285">
        <f t="shared" si="46"/>
        <v>1</v>
      </c>
      <c r="J258" s="293"/>
      <c r="K258" s="285">
        <f t="shared" si="47"/>
        <v>1</v>
      </c>
      <c r="L258" s="293"/>
      <c r="M258" s="285">
        <f t="shared" si="48"/>
        <v>1</v>
      </c>
      <c r="N258" s="293"/>
      <c r="O258" s="285">
        <f t="shared" si="49"/>
        <v>1</v>
      </c>
      <c r="P258" s="291" t="s">
        <v>3022</v>
      </c>
      <c r="Q258" s="285">
        <f t="shared" si="50"/>
        <v>1</v>
      </c>
      <c r="R258" s="285">
        <f t="shared" si="51"/>
        <v>27888</v>
      </c>
      <c r="S258" s="284">
        <f t="shared" si="52"/>
        <v>141</v>
      </c>
    </row>
    <row r="259" spans="1:19">
      <c r="A259" s="1061" t="str">
        <f>清单!D364</f>
        <v>C-1-3-1501</v>
      </c>
      <c r="B259" s="1061">
        <f>清单!F364</f>
        <v>49.96</v>
      </c>
      <c r="C259" s="285">
        <f t="shared" si="43"/>
        <v>1</v>
      </c>
      <c r="D259" s="293"/>
      <c r="E259" s="285">
        <f t="shared" si="44"/>
        <v>1</v>
      </c>
      <c r="F259" s="293"/>
      <c r="G259" s="285">
        <f t="shared" si="45"/>
        <v>1</v>
      </c>
      <c r="H259" s="293"/>
      <c r="I259" s="285">
        <f t="shared" si="46"/>
        <v>1</v>
      </c>
      <c r="J259" s="293"/>
      <c r="K259" s="285">
        <f t="shared" si="47"/>
        <v>1</v>
      </c>
      <c r="L259" s="293"/>
      <c r="M259" s="285">
        <f t="shared" si="48"/>
        <v>1</v>
      </c>
      <c r="N259" s="293"/>
      <c r="O259" s="285">
        <f t="shared" si="49"/>
        <v>1</v>
      </c>
      <c r="P259" s="291" t="s">
        <v>3020</v>
      </c>
      <c r="Q259" s="285">
        <f t="shared" si="50"/>
        <v>1.03</v>
      </c>
      <c r="R259" s="285">
        <f t="shared" si="51"/>
        <v>28725</v>
      </c>
      <c r="S259" s="284">
        <f t="shared" si="52"/>
        <v>144</v>
      </c>
    </row>
    <row r="260" spans="1:19">
      <c r="A260" s="1061" t="str">
        <f>清单!D383</f>
        <v>C-1-2-703</v>
      </c>
      <c r="B260" s="1061">
        <f>清单!F383</f>
        <v>50.21</v>
      </c>
      <c r="C260" s="285">
        <f t="shared" si="43"/>
        <v>1</v>
      </c>
      <c r="D260" s="293"/>
      <c r="E260" s="285">
        <f t="shared" si="44"/>
        <v>1</v>
      </c>
      <c r="F260" s="293"/>
      <c r="G260" s="285">
        <f t="shared" si="45"/>
        <v>1</v>
      </c>
      <c r="H260" s="293"/>
      <c r="I260" s="285">
        <f t="shared" si="46"/>
        <v>1</v>
      </c>
      <c r="J260" s="293"/>
      <c r="K260" s="285">
        <f t="shared" si="47"/>
        <v>1</v>
      </c>
      <c r="L260" s="293"/>
      <c r="M260" s="285">
        <f t="shared" si="48"/>
        <v>1</v>
      </c>
      <c r="N260" s="293"/>
      <c r="O260" s="285">
        <f t="shared" si="49"/>
        <v>1</v>
      </c>
      <c r="P260" s="291" t="s">
        <v>3022</v>
      </c>
      <c r="Q260" s="285">
        <f t="shared" si="50"/>
        <v>1</v>
      </c>
      <c r="R260" s="285">
        <f t="shared" si="51"/>
        <v>27888</v>
      </c>
      <c r="S260" s="284">
        <f t="shared" si="52"/>
        <v>140</v>
      </c>
    </row>
    <row r="261" spans="1:19">
      <c r="A261" s="1061" t="str">
        <f>清单!D384</f>
        <v>C-1-2-702</v>
      </c>
      <c r="B261" s="1061">
        <f>清单!F384</f>
        <v>50.39</v>
      </c>
      <c r="C261" s="285">
        <f t="shared" si="43"/>
        <v>1</v>
      </c>
      <c r="D261" s="293"/>
      <c r="E261" s="285">
        <f t="shared" si="44"/>
        <v>1</v>
      </c>
      <c r="F261" s="293"/>
      <c r="G261" s="285">
        <f t="shared" si="45"/>
        <v>1</v>
      </c>
      <c r="H261" s="293"/>
      <c r="I261" s="285">
        <f t="shared" si="46"/>
        <v>1</v>
      </c>
      <c r="J261" s="293"/>
      <c r="K261" s="285">
        <f t="shared" si="47"/>
        <v>1</v>
      </c>
      <c r="L261" s="293"/>
      <c r="M261" s="285">
        <f t="shared" si="48"/>
        <v>1</v>
      </c>
      <c r="N261" s="293"/>
      <c r="O261" s="285">
        <f t="shared" si="49"/>
        <v>1</v>
      </c>
      <c r="P261" s="291" t="s">
        <v>3022</v>
      </c>
      <c r="Q261" s="285">
        <f t="shared" si="50"/>
        <v>1</v>
      </c>
      <c r="R261" s="285">
        <f t="shared" si="51"/>
        <v>27888</v>
      </c>
      <c r="S261" s="284">
        <f t="shared" si="52"/>
        <v>141</v>
      </c>
    </row>
    <row r="262" spans="1:19">
      <c r="A262" s="1061" t="str">
        <f>清单!D367</f>
        <v>C-1-2-101</v>
      </c>
      <c r="B262" s="1061">
        <f>清单!F367</f>
        <v>50.04</v>
      </c>
      <c r="C262" s="285">
        <f t="shared" si="43"/>
        <v>1</v>
      </c>
      <c r="D262" s="293"/>
      <c r="E262" s="285">
        <f t="shared" si="44"/>
        <v>1</v>
      </c>
      <c r="F262" s="293"/>
      <c r="G262" s="285">
        <f t="shared" si="45"/>
        <v>1</v>
      </c>
      <c r="H262" s="293"/>
      <c r="I262" s="285">
        <f t="shared" si="46"/>
        <v>1</v>
      </c>
      <c r="J262" s="293"/>
      <c r="K262" s="285">
        <f t="shared" si="47"/>
        <v>1</v>
      </c>
      <c r="L262" s="293"/>
      <c r="M262" s="285">
        <f t="shared" si="48"/>
        <v>1</v>
      </c>
      <c r="N262" s="293"/>
      <c r="O262" s="285">
        <f t="shared" si="49"/>
        <v>1</v>
      </c>
      <c r="P262" s="291" t="s">
        <v>3024</v>
      </c>
      <c r="Q262" s="285">
        <f t="shared" si="50"/>
        <v>0.97</v>
      </c>
      <c r="R262" s="285">
        <f t="shared" si="51"/>
        <v>27051</v>
      </c>
      <c r="S262" s="284">
        <f t="shared" si="52"/>
        <v>135</v>
      </c>
    </row>
    <row r="263" spans="1:19">
      <c r="A263" s="1061" t="str">
        <f>清单!D386</f>
        <v>C-1-2-803</v>
      </c>
      <c r="B263" s="1061">
        <f>清单!F386</f>
        <v>50.21</v>
      </c>
      <c r="C263" s="285">
        <f t="shared" si="43"/>
        <v>1</v>
      </c>
      <c r="D263" s="293"/>
      <c r="E263" s="285">
        <f t="shared" si="44"/>
        <v>1</v>
      </c>
      <c r="F263" s="293"/>
      <c r="G263" s="285">
        <f t="shared" si="45"/>
        <v>1</v>
      </c>
      <c r="H263" s="293"/>
      <c r="I263" s="285">
        <f t="shared" si="46"/>
        <v>1</v>
      </c>
      <c r="J263" s="293"/>
      <c r="K263" s="285">
        <f t="shared" si="47"/>
        <v>1</v>
      </c>
      <c r="L263" s="293"/>
      <c r="M263" s="285">
        <f t="shared" si="48"/>
        <v>1</v>
      </c>
      <c r="N263" s="293"/>
      <c r="O263" s="285">
        <f t="shared" si="49"/>
        <v>1</v>
      </c>
      <c r="P263" s="291" t="s">
        <v>3022</v>
      </c>
      <c r="Q263" s="285">
        <f t="shared" si="50"/>
        <v>1</v>
      </c>
      <c r="R263" s="285">
        <f t="shared" si="51"/>
        <v>27888</v>
      </c>
      <c r="S263" s="284">
        <f t="shared" si="52"/>
        <v>140</v>
      </c>
    </row>
    <row r="264" spans="1:19">
      <c r="A264" s="1061" t="str">
        <f>清单!D387</f>
        <v>C-1-2-802</v>
      </c>
      <c r="B264" s="1061">
        <f>清单!F387</f>
        <v>50.39</v>
      </c>
      <c r="C264" s="285">
        <f t="shared" si="43"/>
        <v>1</v>
      </c>
      <c r="D264" s="293"/>
      <c r="E264" s="285">
        <f t="shared" si="44"/>
        <v>1</v>
      </c>
      <c r="F264" s="293"/>
      <c r="G264" s="285">
        <f t="shared" si="45"/>
        <v>1</v>
      </c>
      <c r="H264" s="293"/>
      <c r="I264" s="285">
        <f t="shared" si="46"/>
        <v>1</v>
      </c>
      <c r="J264" s="293"/>
      <c r="K264" s="285">
        <f t="shared" si="47"/>
        <v>1</v>
      </c>
      <c r="L264" s="293"/>
      <c r="M264" s="285">
        <f t="shared" si="48"/>
        <v>1</v>
      </c>
      <c r="N264" s="293"/>
      <c r="O264" s="285">
        <f t="shared" si="49"/>
        <v>1</v>
      </c>
      <c r="P264" s="291" t="s">
        <v>3022</v>
      </c>
      <c r="Q264" s="285">
        <f t="shared" si="50"/>
        <v>1</v>
      </c>
      <c r="R264" s="285">
        <f t="shared" si="51"/>
        <v>27888</v>
      </c>
      <c r="S264" s="284">
        <f t="shared" si="52"/>
        <v>141</v>
      </c>
    </row>
    <row r="265" spans="1:19">
      <c r="A265" s="1061" t="str">
        <f>清单!D370</f>
        <v>C-1-2-201</v>
      </c>
      <c r="B265" s="1061">
        <f>清单!F370</f>
        <v>50.04</v>
      </c>
      <c r="C265" s="285">
        <f t="shared" si="43"/>
        <v>1</v>
      </c>
      <c r="D265" s="293"/>
      <c r="E265" s="285">
        <f t="shared" si="44"/>
        <v>1</v>
      </c>
      <c r="F265" s="293"/>
      <c r="G265" s="285">
        <f t="shared" si="45"/>
        <v>1</v>
      </c>
      <c r="H265" s="293"/>
      <c r="I265" s="285">
        <f t="shared" si="46"/>
        <v>1</v>
      </c>
      <c r="J265" s="293"/>
      <c r="K265" s="285">
        <f t="shared" si="47"/>
        <v>1</v>
      </c>
      <c r="L265" s="293"/>
      <c r="M265" s="285">
        <f t="shared" si="48"/>
        <v>1</v>
      </c>
      <c r="N265" s="293"/>
      <c r="O265" s="285">
        <f t="shared" si="49"/>
        <v>1</v>
      </c>
      <c r="P265" s="291" t="s">
        <v>3024</v>
      </c>
      <c r="Q265" s="285">
        <f t="shared" si="50"/>
        <v>0.97</v>
      </c>
      <c r="R265" s="285">
        <f t="shared" si="51"/>
        <v>27051</v>
      </c>
      <c r="S265" s="284">
        <f t="shared" si="52"/>
        <v>135</v>
      </c>
    </row>
    <row r="266" spans="1:19">
      <c r="A266" s="1061" t="str">
        <f>清单!D389</f>
        <v>C-1-2-903</v>
      </c>
      <c r="B266" s="1061">
        <f>清单!F389</f>
        <v>50.21</v>
      </c>
      <c r="C266" s="285">
        <f t="shared" si="43"/>
        <v>1</v>
      </c>
      <c r="D266" s="293"/>
      <c r="E266" s="285">
        <f t="shared" si="44"/>
        <v>1</v>
      </c>
      <c r="F266" s="293"/>
      <c r="G266" s="285">
        <f t="shared" si="45"/>
        <v>1</v>
      </c>
      <c r="H266" s="293"/>
      <c r="I266" s="285">
        <f t="shared" si="46"/>
        <v>1</v>
      </c>
      <c r="J266" s="293"/>
      <c r="K266" s="285">
        <f t="shared" si="47"/>
        <v>1</v>
      </c>
      <c r="L266" s="293"/>
      <c r="M266" s="285">
        <f t="shared" si="48"/>
        <v>1</v>
      </c>
      <c r="N266" s="293"/>
      <c r="O266" s="285">
        <f t="shared" si="49"/>
        <v>1</v>
      </c>
      <c r="P266" s="291" t="s">
        <v>3022</v>
      </c>
      <c r="Q266" s="285">
        <f t="shared" si="50"/>
        <v>1</v>
      </c>
      <c r="R266" s="285">
        <f t="shared" si="51"/>
        <v>27888</v>
      </c>
      <c r="S266" s="284">
        <f t="shared" si="52"/>
        <v>140</v>
      </c>
    </row>
    <row r="267" spans="1:19">
      <c r="A267" s="1061" t="str">
        <f>清单!D390</f>
        <v>C-1-2-902</v>
      </c>
      <c r="B267" s="1061">
        <f>清单!F390</f>
        <v>50.39</v>
      </c>
      <c r="C267" s="285">
        <f t="shared" si="43"/>
        <v>1</v>
      </c>
      <c r="D267" s="293"/>
      <c r="E267" s="285">
        <f t="shared" si="44"/>
        <v>1</v>
      </c>
      <c r="F267" s="293"/>
      <c r="G267" s="285">
        <f t="shared" si="45"/>
        <v>1</v>
      </c>
      <c r="H267" s="293"/>
      <c r="I267" s="285">
        <f t="shared" si="46"/>
        <v>1</v>
      </c>
      <c r="J267" s="293"/>
      <c r="K267" s="285">
        <f t="shared" si="47"/>
        <v>1</v>
      </c>
      <c r="L267" s="293"/>
      <c r="M267" s="285">
        <f t="shared" si="48"/>
        <v>1</v>
      </c>
      <c r="N267" s="293"/>
      <c r="O267" s="285">
        <f t="shared" si="49"/>
        <v>1</v>
      </c>
      <c r="P267" s="291" t="s">
        <v>3022</v>
      </c>
      <c r="Q267" s="285">
        <f t="shared" si="50"/>
        <v>1</v>
      </c>
      <c r="R267" s="285">
        <f t="shared" si="51"/>
        <v>27888</v>
      </c>
      <c r="S267" s="284">
        <f t="shared" si="52"/>
        <v>141</v>
      </c>
    </row>
    <row r="268" spans="1:19">
      <c r="A268" s="1061" t="str">
        <f>清单!D373</f>
        <v>C-1-2-301</v>
      </c>
      <c r="B268" s="1061">
        <f>清单!F373</f>
        <v>50.04</v>
      </c>
      <c r="C268" s="285">
        <f t="shared" si="43"/>
        <v>1</v>
      </c>
      <c r="D268" s="293"/>
      <c r="E268" s="285">
        <f t="shared" si="44"/>
        <v>1</v>
      </c>
      <c r="F268" s="293"/>
      <c r="G268" s="285">
        <f t="shared" si="45"/>
        <v>1</v>
      </c>
      <c r="H268" s="293"/>
      <c r="I268" s="285">
        <f t="shared" si="46"/>
        <v>1</v>
      </c>
      <c r="J268" s="293"/>
      <c r="K268" s="285">
        <f t="shared" si="47"/>
        <v>1</v>
      </c>
      <c r="L268" s="293"/>
      <c r="M268" s="285">
        <f t="shared" si="48"/>
        <v>1</v>
      </c>
      <c r="N268" s="293"/>
      <c r="O268" s="285">
        <f t="shared" si="49"/>
        <v>1</v>
      </c>
      <c r="P268" s="291" t="s">
        <v>3024</v>
      </c>
      <c r="Q268" s="285">
        <f t="shared" si="50"/>
        <v>0.97</v>
      </c>
      <c r="R268" s="285">
        <f t="shared" si="51"/>
        <v>27051</v>
      </c>
      <c r="S268" s="284">
        <f t="shared" si="52"/>
        <v>135</v>
      </c>
    </row>
    <row r="269" spans="1:19">
      <c r="A269" s="1061" t="str">
        <f>清单!D392</f>
        <v>C-1-2-1003</v>
      </c>
      <c r="B269" s="1061">
        <f>清单!F392</f>
        <v>50.21</v>
      </c>
      <c r="C269" s="285">
        <f t="shared" si="43"/>
        <v>1</v>
      </c>
      <c r="D269" s="293"/>
      <c r="E269" s="285">
        <f t="shared" si="44"/>
        <v>1</v>
      </c>
      <c r="F269" s="293"/>
      <c r="G269" s="285">
        <f t="shared" si="45"/>
        <v>1</v>
      </c>
      <c r="H269" s="293"/>
      <c r="I269" s="285">
        <f t="shared" si="46"/>
        <v>1</v>
      </c>
      <c r="J269" s="293"/>
      <c r="K269" s="285">
        <f t="shared" si="47"/>
        <v>1</v>
      </c>
      <c r="L269" s="293"/>
      <c r="M269" s="285">
        <f t="shared" si="48"/>
        <v>1</v>
      </c>
      <c r="N269" s="293"/>
      <c r="O269" s="285">
        <f t="shared" si="49"/>
        <v>1</v>
      </c>
      <c r="P269" s="291" t="s">
        <v>3024</v>
      </c>
      <c r="Q269" s="285">
        <f t="shared" si="50"/>
        <v>0.97</v>
      </c>
      <c r="R269" s="285">
        <f t="shared" si="51"/>
        <v>27051</v>
      </c>
      <c r="S269" s="284">
        <f t="shared" si="52"/>
        <v>136</v>
      </c>
    </row>
    <row r="270" spans="1:19">
      <c r="A270" s="1061" t="str">
        <f>清单!D393</f>
        <v>C-1-2-1002</v>
      </c>
      <c r="B270" s="1061">
        <f>清单!F393</f>
        <v>50.39</v>
      </c>
      <c r="C270" s="285">
        <f t="shared" si="43"/>
        <v>1</v>
      </c>
      <c r="D270" s="293"/>
      <c r="E270" s="285">
        <f t="shared" si="44"/>
        <v>1</v>
      </c>
      <c r="F270" s="293"/>
      <c r="G270" s="285">
        <f t="shared" si="45"/>
        <v>1</v>
      </c>
      <c r="H270" s="293"/>
      <c r="I270" s="285">
        <f t="shared" si="46"/>
        <v>1</v>
      </c>
      <c r="J270" s="293"/>
      <c r="K270" s="285">
        <f t="shared" si="47"/>
        <v>1</v>
      </c>
      <c r="L270" s="293"/>
      <c r="M270" s="285">
        <f t="shared" si="48"/>
        <v>1</v>
      </c>
      <c r="N270" s="293"/>
      <c r="O270" s="285">
        <f t="shared" si="49"/>
        <v>1</v>
      </c>
      <c r="P270" s="291" t="s">
        <v>3024</v>
      </c>
      <c r="Q270" s="285">
        <f t="shared" si="50"/>
        <v>0.97</v>
      </c>
      <c r="R270" s="285">
        <f t="shared" si="51"/>
        <v>27051</v>
      </c>
      <c r="S270" s="284">
        <f t="shared" si="52"/>
        <v>136</v>
      </c>
    </row>
    <row r="271" spans="1:19">
      <c r="A271" s="1061" t="str">
        <f>清单!D376</f>
        <v>C-1-2-401</v>
      </c>
      <c r="B271" s="1061">
        <f>清单!F376</f>
        <v>50.04</v>
      </c>
      <c r="C271" s="285">
        <f t="shared" si="43"/>
        <v>1</v>
      </c>
      <c r="D271" s="293"/>
      <c r="E271" s="285">
        <f t="shared" si="44"/>
        <v>1</v>
      </c>
      <c r="F271" s="293"/>
      <c r="G271" s="285">
        <f t="shared" si="45"/>
        <v>1</v>
      </c>
      <c r="H271" s="293"/>
      <c r="I271" s="285">
        <f t="shared" si="46"/>
        <v>1</v>
      </c>
      <c r="J271" s="293"/>
      <c r="K271" s="285">
        <f t="shared" si="47"/>
        <v>1</v>
      </c>
      <c r="L271" s="293"/>
      <c r="M271" s="285">
        <f t="shared" si="48"/>
        <v>1</v>
      </c>
      <c r="N271" s="293"/>
      <c r="O271" s="285">
        <f t="shared" si="49"/>
        <v>1</v>
      </c>
      <c r="P271" s="291" t="s">
        <v>3024</v>
      </c>
      <c r="Q271" s="285">
        <f t="shared" si="50"/>
        <v>0.97</v>
      </c>
      <c r="R271" s="285">
        <f t="shared" si="51"/>
        <v>27051</v>
      </c>
      <c r="S271" s="284">
        <f t="shared" si="52"/>
        <v>135</v>
      </c>
    </row>
    <row r="272" spans="1:19">
      <c r="A272" s="1061" t="str">
        <f>清单!D395</f>
        <v>C-1-2-1103</v>
      </c>
      <c r="B272" s="1061">
        <f>清单!F395</f>
        <v>50.21</v>
      </c>
      <c r="C272" s="285">
        <f t="shared" si="43"/>
        <v>1</v>
      </c>
      <c r="D272" s="293"/>
      <c r="E272" s="285">
        <f t="shared" si="44"/>
        <v>1</v>
      </c>
      <c r="F272" s="293"/>
      <c r="G272" s="285">
        <f t="shared" si="45"/>
        <v>1</v>
      </c>
      <c r="H272" s="293"/>
      <c r="I272" s="285">
        <f t="shared" si="46"/>
        <v>1</v>
      </c>
      <c r="J272" s="293"/>
      <c r="K272" s="285">
        <f t="shared" si="47"/>
        <v>1</v>
      </c>
      <c r="L272" s="293"/>
      <c r="M272" s="285">
        <f t="shared" si="48"/>
        <v>1</v>
      </c>
      <c r="N272" s="293"/>
      <c r="O272" s="285">
        <f t="shared" si="49"/>
        <v>1</v>
      </c>
      <c r="P272" s="291" t="s">
        <v>3020</v>
      </c>
      <c r="Q272" s="285">
        <f t="shared" si="50"/>
        <v>1.03</v>
      </c>
      <c r="R272" s="285">
        <f t="shared" si="51"/>
        <v>28725</v>
      </c>
      <c r="S272" s="284">
        <f t="shared" si="52"/>
        <v>144</v>
      </c>
    </row>
    <row r="273" spans="1:19">
      <c r="A273" s="1061" t="str">
        <f>清单!D396</f>
        <v>C-1-2-1102</v>
      </c>
      <c r="B273" s="1061">
        <f>清单!F396</f>
        <v>50.39</v>
      </c>
      <c r="C273" s="285">
        <f t="shared" si="43"/>
        <v>1</v>
      </c>
      <c r="D273" s="293"/>
      <c r="E273" s="285">
        <f t="shared" si="44"/>
        <v>1</v>
      </c>
      <c r="F273" s="293"/>
      <c r="G273" s="285">
        <f t="shared" si="45"/>
        <v>1</v>
      </c>
      <c r="H273" s="293"/>
      <c r="I273" s="285">
        <f t="shared" si="46"/>
        <v>1</v>
      </c>
      <c r="J273" s="293"/>
      <c r="K273" s="285">
        <f t="shared" si="47"/>
        <v>1</v>
      </c>
      <c r="L273" s="293"/>
      <c r="M273" s="285">
        <f t="shared" si="48"/>
        <v>1</v>
      </c>
      <c r="N273" s="293"/>
      <c r="O273" s="285">
        <f t="shared" si="49"/>
        <v>1</v>
      </c>
      <c r="P273" s="291" t="s">
        <v>3020</v>
      </c>
      <c r="Q273" s="285">
        <f t="shared" si="50"/>
        <v>1.03</v>
      </c>
      <c r="R273" s="285">
        <f t="shared" si="51"/>
        <v>28725</v>
      </c>
      <c r="S273" s="284">
        <f t="shared" si="52"/>
        <v>145</v>
      </c>
    </row>
    <row r="274" spans="1:19">
      <c r="A274" s="1061" t="str">
        <f>清单!D379</f>
        <v>C-1-2-501</v>
      </c>
      <c r="B274" s="1061">
        <f>清单!F379</f>
        <v>50.04</v>
      </c>
      <c r="C274" s="285">
        <f t="shared" si="43"/>
        <v>1</v>
      </c>
      <c r="D274" s="293"/>
      <c r="E274" s="285">
        <f t="shared" si="44"/>
        <v>1</v>
      </c>
      <c r="F274" s="293"/>
      <c r="G274" s="285">
        <f t="shared" si="45"/>
        <v>1</v>
      </c>
      <c r="H274" s="293"/>
      <c r="I274" s="285">
        <f t="shared" si="46"/>
        <v>1</v>
      </c>
      <c r="J274" s="293"/>
      <c r="K274" s="285">
        <f t="shared" si="47"/>
        <v>1</v>
      </c>
      <c r="L274" s="293"/>
      <c r="M274" s="285">
        <f t="shared" si="48"/>
        <v>1</v>
      </c>
      <c r="N274" s="293"/>
      <c r="O274" s="285">
        <f t="shared" si="49"/>
        <v>1</v>
      </c>
      <c r="P274" s="291" t="s">
        <v>3024</v>
      </c>
      <c r="Q274" s="285">
        <f t="shared" si="50"/>
        <v>0.97</v>
      </c>
      <c r="R274" s="285">
        <f t="shared" si="51"/>
        <v>27051</v>
      </c>
      <c r="S274" s="284">
        <f t="shared" si="52"/>
        <v>135</v>
      </c>
    </row>
    <row r="275" spans="1:19">
      <c r="A275" s="1061" t="str">
        <f>清单!D398</f>
        <v>C-1-1-103</v>
      </c>
      <c r="B275" s="1061">
        <f>清单!F398</f>
        <v>50.04</v>
      </c>
      <c r="C275" s="285">
        <f t="shared" si="43"/>
        <v>1</v>
      </c>
      <c r="D275" s="293"/>
      <c r="E275" s="285">
        <f t="shared" si="44"/>
        <v>1</v>
      </c>
      <c r="F275" s="293"/>
      <c r="G275" s="285">
        <f t="shared" si="45"/>
        <v>1</v>
      </c>
      <c r="H275" s="293"/>
      <c r="I275" s="285">
        <f t="shared" si="46"/>
        <v>1</v>
      </c>
      <c r="J275" s="293"/>
      <c r="K275" s="285">
        <f t="shared" si="47"/>
        <v>1</v>
      </c>
      <c r="L275" s="293"/>
      <c r="M275" s="285">
        <f t="shared" si="48"/>
        <v>1</v>
      </c>
      <c r="N275" s="293"/>
      <c r="O275" s="285">
        <f t="shared" si="49"/>
        <v>1</v>
      </c>
      <c r="P275" s="291" t="s">
        <v>3024</v>
      </c>
      <c r="Q275" s="285">
        <f t="shared" si="50"/>
        <v>0.97</v>
      </c>
      <c r="R275" s="285">
        <f t="shared" si="51"/>
        <v>27051</v>
      </c>
      <c r="S275" s="284">
        <f t="shared" si="52"/>
        <v>135</v>
      </c>
    </row>
    <row r="276" spans="1:19">
      <c r="A276" s="1061" t="str">
        <f>清单!D399</f>
        <v>C-1-1-102</v>
      </c>
      <c r="B276" s="1061">
        <f>清单!F399</f>
        <v>50.39</v>
      </c>
      <c r="C276" s="285">
        <f t="shared" si="43"/>
        <v>1</v>
      </c>
      <c r="D276" s="293"/>
      <c r="E276" s="285">
        <f t="shared" si="44"/>
        <v>1</v>
      </c>
      <c r="F276" s="293"/>
      <c r="G276" s="285">
        <f t="shared" si="45"/>
        <v>1</v>
      </c>
      <c r="H276" s="293"/>
      <c r="I276" s="285">
        <f t="shared" si="46"/>
        <v>1</v>
      </c>
      <c r="J276" s="293"/>
      <c r="K276" s="285">
        <f t="shared" si="47"/>
        <v>1</v>
      </c>
      <c r="L276" s="293"/>
      <c r="M276" s="285">
        <f t="shared" si="48"/>
        <v>1</v>
      </c>
      <c r="N276" s="293"/>
      <c r="O276" s="285">
        <f t="shared" si="49"/>
        <v>1</v>
      </c>
      <c r="P276" s="291" t="s">
        <v>3024</v>
      </c>
      <c r="Q276" s="285">
        <f t="shared" si="50"/>
        <v>0.97</v>
      </c>
      <c r="R276" s="285">
        <f t="shared" si="51"/>
        <v>27051</v>
      </c>
      <c r="S276" s="284">
        <f t="shared" si="52"/>
        <v>136</v>
      </c>
    </row>
    <row r="277" spans="1:19">
      <c r="A277" s="1061" t="str">
        <f>清单!D382</f>
        <v>C-1-2-601</v>
      </c>
      <c r="B277" s="1061">
        <f>清单!F382</f>
        <v>50.04</v>
      </c>
      <c r="C277" s="285">
        <f t="shared" si="43"/>
        <v>1</v>
      </c>
      <c r="D277" s="293"/>
      <c r="E277" s="285">
        <f t="shared" si="44"/>
        <v>1</v>
      </c>
      <c r="F277" s="293"/>
      <c r="G277" s="285">
        <f t="shared" si="45"/>
        <v>1</v>
      </c>
      <c r="H277" s="293"/>
      <c r="I277" s="285">
        <f t="shared" si="46"/>
        <v>1</v>
      </c>
      <c r="J277" s="293"/>
      <c r="K277" s="285">
        <f t="shared" si="47"/>
        <v>1</v>
      </c>
      <c r="L277" s="293"/>
      <c r="M277" s="285">
        <f t="shared" si="48"/>
        <v>1</v>
      </c>
      <c r="N277" s="293"/>
      <c r="O277" s="285">
        <f t="shared" si="49"/>
        <v>1</v>
      </c>
      <c r="P277" s="291" t="s">
        <v>3022</v>
      </c>
      <c r="Q277" s="285">
        <f t="shared" si="50"/>
        <v>1</v>
      </c>
      <c r="R277" s="285">
        <f t="shared" si="51"/>
        <v>27888</v>
      </c>
      <c r="S277" s="284">
        <f t="shared" si="52"/>
        <v>140</v>
      </c>
    </row>
    <row r="278" spans="1:19">
      <c r="A278" s="1061" t="str">
        <f>清单!D401</f>
        <v>C-1-1-202</v>
      </c>
      <c r="B278" s="1061">
        <f>清单!F401</f>
        <v>50.39</v>
      </c>
      <c r="C278" s="285">
        <f t="shared" si="43"/>
        <v>1</v>
      </c>
      <c r="D278" s="293"/>
      <c r="E278" s="285">
        <f t="shared" si="44"/>
        <v>1</v>
      </c>
      <c r="F278" s="293"/>
      <c r="G278" s="285">
        <f t="shared" si="45"/>
        <v>1</v>
      </c>
      <c r="H278" s="293"/>
      <c r="I278" s="285">
        <f t="shared" si="46"/>
        <v>1</v>
      </c>
      <c r="J278" s="293"/>
      <c r="K278" s="285">
        <f t="shared" si="47"/>
        <v>1</v>
      </c>
      <c r="L278" s="293"/>
      <c r="M278" s="285">
        <f t="shared" si="48"/>
        <v>1</v>
      </c>
      <c r="N278" s="293"/>
      <c r="O278" s="285">
        <f t="shared" si="49"/>
        <v>1</v>
      </c>
      <c r="P278" s="291" t="s">
        <v>3024</v>
      </c>
      <c r="Q278" s="285">
        <f t="shared" si="50"/>
        <v>0.97</v>
      </c>
      <c r="R278" s="285">
        <f t="shared" si="51"/>
        <v>27051</v>
      </c>
      <c r="S278" s="284">
        <f t="shared" si="52"/>
        <v>136</v>
      </c>
    </row>
    <row r="279" spans="1:19">
      <c r="A279" s="1061" t="str">
        <f>清单!D402</f>
        <v>C-1-1-201</v>
      </c>
      <c r="B279" s="1061">
        <f>清单!F402</f>
        <v>50.68</v>
      </c>
      <c r="C279" s="285">
        <f t="shared" si="43"/>
        <v>1</v>
      </c>
      <c r="D279" s="293"/>
      <c r="E279" s="285">
        <f t="shared" si="44"/>
        <v>1</v>
      </c>
      <c r="F279" s="293"/>
      <c r="G279" s="285">
        <f t="shared" si="45"/>
        <v>1</v>
      </c>
      <c r="H279" s="293"/>
      <c r="I279" s="285">
        <f t="shared" si="46"/>
        <v>1</v>
      </c>
      <c r="J279" s="293"/>
      <c r="K279" s="285">
        <f t="shared" si="47"/>
        <v>1</v>
      </c>
      <c r="L279" s="293"/>
      <c r="M279" s="285">
        <f t="shared" si="48"/>
        <v>1</v>
      </c>
      <c r="N279" s="293"/>
      <c r="O279" s="285">
        <f t="shared" si="49"/>
        <v>1</v>
      </c>
      <c r="P279" s="291" t="s">
        <v>3024</v>
      </c>
      <c r="Q279" s="285">
        <f t="shared" si="50"/>
        <v>0.97</v>
      </c>
      <c r="R279" s="285">
        <f t="shared" si="51"/>
        <v>27051</v>
      </c>
      <c r="S279" s="284">
        <f t="shared" si="52"/>
        <v>137</v>
      </c>
    </row>
    <row r="280" spans="1:19">
      <c r="A280" s="1061" t="str">
        <f>清单!D385</f>
        <v>C-1-2-701</v>
      </c>
      <c r="B280" s="1061">
        <f>清单!F385</f>
        <v>50.04</v>
      </c>
      <c r="C280" s="285">
        <f t="shared" si="43"/>
        <v>1</v>
      </c>
      <c r="D280" s="293"/>
      <c r="E280" s="285">
        <f t="shared" si="44"/>
        <v>1</v>
      </c>
      <c r="F280" s="293"/>
      <c r="G280" s="285">
        <f t="shared" si="45"/>
        <v>1</v>
      </c>
      <c r="H280" s="293"/>
      <c r="I280" s="285">
        <f t="shared" si="46"/>
        <v>1</v>
      </c>
      <c r="J280" s="293"/>
      <c r="K280" s="285">
        <f t="shared" si="47"/>
        <v>1</v>
      </c>
      <c r="L280" s="293"/>
      <c r="M280" s="285">
        <f t="shared" si="48"/>
        <v>1</v>
      </c>
      <c r="N280" s="293"/>
      <c r="O280" s="285">
        <f t="shared" si="49"/>
        <v>1</v>
      </c>
      <c r="P280" s="291" t="s">
        <v>3022</v>
      </c>
      <c r="Q280" s="285">
        <f t="shared" si="50"/>
        <v>1</v>
      </c>
      <c r="R280" s="285">
        <f t="shared" si="51"/>
        <v>27888</v>
      </c>
      <c r="S280" s="284">
        <f t="shared" si="52"/>
        <v>140</v>
      </c>
    </row>
    <row r="281" spans="1:19">
      <c r="A281" s="1061" t="str">
        <f>清单!D404</f>
        <v>C-1-1-401</v>
      </c>
      <c r="B281" s="1061">
        <f>清单!F404</f>
        <v>50.68</v>
      </c>
      <c r="C281" s="285">
        <f t="shared" si="43"/>
        <v>1</v>
      </c>
      <c r="D281" s="293"/>
      <c r="E281" s="285">
        <f t="shared" si="44"/>
        <v>1</v>
      </c>
      <c r="F281" s="293"/>
      <c r="G281" s="285">
        <f t="shared" si="45"/>
        <v>1</v>
      </c>
      <c r="H281" s="293"/>
      <c r="I281" s="285">
        <f t="shared" si="46"/>
        <v>1</v>
      </c>
      <c r="J281" s="293"/>
      <c r="K281" s="285">
        <f t="shared" si="47"/>
        <v>1</v>
      </c>
      <c r="L281" s="293"/>
      <c r="M281" s="285">
        <f t="shared" si="48"/>
        <v>1</v>
      </c>
      <c r="N281" s="293"/>
      <c r="O281" s="285">
        <f t="shared" si="49"/>
        <v>1</v>
      </c>
      <c r="P281" s="291" t="s">
        <v>3024</v>
      </c>
      <c r="Q281" s="285">
        <f t="shared" si="50"/>
        <v>0.97</v>
      </c>
      <c r="R281" s="285">
        <f t="shared" si="51"/>
        <v>27051</v>
      </c>
      <c r="S281" s="284">
        <f t="shared" si="52"/>
        <v>137</v>
      </c>
    </row>
    <row r="282" spans="1:19">
      <c r="A282" s="1061" t="str">
        <f>清单!D405</f>
        <v>C-1-1-502</v>
      </c>
      <c r="B282" s="1061">
        <f>清单!F405</f>
        <v>50.39</v>
      </c>
      <c r="C282" s="285">
        <f t="shared" ref="C282:C345" si="53">IF(B282="",1,(LOOKUP(B282,$3:$3,$4:$4)-LOOKUP($B$24,$3:$3,$4:$4)+100)/100)</f>
        <v>1</v>
      </c>
      <c r="D282" s="293"/>
      <c r="E282" s="285">
        <f t="shared" ref="E282:E345" si="54">(SUMIF($5:$5,D282,$6:$6)-SUMIF($5:$5,$D$24,$6:$6)+100)/100</f>
        <v>1</v>
      </c>
      <c r="F282" s="293"/>
      <c r="G282" s="285">
        <f t="shared" ref="G282:G345" si="55">(SUMIF($7:$7,F282,$8:$8)-SUMIF($7:$7,$F$24,$8:$8)+100)/100</f>
        <v>1</v>
      </c>
      <c r="H282" s="293"/>
      <c r="I282" s="285">
        <f t="shared" ref="I282:I345" si="56">(SUMIF($9:$9,H282,$10:$10)-SUMIF($9:$9,$H$24,$10:$10)+100)/100</f>
        <v>1</v>
      </c>
      <c r="J282" s="293"/>
      <c r="K282" s="285">
        <f t="shared" ref="K282:K345" si="57">(SUMIF($11:$11,J282,$12:$12)-SUMIF($11:$11,$J$24,$12:$12)+100)/100</f>
        <v>1</v>
      </c>
      <c r="L282" s="293"/>
      <c r="M282" s="285">
        <f t="shared" ref="M282:M345" si="58">(SUMIF($13:$13,L282,$14:$14)-SUMIF($13:$13,$L$24,$14:$14)+100)/100</f>
        <v>1</v>
      </c>
      <c r="N282" s="293"/>
      <c r="O282" s="285">
        <f t="shared" ref="O282:O345" si="59">(SUMIF($15:$15,N282,$16:$16)-SUMIF($15:$15,$N$24,$16:$16)+100)/100</f>
        <v>1</v>
      </c>
      <c r="P282" s="291" t="s">
        <v>3024</v>
      </c>
      <c r="Q282" s="285">
        <f t="shared" ref="Q282:Q345" si="60">(SUMIF($17:$17,P282,$18:$18)-SUMIF($17:$17,$P$24,$18:$18)+100)/100</f>
        <v>0.97</v>
      </c>
      <c r="R282" s="285">
        <f t="shared" ref="R282:R345" si="61">IF(B282="",0,ROUND($R$24*C282*E282*G282*I282*K282*M282*O282*Q282,0))</f>
        <v>27051</v>
      </c>
      <c r="S282" s="284">
        <f t="shared" si="52"/>
        <v>136</v>
      </c>
    </row>
    <row r="283" spans="1:19">
      <c r="A283" s="1061" t="str">
        <f>清单!D388</f>
        <v>C-1-2-801</v>
      </c>
      <c r="B283" s="1061">
        <f>清单!F388</f>
        <v>50.68</v>
      </c>
      <c r="C283" s="285">
        <f t="shared" si="53"/>
        <v>1</v>
      </c>
      <c r="D283" s="293"/>
      <c r="E283" s="285">
        <f t="shared" si="54"/>
        <v>1</v>
      </c>
      <c r="F283" s="293"/>
      <c r="G283" s="285">
        <f t="shared" si="55"/>
        <v>1</v>
      </c>
      <c r="H283" s="293"/>
      <c r="I283" s="285">
        <f t="shared" si="56"/>
        <v>1</v>
      </c>
      <c r="J283" s="293"/>
      <c r="K283" s="285">
        <f t="shared" si="57"/>
        <v>1</v>
      </c>
      <c r="L283" s="293"/>
      <c r="M283" s="285">
        <f t="shared" si="58"/>
        <v>1</v>
      </c>
      <c r="N283" s="293"/>
      <c r="O283" s="285">
        <f t="shared" si="59"/>
        <v>1</v>
      </c>
      <c r="P283" s="291" t="s">
        <v>3022</v>
      </c>
      <c r="Q283" s="285">
        <f t="shared" si="60"/>
        <v>1</v>
      </c>
      <c r="R283" s="285">
        <f t="shared" si="61"/>
        <v>27888</v>
      </c>
      <c r="S283" s="284">
        <f t="shared" si="52"/>
        <v>141</v>
      </c>
    </row>
    <row r="284" spans="1:19">
      <c r="A284" s="1061" t="str">
        <f>清单!D407</f>
        <v>C-1-1-602</v>
      </c>
      <c r="B284" s="1061">
        <f>清单!F407</f>
        <v>50.39</v>
      </c>
      <c r="C284" s="285">
        <f t="shared" si="53"/>
        <v>1</v>
      </c>
      <c r="D284" s="293"/>
      <c r="E284" s="285">
        <f t="shared" si="54"/>
        <v>1</v>
      </c>
      <c r="F284" s="293"/>
      <c r="G284" s="285">
        <f t="shared" si="55"/>
        <v>1</v>
      </c>
      <c r="H284" s="293"/>
      <c r="I284" s="285">
        <f t="shared" si="56"/>
        <v>1</v>
      </c>
      <c r="J284" s="293"/>
      <c r="K284" s="285">
        <f t="shared" si="57"/>
        <v>1</v>
      </c>
      <c r="L284" s="293"/>
      <c r="M284" s="285">
        <f t="shared" si="58"/>
        <v>1</v>
      </c>
      <c r="N284" s="293"/>
      <c r="O284" s="285">
        <f t="shared" si="59"/>
        <v>1</v>
      </c>
      <c r="P284" s="291" t="s">
        <v>3022</v>
      </c>
      <c r="Q284" s="285">
        <f t="shared" si="60"/>
        <v>1</v>
      </c>
      <c r="R284" s="285">
        <f t="shared" si="61"/>
        <v>27888</v>
      </c>
      <c r="S284" s="284">
        <f t="shared" si="52"/>
        <v>141</v>
      </c>
    </row>
    <row r="285" spans="1:19">
      <c r="A285" s="1061" t="str">
        <f>清单!D408</f>
        <v>C-1-1-703</v>
      </c>
      <c r="B285" s="1061">
        <f>清单!F408</f>
        <v>50.04</v>
      </c>
      <c r="C285" s="285">
        <f t="shared" si="53"/>
        <v>1</v>
      </c>
      <c r="D285" s="293"/>
      <c r="E285" s="285">
        <f t="shared" si="54"/>
        <v>1</v>
      </c>
      <c r="F285" s="293"/>
      <c r="G285" s="285">
        <f t="shared" si="55"/>
        <v>1</v>
      </c>
      <c r="H285" s="293"/>
      <c r="I285" s="285">
        <f t="shared" si="56"/>
        <v>1</v>
      </c>
      <c r="J285" s="293"/>
      <c r="K285" s="285">
        <f t="shared" si="57"/>
        <v>1</v>
      </c>
      <c r="L285" s="293"/>
      <c r="M285" s="285">
        <f t="shared" si="58"/>
        <v>1</v>
      </c>
      <c r="N285" s="293"/>
      <c r="O285" s="285">
        <f t="shared" si="59"/>
        <v>1</v>
      </c>
      <c r="P285" s="291" t="s">
        <v>3022</v>
      </c>
      <c r="Q285" s="285">
        <f t="shared" si="60"/>
        <v>1</v>
      </c>
      <c r="R285" s="285">
        <f t="shared" si="61"/>
        <v>27888</v>
      </c>
      <c r="S285" s="284">
        <f t="shared" si="52"/>
        <v>140</v>
      </c>
    </row>
    <row r="286" spans="1:19">
      <c r="A286" s="1061" t="str">
        <f>清单!D391</f>
        <v>C-1-2-901</v>
      </c>
      <c r="B286" s="1061">
        <f>清单!F391</f>
        <v>50.68</v>
      </c>
      <c r="C286" s="285">
        <f t="shared" si="53"/>
        <v>1</v>
      </c>
      <c r="D286" s="293"/>
      <c r="E286" s="285">
        <f t="shared" si="54"/>
        <v>1</v>
      </c>
      <c r="F286" s="293"/>
      <c r="G286" s="285">
        <f t="shared" si="55"/>
        <v>1</v>
      </c>
      <c r="H286" s="293"/>
      <c r="I286" s="285">
        <f t="shared" si="56"/>
        <v>1</v>
      </c>
      <c r="J286" s="293"/>
      <c r="K286" s="285">
        <f t="shared" si="57"/>
        <v>1</v>
      </c>
      <c r="L286" s="293"/>
      <c r="M286" s="285">
        <f t="shared" si="58"/>
        <v>1</v>
      </c>
      <c r="N286" s="293"/>
      <c r="O286" s="285">
        <f t="shared" si="59"/>
        <v>1</v>
      </c>
      <c r="P286" s="291" t="s">
        <v>3022</v>
      </c>
      <c r="Q286" s="285">
        <f t="shared" si="60"/>
        <v>1</v>
      </c>
      <c r="R286" s="285">
        <f t="shared" si="61"/>
        <v>27888</v>
      </c>
      <c r="S286" s="284">
        <f t="shared" si="52"/>
        <v>141</v>
      </c>
    </row>
    <row r="287" spans="1:19">
      <c r="A287" s="1061" t="str">
        <f>清单!D410</f>
        <v>C-2-4-103</v>
      </c>
      <c r="B287" s="1061">
        <f>清单!F410</f>
        <v>51.37</v>
      </c>
      <c r="C287" s="285">
        <f t="shared" si="53"/>
        <v>1</v>
      </c>
      <c r="D287" s="293"/>
      <c r="E287" s="285">
        <f t="shared" si="54"/>
        <v>1</v>
      </c>
      <c r="F287" s="293"/>
      <c r="G287" s="285">
        <f t="shared" si="55"/>
        <v>1</v>
      </c>
      <c r="H287" s="293"/>
      <c r="I287" s="285">
        <f t="shared" si="56"/>
        <v>1</v>
      </c>
      <c r="J287" s="293"/>
      <c r="K287" s="285">
        <f t="shared" si="57"/>
        <v>1</v>
      </c>
      <c r="L287" s="293"/>
      <c r="M287" s="285">
        <f t="shared" si="58"/>
        <v>1</v>
      </c>
      <c r="N287" s="293"/>
      <c r="O287" s="285">
        <f t="shared" si="59"/>
        <v>1</v>
      </c>
      <c r="P287" s="291" t="s">
        <v>3024</v>
      </c>
      <c r="Q287" s="285">
        <f t="shared" si="60"/>
        <v>0.97</v>
      </c>
      <c r="R287" s="285">
        <f t="shared" si="61"/>
        <v>27051</v>
      </c>
      <c r="S287" s="284">
        <f t="shared" ref="S287:S320" si="62">ROUND(R287*B287/10000,0)</f>
        <v>139</v>
      </c>
    </row>
    <row r="288" spans="1:19">
      <c r="A288" s="1061" t="str">
        <f>清单!D411</f>
        <v>C-2-4-101</v>
      </c>
      <c r="B288" s="1061">
        <f>清单!F411</f>
        <v>88.64</v>
      </c>
      <c r="C288" s="285">
        <f t="shared" si="53"/>
        <v>0.97</v>
      </c>
      <c r="D288" s="293"/>
      <c r="E288" s="285">
        <f t="shared" si="54"/>
        <v>1</v>
      </c>
      <c r="F288" s="293"/>
      <c r="G288" s="285">
        <f t="shared" si="55"/>
        <v>1</v>
      </c>
      <c r="H288" s="293"/>
      <c r="I288" s="285">
        <f t="shared" si="56"/>
        <v>1</v>
      </c>
      <c r="J288" s="293"/>
      <c r="K288" s="285">
        <f t="shared" si="57"/>
        <v>1</v>
      </c>
      <c r="L288" s="293"/>
      <c r="M288" s="285">
        <f t="shared" si="58"/>
        <v>1</v>
      </c>
      <c r="N288" s="293"/>
      <c r="O288" s="285">
        <f t="shared" si="59"/>
        <v>1</v>
      </c>
      <c r="P288" s="291" t="s">
        <v>3024</v>
      </c>
      <c r="Q288" s="285">
        <f t="shared" si="60"/>
        <v>0.97</v>
      </c>
      <c r="R288" s="285">
        <f t="shared" si="61"/>
        <v>26240</v>
      </c>
      <c r="S288" s="284">
        <f t="shared" si="62"/>
        <v>233</v>
      </c>
    </row>
    <row r="289" spans="1:19">
      <c r="A289" s="1061" t="str">
        <f>清单!D394</f>
        <v>C-1-2-1001</v>
      </c>
      <c r="B289" s="1061">
        <f>清单!F394</f>
        <v>50.68</v>
      </c>
      <c r="C289" s="285">
        <f t="shared" si="53"/>
        <v>1</v>
      </c>
      <c r="D289" s="293"/>
      <c r="E289" s="285">
        <f t="shared" si="54"/>
        <v>1</v>
      </c>
      <c r="F289" s="293"/>
      <c r="G289" s="285">
        <f t="shared" si="55"/>
        <v>1</v>
      </c>
      <c r="H289" s="293"/>
      <c r="I289" s="285">
        <f t="shared" si="56"/>
        <v>1</v>
      </c>
      <c r="J289" s="293"/>
      <c r="K289" s="285">
        <f t="shared" si="57"/>
        <v>1</v>
      </c>
      <c r="L289" s="293"/>
      <c r="M289" s="285">
        <f t="shared" si="58"/>
        <v>1</v>
      </c>
      <c r="N289" s="293"/>
      <c r="O289" s="285">
        <f t="shared" si="59"/>
        <v>1</v>
      </c>
      <c r="P289" s="291" t="s">
        <v>3024</v>
      </c>
      <c r="Q289" s="285">
        <f t="shared" si="60"/>
        <v>0.97</v>
      </c>
      <c r="R289" s="285">
        <f t="shared" si="61"/>
        <v>27051</v>
      </c>
      <c r="S289" s="284">
        <f t="shared" si="62"/>
        <v>137</v>
      </c>
    </row>
    <row r="290" spans="1:19">
      <c r="A290" s="1061" t="str">
        <f>清单!D413</f>
        <v>C-2-4-202</v>
      </c>
      <c r="B290" s="1061">
        <f>清单!F413</f>
        <v>61.29</v>
      </c>
      <c r="C290" s="285">
        <f t="shared" si="53"/>
        <v>0.97</v>
      </c>
      <c r="D290" s="293"/>
      <c r="E290" s="285">
        <f t="shared" si="54"/>
        <v>1</v>
      </c>
      <c r="F290" s="293"/>
      <c r="G290" s="285">
        <f t="shared" si="55"/>
        <v>1</v>
      </c>
      <c r="H290" s="293"/>
      <c r="I290" s="285">
        <f t="shared" si="56"/>
        <v>1</v>
      </c>
      <c r="J290" s="293"/>
      <c r="K290" s="285">
        <f t="shared" si="57"/>
        <v>1</v>
      </c>
      <c r="L290" s="293"/>
      <c r="M290" s="285">
        <f t="shared" si="58"/>
        <v>1</v>
      </c>
      <c r="N290" s="293"/>
      <c r="O290" s="285">
        <f t="shared" si="59"/>
        <v>1</v>
      </c>
      <c r="P290" s="291" t="s">
        <v>3022</v>
      </c>
      <c r="Q290" s="285">
        <f t="shared" si="60"/>
        <v>1</v>
      </c>
      <c r="R290" s="285">
        <f t="shared" si="61"/>
        <v>27051</v>
      </c>
      <c r="S290" s="284">
        <f t="shared" si="62"/>
        <v>166</v>
      </c>
    </row>
    <row r="291" spans="1:19">
      <c r="A291" s="1061" t="str">
        <f>清单!D414</f>
        <v>C-2-4-201</v>
      </c>
      <c r="B291" s="1061">
        <f>清单!F414</f>
        <v>88.77</v>
      </c>
      <c r="C291" s="285">
        <f t="shared" si="53"/>
        <v>0.97</v>
      </c>
      <c r="D291" s="293"/>
      <c r="E291" s="285">
        <f t="shared" si="54"/>
        <v>1</v>
      </c>
      <c r="F291" s="293"/>
      <c r="G291" s="285">
        <f t="shared" si="55"/>
        <v>1</v>
      </c>
      <c r="H291" s="293"/>
      <c r="I291" s="285">
        <f t="shared" si="56"/>
        <v>1</v>
      </c>
      <c r="J291" s="293"/>
      <c r="K291" s="285">
        <f t="shared" si="57"/>
        <v>1</v>
      </c>
      <c r="L291" s="293"/>
      <c r="M291" s="285">
        <f t="shared" si="58"/>
        <v>1</v>
      </c>
      <c r="N291" s="293"/>
      <c r="O291" s="285">
        <f t="shared" si="59"/>
        <v>1</v>
      </c>
      <c r="P291" s="291" t="s">
        <v>3024</v>
      </c>
      <c r="Q291" s="285">
        <f t="shared" si="60"/>
        <v>0.97</v>
      </c>
      <c r="R291" s="285">
        <f t="shared" si="61"/>
        <v>26240</v>
      </c>
      <c r="S291" s="284">
        <f t="shared" si="62"/>
        <v>233</v>
      </c>
    </row>
    <row r="292" spans="1:19">
      <c r="A292" s="1061" t="str">
        <f>清单!D397</f>
        <v>C-1-2-1101</v>
      </c>
      <c r="B292" s="1061">
        <f>清单!F397</f>
        <v>50.68</v>
      </c>
      <c r="C292" s="285">
        <f t="shared" si="53"/>
        <v>1</v>
      </c>
      <c r="D292" s="293"/>
      <c r="E292" s="285">
        <f t="shared" si="54"/>
        <v>1</v>
      </c>
      <c r="F292" s="293"/>
      <c r="G292" s="285">
        <f t="shared" si="55"/>
        <v>1</v>
      </c>
      <c r="H292" s="293"/>
      <c r="I292" s="285">
        <f t="shared" si="56"/>
        <v>1</v>
      </c>
      <c r="J292" s="293"/>
      <c r="K292" s="285">
        <f t="shared" si="57"/>
        <v>1</v>
      </c>
      <c r="L292" s="293"/>
      <c r="M292" s="285">
        <f t="shared" si="58"/>
        <v>1</v>
      </c>
      <c r="N292" s="293"/>
      <c r="O292" s="285">
        <f t="shared" si="59"/>
        <v>1</v>
      </c>
      <c r="P292" s="291" t="s">
        <v>3020</v>
      </c>
      <c r="Q292" s="285">
        <f t="shared" si="60"/>
        <v>1.03</v>
      </c>
      <c r="R292" s="285">
        <f t="shared" si="61"/>
        <v>28725</v>
      </c>
      <c r="S292" s="284">
        <f t="shared" si="62"/>
        <v>146</v>
      </c>
    </row>
    <row r="293" spans="1:19">
      <c r="A293" s="1061" t="str">
        <f>清单!D416</f>
        <v>C-2-4-302</v>
      </c>
      <c r="B293" s="1061">
        <f>清单!F416</f>
        <v>61.29</v>
      </c>
      <c r="C293" s="285">
        <f t="shared" si="53"/>
        <v>0.97</v>
      </c>
      <c r="D293" s="293"/>
      <c r="E293" s="285">
        <f t="shared" si="54"/>
        <v>1</v>
      </c>
      <c r="F293" s="293"/>
      <c r="G293" s="285">
        <f t="shared" si="55"/>
        <v>1</v>
      </c>
      <c r="H293" s="293"/>
      <c r="I293" s="285">
        <f t="shared" si="56"/>
        <v>1</v>
      </c>
      <c r="J293" s="293"/>
      <c r="K293" s="285">
        <f t="shared" si="57"/>
        <v>1</v>
      </c>
      <c r="L293" s="293"/>
      <c r="M293" s="285">
        <f t="shared" si="58"/>
        <v>1</v>
      </c>
      <c r="N293" s="293"/>
      <c r="O293" s="285">
        <f t="shared" si="59"/>
        <v>1</v>
      </c>
      <c r="P293" s="291" t="s">
        <v>3024</v>
      </c>
      <c r="Q293" s="285">
        <f t="shared" si="60"/>
        <v>0.97</v>
      </c>
      <c r="R293" s="285">
        <f t="shared" si="61"/>
        <v>26240</v>
      </c>
      <c r="S293" s="284">
        <f t="shared" si="62"/>
        <v>161</v>
      </c>
    </row>
    <row r="294" spans="1:19">
      <c r="A294" s="1061" t="str">
        <f>清单!D417</f>
        <v>C-2-4-301</v>
      </c>
      <c r="B294" s="1061">
        <f>清单!F417</f>
        <v>88.77</v>
      </c>
      <c r="C294" s="285">
        <f t="shared" si="53"/>
        <v>0.97</v>
      </c>
      <c r="D294" s="293"/>
      <c r="E294" s="285">
        <f t="shared" si="54"/>
        <v>1</v>
      </c>
      <c r="F294" s="293"/>
      <c r="G294" s="285">
        <f t="shared" si="55"/>
        <v>1</v>
      </c>
      <c r="H294" s="293"/>
      <c r="I294" s="285">
        <f t="shared" si="56"/>
        <v>1</v>
      </c>
      <c r="J294" s="293"/>
      <c r="K294" s="285">
        <f t="shared" si="57"/>
        <v>1</v>
      </c>
      <c r="L294" s="293"/>
      <c r="M294" s="285">
        <f t="shared" si="58"/>
        <v>1</v>
      </c>
      <c r="N294" s="293"/>
      <c r="O294" s="285">
        <f t="shared" si="59"/>
        <v>1</v>
      </c>
      <c r="P294" s="291" t="s">
        <v>3024</v>
      </c>
      <c r="Q294" s="285">
        <f t="shared" si="60"/>
        <v>0.97</v>
      </c>
      <c r="R294" s="285">
        <f t="shared" si="61"/>
        <v>26240</v>
      </c>
      <c r="S294" s="284">
        <f t="shared" si="62"/>
        <v>233</v>
      </c>
    </row>
    <row r="295" spans="1:19">
      <c r="A295" s="1061" t="str">
        <f>清单!D400</f>
        <v>C-1-1-101</v>
      </c>
      <c r="B295" s="1061">
        <f>清单!F400</f>
        <v>50.68</v>
      </c>
      <c r="C295" s="285">
        <f t="shared" si="53"/>
        <v>1</v>
      </c>
      <c r="D295" s="293"/>
      <c r="E295" s="285">
        <f t="shared" si="54"/>
        <v>1</v>
      </c>
      <c r="F295" s="293"/>
      <c r="G295" s="285">
        <f t="shared" si="55"/>
        <v>1</v>
      </c>
      <c r="H295" s="293"/>
      <c r="I295" s="285">
        <f t="shared" si="56"/>
        <v>1</v>
      </c>
      <c r="J295" s="293"/>
      <c r="K295" s="285">
        <f t="shared" si="57"/>
        <v>1</v>
      </c>
      <c r="L295" s="293"/>
      <c r="M295" s="285">
        <f t="shared" si="58"/>
        <v>1</v>
      </c>
      <c r="N295" s="293"/>
      <c r="O295" s="285">
        <f t="shared" si="59"/>
        <v>1</v>
      </c>
      <c r="P295" s="291" t="s">
        <v>3024</v>
      </c>
      <c r="Q295" s="285">
        <f t="shared" si="60"/>
        <v>0.97</v>
      </c>
      <c r="R295" s="285">
        <f t="shared" si="61"/>
        <v>27051</v>
      </c>
      <c r="S295" s="284">
        <f t="shared" si="62"/>
        <v>137</v>
      </c>
    </row>
    <row r="296" spans="1:19">
      <c r="A296" s="1061" t="str">
        <f>清单!D419</f>
        <v>C-2-4-401</v>
      </c>
      <c r="B296" s="1061">
        <f>清单!F419</f>
        <v>88.77</v>
      </c>
      <c r="C296" s="285">
        <f t="shared" si="53"/>
        <v>0.97</v>
      </c>
      <c r="D296" s="293"/>
      <c r="E296" s="285">
        <f t="shared" si="54"/>
        <v>1</v>
      </c>
      <c r="F296" s="293"/>
      <c r="G296" s="285">
        <f t="shared" si="55"/>
        <v>1</v>
      </c>
      <c r="H296" s="293"/>
      <c r="I296" s="285">
        <f t="shared" si="56"/>
        <v>1</v>
      </c>
      <c r="J296" s="293"/>
      <c r="K296" s="285">
        <f t="shared" si="57"/>
        <v>1</v>
      </c>
      <c r="L296" s="293"/>
      <c r="M296" s="285">
        <f t="shared" si="58"/>
        <v>1</v>
      </c>
      <c r="N296" s="293"/>
      <c r="O296" s="285">
        <f t="shared" si="59"/>
        <v>1</v>
      </c>
      <c r="P296" s="291" t="s">
        <v>3024</v>
      </c>
      <c r="Q296" s="285">
        <f t="shared" si="60"/>
        <v>0.97</v>
      </c>
      <c r="R296" s="285">
        <f t="shared" si="61"/>
        <v>26240</v>
      </c>
      <c r="S296" s="284">
        <f t="shared" si="62"/>
        <v>233</v>
      </c>
    </row>
    <row r="297" spans="1:19">
      <c r="A297" s="1061" t="str">
        <f>清单!D420</f>
        <v>C-2-4-503</v>
      </c>
      <c r="B297" s="1061">
        <f>清单!F420</f>
        <v>51.66</v>
      </c>
      <c r="C297" s="285">
        <f t="shared" si="53"/>
        <v>1</v>
      </c>
      <c r="D297" s="293"/>
      <c r="E297" s="285">
        <f t="shared" si="54"/>
        <v>1</v>
      </c>
      <c r="F297" s="293"/>
      <c r="G297" s="285">
        <f t="shared" si="55"/>
        <v>1</v>
      </c>
      <c r="H297" s="293"/>
      <c r="I297" s="285">
        <f t="shared" si="56"/>
        <v>1</v>
      </c>
      <c r="J297" s="293"/>
      <c r="K297" s="285">
        <f t="shared" si="57"/>
        <v>1</v>
      </c>
      <c r="L297" s="293"/>
      <c r="M297" s="285">
        <f t="shared" si="58"/>
        <v>1</v>
      </c>
      <c r="N297" s="293"/>
      <c r="O297" s="285">
        <f t="shared" si="59"/>
        <v>1</v>
      </c>
      <c r="P297" s="291" t="s">
        <v>3024</v>
      </c>
      <c r="Q297" s="285">
        <f t="shared" si="60"/>
        <v>0.97</v>
      </c>
      <c r="R297" s="285">
        <f t="shared" si="61"/>
        <v>27051</v>
      </c>
      <c r="S297" s="284">
        <f t="shared" si="62"/>
        <v>140</v>
      </c>
    </row>
    <row r="298" spans="1:19">
      <c r="A298" s="1061" t="str">
        <f>清单!D403</f>
        <v>C-1-1-402</v>
      </c>
      <c r="B298" s="1061">
        <f>清单!F403</f>
        <v>50.39</v>
      </c>
      <c r="C298" s="285">
        <f t="shared" si="53"/>
        <v>1</v>
      </c>
      <c r="D298" s="293"/>
      <c r="E298" s="285">
        <f t="shared" si="54"/>
        <v>1</v>
      </c>
      <c r="F298" s="293"/>
      <c r="G298" s="285">
        <f t="shared" si="55"/>
        <v>1</v>
      </c>
      <c r="H298" s="293"/>
      <c r="I298" s="285">
        <f t="shared" si="56"/>
        <v>1</v>
      </c>
      <c r="J298" s="293"/>
      <c r="K298" s="285">
        <f t="shared" si="57"/>
        <v>1</v>
      </c>
      <c r="L298" s="293"/>
      <c r="M298" s="285">
        <f t="shared" si="58"/>
        <v>1</v>
      </c>
      <c r="N298" s="293"/>
      <c r="O298" s="285">
        <f t="shared" si="59"/>
        <v>1</v>
      </c>
      <c r="P298" s="291" t="s">
        <v>3024</v>
      </c>
      <c r="Q298" s="285">
        <f t="shared" si="60"/>
        <v>0.97</v>
      </c>
      <c r="R298" s="285">
        <f t="shared" si="61"/>
        <v>27051</v>
      </c>
      <c r="S298" s="284">
        <f t="shared" si="62"/>
        <v>136</v>
      </c>
    </row>
    <row r="299" spans="1:19">
      <c r="A299" s="1061" t="str">
        <f>清单!D422</f>
        <v>C-2-4-603</v>
      </c>
      <c r="B299" s="1061">
        <f>清单!F422</f>
        <v>51.66</v>
      </c>
      <c r="C299" s="285">
        <f t="shared" si="53"/>
        <v>1</v>
      </c>
      <c r="D299" s="293"/>
      <c r="E299" s="285">
        <f t="shared" si="54"/>
        <v>1</v>
      </c>
      <c r="F299" s="293"/>
      <c r="G299" s="285">
        <f t="shared" si="55"/>
        <v>1</v>
      </c>
      <c r="H299" s="293"/>
      <c r="I299" s="285">
        <f t="shared" si="56"/>
        <v>1</v>
      </c>
      <c r="J299" s="293"/>
      <c r="K299" s="285">
        <f t="shared" si="57"/>
        <v>1</v>
      </c>
      <c r="L299" s="293"/>
      <c r="M299" s="285">
        <f t="shared" si="58"/>
        <v>1</v>
      </c>
      <c r="N299" s="293"/>
      <c r="O299" s="285">
        <f t="shared" si="59"/>
        <v>1</v>
      </c>
      <c r="P299" s="291" t="s">
        <v>3022</v>
      </c>
      <c r="Q299" s="285">
        <f t="shared" si="60"/>
        <v>1</v>
      </c>
      <c r="R299" s="285">
        <f t="shared" si="61"/>
        <v>27888</v>
      </c>
      <c r="S299" s="284">
        <f t="shared" si="62"/>
        <v>144</v>
      </c>
    </row>
    <row r="300" spans="1:19">
      <c r="A300" s="1061" t="str">
        <f>清单!D423</f>
        <v>C-2-4-601</v>
      </c>
      <c r="B300" s="1061">
        <f>清单!F423</f>
        <v>88.77</v>
      </c>
      <c r="C300" s="285">
        <f t="shared" si="53"/>
        <v>0.97</v>
      </c>
      <c r="D300" s="293"/>
      <c r="E300" s="285">
        <f t="shared" si="54"/>
        <v>1</v>
      </c>
      <c r="F300" s="293"/>
      <c r="G300" s="285">
        <f t="shared" si="55"/>
        <v>1</v>
      </c>
      <c r="H300" s="293"/>
      <c r="I300" s="285">
        <f t="shared" si="56"/>
        <v>1</v>
      </c>
      <c r="J300" s="293"/>
      <c r="K300" s="285">
        <f t="shared" si="57"/>
        <v>1</v>
      </c>
      <c r="L300" s="293"/>
      <c r="M300" s="285">
        <f t="shared" si="58"/>
        <v>1</v>
      </c>
      <c r="N300" s="293"/>
      <c r="O300" s="285">
        <f t="shared" si="59"/>
        <v>1</v>
      </c>
      <c r="P300" s="291" t="s">
        <v>3022</v>
      </c>
      <c r="Q300" s="285">
        <f t="shared" si="60"/>
        <v>1</v>
      </c>
      <c r="R300" s="285">
        <f t="shared" si="61"/>
        <v>27051</v>
      </c>
      <c r="S300" s="284">
        <f t="shared" si="62"/>
        <v>240</v>
      </c>
    </row>
    <row r="301" spans="1:19">
      <c r="A301" s="1061" t="str">
        <f>清单!D406</f>
        <v>C-1-1-501</v>
      </c>
      <c r="B301" s="1061">
        <f>清单!F406</f>
        <v>50.68</v>
      </c>
      <c r="C301" s="285">
        <f t="shared" si="53"/>
        <v>1</v>
      </c>
      <c r="D301" s="293"/>
      <c r="E301" s="285">
        <f t="shared" si="54"/>
        <v>1</v>
      </c>
      <c r="F301" s="293"/>
      <c r="G301" s="285">
        <f t="shared" si="55"/>
        <v>1</v>
      </c>
      <c r="H301" s="293"/>
      <c r="I301" s="285">
        <f t="shared" si="56"/>
        <v>1</v>
      </c>
      <c r="J301" s="293"/>
      <c r="K301" s="285">
        <f t="shared" si="57"/>
        <v>1</v>
      </c>
      <c r="L301" s="293"/>
      <c r="M301" s="285">
        <f t="shared" si="58"/>
        <v>1</v>
      </c>
      <c r="N301" s="293"/>
      <c r="O301" s="285">
        <f t="shared" si="59"/>
        <v>1</v>
      </c>
      <c r="P301" s="291" t="s">
        <v>3024</v>
      </c>
      <c r="Q301" s="285">
        <f t="shared" si="60"/>
        <v>0.97</v>
      </c>
      <c r="R301" s="285">
        <f t="shared" si="61"/>
        <v>27051</v>
      </c>
      <c r="S301" s="284">
        <f t="shared" si="62"/>
        <v>137</v>
      </c>
    </row>
    <row r="302" spans="1:19">
      <c r="A302" s="1061" t="str">
        <f>清单!D425</f>
        <v>C-2-4-701</v>
      </c>
      <c r="B302" s="1061">
        <f>清单!F425</f>
        <v>88.77</v>
      </c>
      <c r="C302" s="285">
        <f t="shared" si="53"/>
        <v>0.97</v>
      </c>
      <c r="D302" s="293"/>
      <c r="E302" s="285">
        <f t="shared" si="54"/>
        <v>1</v>
      </c>
      <c r="F302" s="293"/>
      <c r="G302" s="285">
        <f t="shared" si="55"/>
        <v>1</v>
      </c>
      <c r="H302" s="293"/>
      <c r="I302" s="285">
        <f t="shared" si="56"/>
        <v>1</v>
      </c>
      <c r="J302" s="293"/>
      <c r="K302" s="285">
        <f t="shared" si="57"/>
        <v>1</v>
      </c>
      <c r="L302" s="293"/>
      <c r="M302" s="285">
        <f t="shared" si="58"/>
        <v>1</v>
      </c>
      <c r="N302" s="293"/>
      <c r="O302" s="285">
        <f t="shared" si="59"/>
        <v>1</v>
      </c>
      <c r="P302" s="291" t="s">
        <v>3022</v>
      </c>
      <c r="Q302" s="285">
        <f t="shared" si="60"/>
        <v>1</v>
      </c>
      <c r="R302" s="285">
        <f t="shared" si="61"/>
        <v>27051</v>
      </c>
      <c r="S302" s="284">
        <f t="shared" si="62"/>
        <v>240</v>
      </c>
    </row>
    <row r="303" spans="1:19">
      <c r="A303" s="1061" t="str">
        <f>清单!D426</f>
        <v>C-2-4-803</v>
      </c>
      <c r="B303" s="1061">
        <f>清单!F426</f>
        <v>51.66</v>
      </c>
      <c r="C303" s="285">
        <f t="shared" si="53"/>
        <v>1</v>
      </c>
      <c r="D303" s="293"/>
      <c r="E303" s="285">
        <f t="shared" si="54"/>
        <v>1</v>
      </c>
      <c r="F303" s="293"/>
      <c r="G303" s="285">
        <f t="shared" si="55"/>
        <v>1</v>
      </c>
      <c r="H303" s="293"/>
      <c r="I303" s="285">
        <f t="shared" si="56"/>
        <v>1</v>
      </c>
      <c r="J303" s="293"/>
      <c r="K303" s="285">
        <f t="shared" si="57"/>
        <v>1</v>
      </c>
      <c r="L303" s="293"/>
      <c r="M303" s="285">
        <f t="shared" si="58"/>
        <v>1</v>
      </c>
      <c r="N303" s="293"/>
      <c r="O303" s="285">
        <f t="shared" si="59"/>
        <v>1</v>
      </c>
      <c r="P303" s="291" t="s">
        <v>3022</v>
      </c>
      <c r="Q303" s="285">
        <f t="shared" si="60"/>
        <v>1</v>
      </c>
      <c r="R303" s="285">
        <f t="shared" si="61"/>
        <v>27888</v>
      </c>
      <c r="S303" s="284">
        <f t="shared" si="62"/>
        <v>144</v>
      </c>
    </row>
    <row r="304" spans="1:19">
      <c r="A304" s="1061" t="str">
        <f>清单!D409</f>
        <v>C-1-1-702</v>
      </c>
      <c r="B304" s="1061">
        <f>清单!F409</f>
        <v>50.39</v>
      </c>
      <c r="C304" s="285">
        <f t="shared" si="53"/>
        <v>1</v>
      </c>
      <c r="D304" s="293"/>
      <c r="E304" s="285">
        <f t="shared" si="54"/>
        <v>1</v>
      </c>
      <c r="F304" s="293"/>
      <c r="G304" s="285">
        <f t="shared" si="55"/>
        <v>1</v>
      </c>
      <c r="H304" s="293"/>
      <c r="I304" s="285">
        <f t="shared" si="56"/>
        <v>1</v>
      </c>
      <c r="J304" s="293"/>
      <c r="K304" s="285">
        <f t="shared" si="57"/>
        <v>1</v>
      </c>
      <c r="L304" s="293"/>
      <c r="M304" s="285">
        <f t="shared" si="58"/>
        <v>1</v>
      </c>
      <c r="N304" s="293"/>
      <c r="O304" s="285">
        <f t="shared" si="59"/>
        <v>1</v>
      </c>
      <c r="P304" s="291" t="s">
        <v>3022</v>
      </c>
      <c r="Q304" s="285">
        <f t="shared" si="60"/>
        <v>1</v>
      </c>
      <c r="R304" s="285">
        <f t="shared" si="61"/>
        <v>27888</v>
      </c>
      <c r="S304" s="284">
        <f t="shared" si="62"/>
        <v>141</v>
      </c>
    </row>
    <row r="305" spans="1:19">
      <c r="A305" s="1061" t="str">
        <f>清单!D428</f>
        <v>C-2-4-903</v>
      </c>
      <c r="B305" s="1061">
        <f>清单!F428</f>
        <v>51.66</v>
      </c>
      <c r="C305" s="285">
        <f t="shared" si="53"/>
        <v>1</v>
      </c>
      <c r="D305" s="293"/>
      <c r="E305" s="285">
        <f t="shared" si="54"/>
        <v>1</v>
      </c>
      <c r="F305" s="293"/>
      <c r="G305" s="285">
        <f t="shared" si="55"/>
        <v>1</v>
      </c>
      <c r="H305" s="293"/>
      <c r="I305" s="285">
        <f t="shared" si="56"/>
        <v>1</v>
      </c>
      <c r="J305" s="293"/>
      <c r="K305" s="285">
        <f t="shared" si="57"/>
        <v>1</v>
      </c>
      <c r="L305" s="293"/>
      <c r="M305" s="285">
        <f t="shared" si="58"/>
        <v>1</v>
      </c>
      <c r="N305" s="293"/>
      <c r="O305" s="285">
        <f t="shared" si="59"/>
        <v>1</v>
      </c>
      <c r="P305" s="291" t="s">
        <v>3022</v>
      </c>
      <c r="Q305" s="285">
        <f t="shared" si="60"/>
        <v>1</v>
      </c>
      <c r="R305" s="285">
        <f t="shared" si="61"/>
        <v>27888</v>
      </c>
      <c r="S305" s="284">
        <f t="shared" si="62"/>
        <v>144</v>
      </c>
    </row>
    <row r="306" spans="1:19">
      <c r="A306" s="1061" t="str">
        <f>清单!D429</f>
        <v>C-2-4-901</v>
      </c>
      <c r="B306" s="1061">
        <f>清单!F429</f>
        <v>88.77</v>
      </c>
      <c r="C306" s="285">
        <f t="shared" si="53"/>
        <v>0.97</v>
      </c>
      <c r="D306" s="293"/>
      <c r="E306" s="285">
        <f t="shared" si="54"/>
        <v>1</v>
      </c>
      <c r="F306" s="293"/>
      <c r="G306" s="285">
        <f t="shared" si="55"/>
        <v>1</v>
      </c>
      <c r="H306" s="293"/>
      <c r="I306" s="285">
        <f t="shared" si="56"/>
        <v>1</v>
      </c>
      <c r="J306" s="293"/>
      <c r="K306" s="285">
        <f t="shared" si="57"/>
        <v>1</v>
      </c>
      <c r="L306" s="293"/>
      <c r="M306" s="285">
        <f t="shared" si="58"/>
        <v>1</v>
      </c>
      <c r="N306" s="293"/>
      <c r="O306" s="285">
        <f t="shared" si="59"/>
        <v>1</v>
      </c>
      <c r="P306" s="291" t="s">
        <v>3022</v>
      </c>
      <c r="Q306" s="285">
        <f t="shared" si="60"/>
        <v>1</v>
      </c>
      <c r="R306" s="285">
        <f t="shared" si="61"/>
        <v>27051</v>
      </c>
      <c r="S306" s="284">
        <f t="shared" si="62"/>
        <v>240</v>
      </c>
    </row>
    <row r="307" spans="1:19">
      <c r="A307" s="1061" t="str">
        <f>清单!D412</f>
        <v>C-2-4-203</v>
      </c>
      <c r="B307" s="1061">
        <f>清单!F412</f>
        <v>51.66</v>
      </c>
      <c r="C307" s="285">
        <f t="shared" si="53"/>
        <v>1</v>
      </c>
      <c r="D307" s="293"/>
      <c r="E307" s="285">
        <f t="shared" si="54"/>
        <v>1</v>
      </c>
      <c r="F307" s="293"/>
      <c r="G307" s="285">
        <f t="shared" si="55"/>
        <v>1</v>
      </c>
      <c r="H307" s="293"/>
      <c r="I307" s="285">
        <f t="shared" si="56"/>
        <v>1</v>
      </c>
      <c r="J307" s="293"/>
      <c r="K307" s="285">
        <f t="shared" si="57"/>
        <v>1</v>
      </c>
      <c r="L307" s="293"/>
      <c r="M307" s="285">
        <f t="shared" si="58"/>
        <v>1</v>
      </c>
      <c r="N307" s="293"/>
      <c r="O307" s="285">
        <f t="shared" si="59"/>
        <v>1</v>
      </c>
      <c r="P307" s="291" t="s">
        <v>3024</v>
      </c>
      <c r="Q307" s="285">
        <f t="shared" si="60"/>
        <v>0.97</v>
      </c>
      <c r="R307" s="285">
        <f t="shared" si="61"/>
        <v>27051</v>
      </c>
      <c r="S307" s="284">
        <f t="shared" si="62"/>
        <v>140</v>
      </c>
    </row>
    <row r="308" spans="1:19">
      <c r="A308" s="1061" t="str">
        <f>清单!D431</f>
        <v>C-2-4-1001</v>
      </c>
      <c r="B308" s="1061">
        <f>清单!F431</f>
        <v>88.77</v>
      </c>
      <c r="C308" s="285">
        <f t="shared" si="53"/>
        <v>0.97</v>
      </c>
      <c r="D308" s="293"/>
      <c r="E308" s="285">
        <f t="shared" si="54"/>
        <v>1</v>
      </c>
      <c r="F308" s="293"/>
      <c r="G308" s="285">
        <f t="shared" si="55"/>
        <v>1</v>
      </c>
      <c r="H308" s="293"/>
      <c r="I308" s="285">
        <f t="shared" si="56"/>
        <v>1</v>
      </c>
      <c r="J308" s="293"/>
      <c r="K308" s="285">
        <f t="shared" si="57"/>
        <v>1</v>
      </c>
      <c r="L308" s="293"/>
      <c r="M308" s="285">
        <f t="shared" si="58"/>
        <v>1</v>
      </c>
      <c r="N308" s="293"/>
      <c r="O308" s="285">
        <f t="shared" si="59"/>
        <v>1</v>
      </c>
      <c r="P308" s="291" t="s">
        <v>3024</v>
      </c>
      <c r="Q308" s="285">
        <f t="shared" si="60"/>
        <v>0.97</v>
      </c>
      <c r="R308" s="285">
        <f t="shared" si="61"/>
        <v>26240</v>
      </c>
      <c r="S308" s="284">
        <f t="shared" si="62"/>
        <v>233</v>
      </c>
    </row>
    <row r="309" spans="1:19">
      <c r="A309" s="1061" t="str">
        <f>清单!D432</f>
        <v>C-2-4-1103</v>
      </c>
      <c r="B309" s="1061">
        <f>清单!F432</f>
        <v>51.66</v>
      </c>
      <c r="C309" s="285">
        <f t="shared" si="53"/>
        <v>1</v>
      </c>
      <c r="D309" s="293"/>
      <c r="E309" s="285">
        <f t="shared" si="54"/>
        <v>1</v>
      </c>
      <c r="F309" s="293"/>
      <c r="G309" s="285">
        <f t="shared" si="55"/>
        <v>1</v>
      </c>
      <c r="H309" s="293"/>
      <c r="I309" s="285">
        <f t="shared" si="56"/>
        <v>1</v>
      </c>
      <c r="J309" s="293"/>
      <c r="K309" s="285">
        <f t="shared" si="57"/>
        <v>1</v>
      </c>
      <c r="L309" s="293"/>
      <c r="M309" s="285">
        <f t="shared" si="58"/>
        <v>1</v>
      </c>
      <c r="N309" s="293"/>
      <c r="O309" s="285">
        <f t="shared" si="59"/>
        <v>1</v>
      </c>
      <c r="P309" s="291" t="s">
        <v>3020</v>
      </c>
      <c r="Q309" s="285">
        <f t="shared" si="60"/>
        <v>1.03</v>
      </c>
      <c r="R309" s="285">
        <f t="shared" si="61"/>
        <v>28725</v>
      </c>
      <c r="S309" s="284">
        <f t="shared" si="62"/>
        <v>148</v>
      </c>
    </row>
    <row r="310" spans="1:19">
      <c r="A310" s="1061" t="str">
        <f>清单!D415</f>
        <v>C-2-4-303</v>
      </c>
      <c r="B310" s="1061">
        <f>清单!F415</f>
        <v>51.66</v>
      </c>
      <c r="C310" s="285">
        <f t="shared" si="53"/>
        <v>1</v>
      </c>
      <c r="D310" s="293"/>
      <c r="E310" s="285">
        <f t="shared" si="54"/>
        <v>1</v>
      </c>
      <c r="F310" s="293"/>
      <c r="G310" s="285">
        <f t="shared" si="55"/>
        <v>1</v>
      </c>
      <c r="H310" s="293"/>
      <c r="I310" s="285">
        <f t="shared" si="56"/>
        <v>1</v>
      </c>
      <c r="J310" s="293"/>
      <c r="K310" s="285">
        <f t="shared" si="57"/>
        <v>1</v>
      </c>
      <c r="L310" s="293"/>
      <c r="M310" s="285">
        <f t="shared" si="58"/>
        <v>1</v>
      </c>
      <c r="N310" s="293"/>
      <c r="O310" s="285">
        <f t="shared" si="59"/>
        <v>1</v>
      </c>
      <c r="P310" s="291" t="s">
        <v>3024</v>
      </c>
      <c r="Q310" s="285">
        <f t="shared" si="60"/>
        <v>0.97</v>
      </c>
      <c r="R310" s="285">
        <f t="shared" si="61"/>
        <v>27051</v>
      </c>
      <c r="S310" s="284">
        <f t="shared" si="62"/>
        <v>140</v>
      </c>
    </row>
    <row r="311" spans="1:19">
      <c r="A311" s="1061" t="str">
        <f>清单!D434</f>
        <v>C-2-3-102</v>
      </c>
      <c r="B311" s="1061">
        <f>清单!F434</f>
        <v>88.64</v>
      </c>
      <c r="C311" s="285">
        <f t="shared" si="53"/>
        <v>0.97</v>
      </c>
      <c r="D311" s="293"/>
      <c r="E311" s="285">
        <f t="shared" si="54"/>
        <v>1</v>
      </c>
      <c r="F311" s="293"/>
      <c r="G311" s="285">
        <f t="shared" si="55"/>
        <v>1</v>
      </c>
      <c r="H311" s="293"/>
      <c r="I311" s="285">
        <f t="shared" si="56"/>
        <v>1</v>
      </c>
      <c r="J311" s="293"/>
      <c r="K311" s="285">
        <f t="shared" si="57"/>
        <v>1</v>
      </c>
      <c r="L311" s="293"/>
      <c r="M311" s="285">
        <f t="shared" si="58"/>
        <v>1</v>
      </c>
      <c r="N311" s="293"/>
      <c r="O311" s="285">
        <f t="shared" si="59"/>
        <v>1</v>
      </c>
      <c r="P311" s="291" t="s">
        <v>3024</v>
      </c>
      <c r="Q311" s="285">
        <f t="shared" si="60"/>
        <v>0.97</v>
      </c>
      <c r="R311" s="285">
        <f t="shared" si="61"/>
        <v>26240</v>
      </c>
      <c r="S311" s="284">
        <f t="shared" si="62"/>
        <v>233</v>
      </c>
    </row>
    <row r="312" spans="1:19">
      <c r="A312" s="1061" t="str">
        <f>清单!D435</f>
        <v>C-2-3-101</v>
      </c>
      <c r="B312" s="1061">
        <f>清单!F435</f>
        <v>88.77</v>
      </c>
      <c r="C312" s="285">
        <f t="shared" si="53"/>
        <v>0.97</v>
      </c>
      <c r="D312" s="293"/>
      <c r="E312" s="285">
        <f t="shared" si="54"/>
        <v>1</v>
      </c>
      <c r="F312" s="293"/>
      <c r="G312" s="285">
        <f t="shared" si="55"/>
        <v>1</v>
      </c>
      <c r="H312" s="293"/>
      <c r="I312" s="285">
        <f t="shared" si="56"/>
        <v>1</v>
      </c>
      <c r="J312" s="293"/>
      <c r="K312" s="285">
        <f t="shared" si="57"/>
        <v>1</v>
      </c>
      <c r="L312" s="293"/>
      <c r="M312" s="285">
        <f t="shared" si="58"/>
        <v>1</v>
      </c>
      <c r="N312" s="293"/>
      <c r="O312" s="285">
        <f t="shared" si="59"/>
        <v>1</v>
      </c>
      <c r="P312" s="291" t="s">
        <v>3024</v>
      </c>
      <c r="Q312" s="285">
        <f t="shared" si="60"/>
        <v>0.97</v>
      </c>
      <c r="R312" s="285">
        <f t="shared" si="61"/>
        <v>26240</v>
      </c>
      <c r="S312" s="284">
        <f t="shared" si="62"/>
        <v>233</v>
      </c>
    </row>
    <row r="313" spans="1:19">
      <c r="A313" s="1061" t="str">
        <f>清单!D418</f>
        <v>C-2-4-403</v>
      </c>
      <c r="B313" s="1061">
        <f>清单!F418</f>
        <v>51.66</v>
      </c>
      <c r="C313" s="285">
        <f t="shared" si="53"/>
        <v>1</v>
      </c>
      <c r="D313" s="293"/>
      <c r="E313" s="285">
        <f t="shared" si="54"/>
        <v>1</v>
      </c>
      <c r="F313" s="293"/>
      <c r="G313" s="285">
        <f t="shared" si="55"/>
        <v>1</v>
      </c>
      <c r="H313" s="293"/>
      <c r="I313" s="285">
        <f t="shared" si="56"/>
        <v>1</v>
      </c>
      <c r="J313" s="293"/>
      <c r="K313" s="285">
        <f t="shared" si="57"/>
        <v>1</v>
      </c>
      <c r="L313" s="293"/>
      <c r="M313" s="285">
        <f t="shared" si="58"/>
        <v>1</v>
      </c>
      <c r="N313" s="293"/>
      <c r="O313" s="285">
        <f t="shared" si="59"/>
        <v>1</v>
      </c>
      <c r="P313" s="291" t="s">
        <v>3024</v>
      </c>
      <c r="Q313" s="285">
        <f t="shared" si="60"/>
        <v>0.97</v>
      </c>
      <c r="R313" s="285">
        <f t="shared" si="61"/>
        <v>27051</v>
      </c>
      <c r="S313" s="284">
        <f t="shared" si="62"/>
        <v>140</v>
      </c>
    </row>
    <row r="314" spans="1:19">
      <c r="A314" s="1061" t="str">
        <f>清单!D437</f>
        <v>C-2-3-201</v>
      </c>
      <c r="B314" s="1061">
        <f>清单!F437</f>
        <v>88.77</v>
      </c>
      <c r="C314" s="285">
        <f t="shared" si="53"/>
        <v>0.97</v>
      </c>
      <c r="D314" s="293"/>
      <c r="E314" s="285">
        <f t="shared" si="54"/>
        <v>1</v>
      </c>
      <c r="F314" s="293"/>
      <c r="G314" s="285">
        <f t="shared" si="55"/>
        <v>1</v>
      </c>
      <c r="H314" s="293"/>
      <c r="I314" s="285">
        <f t="shared" si="56"/>
        <v>1</v>
      </c>
      <c r="J314" s="293"/>
      <c r="K314" s="285">
        <f t="shared" si="57"/>
        <v>1</v>
      </c>
      <c r="L314" s="293"/>
      <c r="M314" s="285">
        <f t="shared" si="58"/>
        <v>1</v>
      </c>
      <c r="N314" s="293"/>
      <c r="O314" s="285">
        <f t="shared" si="59"/>
        <v>1</v>
      </c>
      <c r="P314" s="291" t="s">
        <v>3024</v>
      </c>
      <c r="Q314" s="285">
        <f t="shared" si="60"/>
        <v>0.97</v>
      </c>
      <c r="R314" s="285">
        <f t="shared" si="61"/>
        <v>26240</v>
      </c>
      <c r="S314" s="284">
        <f t="shared" si="62"/>
        <v>233</v>
      </c>
    </row>
    <row r="315" spans="1:19">
      <c r="A315" s="1061" t="str">
        <f>清单!D438</f>
        <v>C-2-3-302</v>
      </c>
      <c r="B315" s="1061">
        <f>清单!F438</f>
        <v>88.77</v>
      </c>
      <c r="C315" s="285">
        <f t="shared" si="53"/>
        <v>0.97</v>
      </c>
      <c r="D315" s="293"/>
      <c r="E315" s="285">
        <f t="shared" si="54"/>
        <v>1</v>
      </c>
      <c r="F315" s="293"/>
      <c r="G315" s="285">
        <f t="shared" si="55"/>
        <v>1</v>
      </c>
      <c r="H315" s="293"/>
      <c r="I315" s="285">
        <f t="shared" si="56"/>
        <v>1</v>
      </c>
      <c r="J315" s="293"/>
      <c r="K315" s="285">
        <f t="shared" si="57"/>
        <v>1</v>
      </c>
      <c r="L315" s="293"/>
      <c r="M315" s="285">
        <f t="shared" si="58"/>
        <v>1</v>
      </c>
      <c r="N315" s="293"/>
      <c r="O315" s="285">
        <f t="shared" si="59"/>
        <v>1</v>
      </c>
      <c r="P315" s="291" t="s">
        <v>3024</v>
      </c>
      <c r="Q315" s="285">
        <f t="shared" si="60"/>
        <v>0.97</v>
      </c>
      <c r="R315" s="285">
        <f t="shared" si="61"/>
        <v>26240</v>
      </c>
      <c r="S315" s="284">
        <f t="shared" si="62"/>
        <v>233</v>
      </c>
    </row>
    <row r="316" spans="1:19">
      <c r="A316" s="1061" t="str">
        <f>清单!D421</f>
        <v>C-2-4-501</v>
      </c>
      <c r="B316" s="1061">
        <f>清单!F421</f>
        <v>88.77</v>
      </c>
      <c r="C316" s="285">
        <f t="shared" si="53"/>
        <v>0.97</v>
      </c>
      <c r="D316" s="293"/>
      <c r="E316" s="285">
        <f t="shared" si="54"/>
        <v>1</v>
      </c>
      <c r="F316" s="293"/>
      <c r="G316" s="285">
        <f t="shared" si="55"/>
        <v>1</v>
      </c>
      <c r="H316" s="293"/>
      <c r="I316" s="285">
        <f t="shared" si="56"/>
        <v>1</v>
      </c>
      <c r="J316" s="293"/>
      <c r="K316" s="285">
        <f t="shared" si="57"/>
        <v>1</v>
      </c>
      <c r="L316" s="293"/>
      <c r="M316" s="285">
        <f t="shared" si="58"/>
        <v>1</v>
      </c>
      <c r="N316" s="293"/>
      <c r="O316" s="285">
        <f t="shared" si="59"/>
        <v>1</v>
      </c>
      <c r="P316" s="291" t="s">
        <v>3024</v>
      </c>
      <c r="Q316" s="285">
        <f t="shared" si="60"/>
        <v>0.97</v>
      </c>
      <c r="R316" s="285">
        <f t="shared" si="61"/>
        <v>26240</v>
      </c>
      <c r="S316" s="284">
        <f t="shared" si="62"/>
        <v>233</v>
      </c>
    </row>
    <row r="317" spans="1:19">
      <c r="A317" s="1061" t="str">
        <f>清单!D440</f>
        <v>C-2-3-402</v>
      </c>
      <c r="B317" s="1061">
        <f>清单!F440</f>
        <v>88.77</v>
      </c>
      <c r="C317" s="285">
        <f t="shared" si="53"/>
        <v>0.97</v>
      </c>
      <c r="D317" s="293"/>
      <c r="E317" s="285">
        <f t="shared" si="54"/>
        <v>1</v>
      </c>
      <c r="F317" s="293"/>
      <c r="G317" s="285">
        <f t="shared" si="55"/>
        <v>1</v>
      </c>
      <c r="H317" s="293"/>
      <c r="I317" s="285">
        <f t="shared" si="56"/>
        <v>1</v>
      </c>
      <c r="J317" s="293"/>
      <c r="K317" s="285">
        <f t="shared" si="57"/>
        <v>1</v>
      </c>
      <c r="L317" s="293"/>
      <c r="M317" s="285">
        <f t="shared" si="58"/>
        <v>1</v>
      </c>
      <c r="N317" s="293"/>
      <c r="O317" s="285">
        <f t="shared" si="59"/>
        <v>1</v>
      </c>
      <c r="P317" s="291" t="s">
        <v>3024</v>
      </c>
      <c r="Q317" s="285">
        <f t="shared" si="60"/>
        <v>0.97</v>
      </c>
      <c r="R317" s="285">
        <f t="shared" si="61"/>
        <v>26240</v>
      </c>
      <c r="S317" s="284">
        <f t="shared" si="62"/>
        <v>233</v>
      </c>
    </row>
    <row r="318" spans="1:19">
      <c r="A318" s="1061" t="str">
        <f>清单!D441</f>
        <v>C-2-3-401</v>
      </c>
      <c r="B318" s="1061">
        <f>清单!F441</f>
        <v>88.77</v>
      </c>
      <c r="C318" s="285">
        <f t="shared" si="53"/>
        <v>0.97</v>
      </c>
      <c r="D318" s="293"/>
      <c r="E318" s="285">
        <f t="shared" si="54"/>
        <v>1</v>
      </c>
      <c r="F318" s="293"/>
      <c r="G318" s="285">
        <f t="shared" si="55"/>
        <v>1</v>
      </c>
      <c r="H318" s="293"/>
      <c r="I318" s="285">
        <f t="shared" si="56"/>
        <v>1</v>
      </c>
      <c r="J318" s="293"/>
      <c r="K318" s="285">
        <f t="shared" si="57"/>
        <v>1</v>
      </c>
      <c r="L318" s="293"/>
      <c r="M318" s="285">
        <f t="shared" si="58"/>
        <v>1</v>
      </c>
      <c r="N318" s="293"/>
      <c r="O318" s="285">
        <f t="shared" si="59"/>
        <v>1</v>
      </c>
      <c r="P318" s="291" t="s">
        <v>3024</v>
      </c>
      <c r="Q318" s="285">
        <f t="shared" si="60"/>
        <v>0.97</v>
      </c>
      <c r="R318" s="285">
        <f t="shared" si="61"/>
        <v>26240</v>
      </c>
      <c r="S318" s="284">
        <f t="shared" si="62"/>
        <v>233</v>
      </c>
    </row>
    <row r="319" spans="1:19">
      <c r="A319" s="1061" t="str">
        <f>清单!D424</f>
        <v>C-2-4-703</v>
      </c>
      <c r="B319" s="1061">
        <f>清单!F424</f>
        <v>51.66</v>
      </c>
      <c r="C319" s="285">
        <f t="shared" si="53"/>
        <v>1</v>
      </c>
      <c r="D319" s="293"/>
      <c r="E319" s="285">
        <f t="shared" si="54"/>
        <v>1</v>
      </c>
      <c r="F319" s="293"/>
      <c r="G319" s="285">
        <f t="shared" si="55"/>
        <v>1</v>
      </c>
      <c r="H319" s="293"/>
      <c r="I319" s="285">
        <f t="shared" si="56"/>
        <v>1</v>
      </c>
      <c r="J319" s="293"/>
      <c r="K319" s="285">
        <f t="shared" si="57"/>
        <v>1</v>
      </c>
      <c r="L319" s="293"/>
      <c r="M319" s="285">
        <f t="shared" si="58"/>
        <v>1</v>
      </c>
      <c r="N319" s="293"/>
      <c r="O319" s="285">
        <f t="shared" si="59"/>
        <v>1</v>
      </c>
      <c r="P319" s="291" t="s">
        <v>3022</v>
      </c>
      <c r="Q319" s="285">
        <f t="shared" si="60"/>
        <v>1</v>
      </c>
      <c r="R319" s="285">
        <f t="shared" si="61"/>
        <v>27888</v>
      </c>
      <c r="S319" s="284">
        <f t="shared" si="62"/>
        <v>144</v>
      </c>
    </row>
    <row r="320" spans="1:19">
      <c r="A320" s="1061" t="str">
        <f>清单!D443</f>
        <v>C-2-3-501</v>
      </c>
      <c r="B320" s="1061">
        <f>清单!F443</f>
        <v>88.77</v>
      </c>
      <c r="C320" s="285">
        <f t="shared" si="53"/>
        <v>0.97</v>
      </c>
      <c r="D320" s="293"/>
      <c r="E320" s="285">
        <f t="shared" si="54"/>
        <v>1</v>
      </c>
      <c r="F320" s="293"/>
      <c r="G320" s="285">
        <f t="shared" si="55"/>
        <v>1</v>
      </c>
      <c r="H320" s="293"/>
      <c r="I320" s="285">
        <f t="shared" si="56"/>
        <v>1</v>
      </c>
      <c r="J320" s="293"/>
      <c r="K320" s="285">
        <f t="shared" si="57"/>
        <v>1</v>
      </c>
      <c r="L320" s="293"/>
      <c r="M320" s="285">
        <f t="shared" si="58"/>
        <v>1</v>
      </c>
      <c r="N320" s="293"/>
      <c r="O320" s="285">
        <f t="shared" si="59"/>
        <v>1</v>
      </c>
      <c r="P320" s="291" t="s">
        <v>3024</v>
      </c>
      <c r="Q320" s="285">
        <f t="shared" si="60"/>
        <v>0.97</v>
      </c>
      <c r="R320" s="285">
        <f t="shared" si="61"/>
        <v>26240</v>
      </c>
      <c r="S320" s="284">
        <f t="shared" si="62"/>
        <v>233</v>
      </c>
    </row>
    <row r="321" spans="1:19">
      <c r="A321" s="1061" t="str">
        <f>清单!D444</f>
        <v>C-2-3-602</v>
      </c>
      <c r="B321" s="1061">
        <f>清单!F444</f>
        <v>88.77</v>
      </c>
      <c r="C321" s="285">
        <f t="shared" si="53"/>
        <v>0.97</v>
      </c>
      <c r="D321" s="293"/>
      <c r="E321" s="285">
        <f t="shared" si="54"/>
        <v>1</v>
      </c>
      <c r="F321" s="293"/>
      <c r="G321" s="285">
        <f t="shared" si="55"/>
        <v>1</v>
      </c>
      <c r="H321" s="293"/>
      <c r="I321" s="285">
        <f t="shared" si="56"/>
        <v>1</v>
      </c>
      <c r="J321" s="293"/>
      <c r="K321" s="285">
        <f t="shared" si="57"/>
        <v>1</v>
      </c>
      <c r="L321" s="293"/>
      <c r="M321" s="285">
        <f t="shared" si="58"/>
        <v>1</v>
      </c>
      <c r="N321" s="293"/>
      <c r="O321" s="285">
        <f t="shared" si="59"/>
        <v>1</v>
      </c>
      <c r="P321" s="291" t="s">
        <v>3022</v>
      </c>
      <c r="Q321" s="285">
        <f t="shared" si="60"/>
        <v>1</v>
      </c>
      <c r="R321" s="285">
        <f t="shared" si="61"/>
        <v>27051</v>
      </c>
      <c r="S321" s="284">
        <f t="shared" ref="S321:S384" si="63">ROUND(R321*B321/10000,0)</f>
        <v>240</v>
      </c>
    </row>
    <row r="322" spans="1:19">
      <c r="A322" s="1061" t="str">
        <f>清单!D427</f>
        <v>C-2-4-801</v>
      </c>
      <c r="B322" s="1061">
        <f>清单!F427</f>
        <v>88.77</v>
      </c>
      <c r="C322" s="285">
        <f t="shared" si="53"/>
        <v>0.97</v>
      </c>
      <c r="D322" s="293"/>
      <c r="E322" s="285">
        <f t="shared" si="54"/>
        <v>1</v>
      </c>
      <c r="F322" s="293"/>
      <c r="G322" s="285">
        <f t="shared" si="55"/>
        <v>1</v>
      </c>
      <c r="H322" s="293"/>
      <c r="I322" s="285">
        <f t="shared" si="56"/>
        <v>1</v>
      </c>
      <c r="J322" s="293"/>
      <c r="K322" s="285">
        <f t="shared" si="57"/>
        <v>1</v>
      </c>
      <c r="L322" s="293"/>
      <c r="M322" s="285">
        <f t="shared" si="58"/>
        <v>1</v>
      </c>
      <c r="N322" s="293"/>
      <c r="O322" s="285">
        <f t="shared" si="59"/>
        <v>1</v>
      </c>
      <c r="P322" s="291" t="s">
        <v>3022</v>
      </c>
      <c r="Q322" s="285">
        <f t="shared" si="60"/>
        <v>1</v>
      </c>
      <c r="R322" s="285">
        <f t="shared" si="61"/>
        <v>27051</v>
      </c>
      <c r="S322" s="284">
        <f t="shared" si="63"/>
        <v>240</v>
      </c>
    </row>
    <row r="323" spans="1:19">
      <c r="A323" s="1061" t="str">
        <f>清单!D446</f>
        <v>C-2-3-701</v>
      </c>
      <c r="B323" s="1061">
        <f>清单!F446</f>
        <v>88.77</v>
      </c>
      <c r="C323" s="285">
        <f t="shared" si="53"/>
        <v>0.97</v>
      </c>
      <c r="D323" s="293"/>
      <c r="E323" s="285">
        <f t="shared" si="54"/>
        <v>1</v>
      </c>
      <c r="F323" s="293"/>
      <c r="G323" s="285">
        <f t="shared" si="55"/>
        <v>1</v>
      </c>
      <c r="H323" s="293"/>
      <c r="I323" s="285">
        <f t="shared" si="56"/>
        <v>1</v>
      </c>
      <c r="J323" s="293"/>
      <c r="K323" s="285">
        <f t="shared" si="57"/>
        <v>1</v>
      </c>
      <c r="L323" s="293"/>
      <c r="M323" s="285">
        <f t="shared" si="58"/>
        <v>1</v>
      </c>
      <c r="N323" s="293"/>
      <c r="O323" s="285">
        <f t="shared" si="59"/>
        <v>1</v>
      </c>
      <c r="P323" s="291" t="s">
        <v>3022</v>
      </c>
      <c r="Q323" s="285">
        <f t="shared" si="60"/>
        <v>1</v>
      </c>
      <c r="R323" s="285">
        <f t="shared" si="61"/>
        <v>27051</v>
      </c>
      <c r="S323" s="284">
        <f t="shared" si="63"/>
        <v>240</v>
      </c>
    </row>
    <row r="324" spans="1:19">
      <c r="A324" s="1061" t="str">
        <f>清单!D447</f>
        <v>C-2-3-802</v>
      </c>
      <c r="B324" s="1061">
        <f>清单!F447</f>
        <v>88.77</v>
      </c>
      <c r="C324" s="285">
        <f t="shared" si="53"/>
        <v>0.97</v>
      </c>
      <c r="D324" s="293"/>
      <c r="E324" s="285">
        <f t="shared" si="54"/>
        <v>1</v>
      </c>
      <c r="F324" s="293"/>
      <c r="G324" s="285">
        <f t="shared" si="55"/>
        <v>1</v>
      </c>
      <c r="H324" s="293"/>
      <c r="I324" s="285">
        <f t="shared" si="56"/>
        <v>1</v>
      </c>
      <c r="J324" s="293"/>
      <c r="K324" s="285">
        <f t="shared" si="57"/>
        <v>1</v>
      </c>
      <c r="L324" s="293"/>
      <c r="M324" s="285">
        <f t="shared" si="58"/>
        <v>1</v>
      </c>
      <c r="N324" s="293"/>
      <c r="O324" s="285">
        <f t="shared" si="59"/>
        <v>1</v>
      </c>
      <c r="P324" s="291" t="s">
        <v>3022</v>
      </c>
      <c r="Q324" s="285">
        <f t="shared" si="60"/>
        <v>1</v>
      </c>
      <c r="R324" s="285">
        <f t="shared" si="61"/>
        <v>27051</v>
      </c>
      <c r="S324" s="284">
        <f t="shared" si="63"/>
        <v>240</v>
      </c>
    </row>
    <row r="325" spans="1:19">
      <c r="A325" s="1061" t="str">
        <f>清单!D430</f>
        <v>C-2-4-1003</v>
      </c>
      <c r="B325" s="1061">
        <f>清单!F430</f>
        <v>51.66</v>
      </c>
      <c r="C325" s="285">
        <f t="shared" si="53"/>
        <v>1</v>
      </c>
      <c r="D325" s="293"/>
      <c r="E325" s="285">
        <f t="shared" si="54"/>
        <v>1</v>
      </c>
      <c r="F325" s="293"/>
      <c r="G325" s="285">
        <f t="shared" si="55"/>
        <v>1</v>
      </c>
      <c r="H325" s="293"/>
      <c r="I325" s="285">
        <f t="shared" si="56"/>
        <v>1</v>
      </c>
      <c r="J325" s="293"/>
      <c r="K325" s="285">
        <f t="shared" si="57"/>
        <v>1</v>
      </c>
      <c r="L325" s="293"/>
      <c r="M325" s="285">
        <f t="shared" si="58"/>
        <v>1</v>
      </c>
      <c r="N325" s="293"/>
      <c r="O325" s="285">
        <f t="shared" si="59"/>
        <v>1</v>
      </c>
      <c r="P325" s="291" t="s">
        <v>3022</v>
      </c>
      <c r="Q325" s="285">
        <f t="shared" si="60"/>
        <v>1</v>
      </c>
      <c r="R325" s="285">
        <f t="shared" si="61"/>
        <v>27888</v>
      </c>
      <c r="S325" s="284">
        <f t="shared" si="63"/>
        <v>144</v>
      </c>
    </row>
    <row r="326" spans="1:19">
      <c r="A326" s="1061" t="str">
        <f>清单!D449</f>
        <v>C-2-3-902</v>
      </c>
      <c r="B326" s="1061">
        <f>清单!F449</f>
        <v>88.77</v>
      </c>
      <c r="C326" s="285">
        <f t="shared" si="53"/>
        <v>0.97</v>
      </c>
      <c r="D326" s="293"/>
      <c r="E326" s="285">
        <f t="shared" si="54"/>
        <v>1</v>
      </c>
      <c r="F326" s="293"/>
      <c r="G326" s="285">
        <f t="shared" si="55"/>
        <v>1</v>
      </c>
      <c r="H326" s="293"/>
      <c r="I326" s="285">
        <f t="shared" si="56"/>
        <v>1</v>
      </c>
      <c r="J326" s="293"/>
      <c r="K326" s="285">
        <f t="shared" si="57"/>
        <v>1</v>
      </c>
      <c r="L326" s="293"/>
      <c r="M326" s="285">
        <f t="shared" si="58"/>
        <v>1</v>
      </c>
      <c r="N326" s="293"/>
      <c r="O326" s="285">
        <f t="shared" si="59"/>
        <v>1</v>
      </c>
      <c r="P326" s="291" t="s">
        <v>3022</v>
      </c>
      <c r="Q326" s="285">
        <f t="shared" si="60"/>
        <v>1</v>
      </c>
      <c r="R326" s="285">
        <f t="shared" si="61"/>
        <v>27051</v>
      </c>
      <c r="S326" s="284">
        <f t="shared" si="63"/>
        <v>240</v>
      </c>
    </row>
    <row r="327" spans="1:19">
      <c r="A327" s="1061" t="str">
        <f>清单!D450</f>
        <v>C-2-3-901</v>
      </c>
      <c r="B327" s="1061">
        <f>清单!F450</f>
        <v>88.77</v>
      </c>
      <c r="C327" s="285">
        <f t="shared" si="53"/>
        <v>0.97</v>
      </c>
      <c r="D327" s="293"/>
      <c r="E327" s="285">
        <f t="shared" si="54"/>
        <v>1</v>
      </c>
      <c r="F327" s="293"/>
      <c r="G327" s="285">
        <f t="shared" si="55"/>
        <v>1</v>
      </c>
      <c r="H327" s="293"/>
      <c r="I327" s="285">
        <f t="shared" si="56"/>
        <v>1</v>
      </c>
      <c r="J327" s="293"/>
      <c r="K327" s="285">
        <f t="shared" si="57"/>
        <v>1</v>
      </c>
      <c r="L327" s="293"/>
      <c r="M327" s="285">
        <f t="shared" si="58"/>
        <v>1</v>
      </c>
      <c r="N327" s="293"/>
      <c r="O327" s="285">
        <f t="shared" si="59"/>
        <v>1</v>
      </c>
      <c r="P327" s="291" t="s">
        <v>3022</v>
      </c>
      <c r="Q327" s="285">
        <f t="shared" si="60"/>
        <v>1</v>
      </c>
      <c r="R327" s="285">
        <f t="shared" si="61"/>
        <v>27051</v>
      </c>
      <c r="S327" s="284">
        <f t="shared" si="63"/>
        <v>240</v>
      </c>
    </row>
    <row r="328" spans="1:19">
      <c r="A328" s="1061" t="str">
        <f>清单!D433</f>
        <v>C-2-4-1101</v>
      </c>
      <c r="B328" s="1061">
        <f>清单!F433</f>
        <v>88.77</v>
      </c>
      <c r="C328" s="285">
        <f t="shared" si="53"/>
        <v>0.97</v>
      </c>
      <c r="D328" s="293"/>
      <c r="E328" s="285">
        <f t="shared" si="54"/>
        <v>1</v>
      </c>
      <c r="F328" s="293"/>
      <c r="G328" s="285">
        <f t="shared" si="55"/>
        <v>1</v>
      </c>
      <c r="H328" s="293"/>
      <c r="I328" s="285">
        <f t="shared" si="56"/>
        <v>1</v>
      </c>
      <c r="J328" s="293"/>
      <c r="K328" s="285">
        <f t="shared" si="57"/>
        <v>1</v>
      </c>
      <c r="L328" s="293"/>
      <c r="M328" s="285">
        <f t="shared" si="58"/>
        <v>1</v>
      </c>
      <c r="N328" s="293"/>
      <c r="O328" s="285">
        <f t="shared" si="59"/>
        <v>1</v>
      </c>
      <c r="P328" s="291" t="s">
        <v>3020</v>
      </c>
      <c r="Q328" s="285">
        <f t="shared" si="60"/>
        <v>1.03</v>
      </c>
      <c r="R328" s="285">
        <f t="shared" si="61"/>
        <v>27863</v>
      </c>
      <c r="S328" s="284">
        <f t="shared" si="63"/>
        <v>247</v>
      </c>
    </row>
    <row r="329" spans="1:19">
      <c r="A329" s="1061" t="str">
        <f>清单!D452</f>
        <v>C-2-3-1102</v>
      </c>
      <c r="B329" s="1061">
        <f>清单!F452</f>
        <v>88.77</v>
      </c>
      <c r="C329" s="285">
        <f t="shared" si="53"/>
        <v>0.97</v>
      </c>
      <c r="D329" s="293"/>
      <c r="E329" s="285">
        <f t="shared" si="54"/>
        <v>1</v>
      </c>
      <c r="F329" s="293"/>
      <c r="G329" s="285">
        <f t="shared" si="55"/>
        <v>1</v>
      </c>
      <c r="H329" s="293"/>
      <c r="I329" s="285">
        <f t="shared" si="56"/>
        <v>1</v>
      </c>
      <c r="J329" s="293"/>
      <c r="K329" s="285">
        <f t="shared" si="57"/>
        <v>1</v>
      </c>
      <c r="L329" s="293"/>
      <c r="M329" s="285">
        <f t="shared" si="58"/>
        <v>1</v>
      </c>
      <c r="N329" s="293"/>
      <c r="O329" s="285">
        <f t="shared" si="59"/>
        <v>1</v>
      </c>
      <c r="P329" s="291" t="s">
        <v>3020</v>
      </c>
      <c r="Q329" s="285">
        <f t="shared" si="60"/>
        <v>1.03</v>
      </c>
      <c r="R329" s="285">
        <f t="shared" si="61"/>
        <v>27863</v>
      </c>
      <c r="S329" s="284">
        <f t="shared" si="63"/>
        <v>247</v>
      </c>
    </row>
    <row r="330" spans="1:19">
      <c r="A330" s="1061" t="str">
        <f>清单!D453</f>
        <v>C-2-3-1101</v>
      </c>
      <c r="B330" s="1061">
        <f>清单!F453</f>
        <v>88.77</v>
      </c>
      <c r="C330" s="285">
        <f t="shared" si="53"/>
        <v>0.97</v>
      </c>
      <c r="D330" s="293"/>
      <c r="E330" s="285">
        <f t="shared" si="54"/>
        <v>1</v>
      </c>
      <c r="F330" s="293"/>
      <c r="G330" s="285">
        <f t="shared" si="55"/>
        <v>1</v>
      </c>
      <c r="H330" s="293"/>
      <c r="I330" s="285">
        <f t="shared" si="56"/>
        <v>1</v>
      </c>
      <c r="J330" s="293"/>
      <c r="K330" s="285">
        <f t="shared" si="57"/>
        <v>1</v>
      </c>
      <c r="L330" s="293"/>
      <c r="M330" s="285">
        <f t="shared" si="58"/>
        <v>1</v>
      </c>
      <c r="N330" s="293"/>
      <c r="O330" s="285">
        <f t="shared" si="59"/>
        <v>1</v>
      </c>
      <c r="P330" s="291" t="s">
        <v>3020</v>
      </c>
      <c r="Q330" s="285">
        <f t="shared" si="60"/>
        <v>1.03</v>
      </c>
      <c r="R330" s="285">
        <f t="shared" si="61"/>
        <v>27863</v>
      </c>
      <c r="S330" s="284">
        <f t="shared" si="63"/>
        <v>247</v>
      </c>
    </row>
    <row r="331" spans="1:19">
      <c r="A331" s="1061" t="str">
        <f>清单!D436</f>
        <v>C-2-3-202</v>
      </c>
      <c r="B331" s="1061">
        <f>清单!F436</f>
        <v>88.77</v>
      </c>
      <c r="C331" s="285">
        <f t="shared" si="53"/>
        <v>0.97</v>
      </c>
      <c r="D331" s="293"/>
      <c r="E331" s="285">
        <f t="shared" si="54"/>
        <v>1</v>
      </c>
      <c r="F331" s="293"/>
      <c r="G331" s="285">
        <f t="shared" si="55"/>
        <v>1</v>
      </c>
      <c r="H331" s="293"/>
      <c r="I331" s="285">
        <f t="shared" si="56"/>
        <v>1</v>
      </c>
      <c r="J331" s="293"/>
      <c r="K331" s="285">
        <f t="shared" si="57"/>
        <v>1</v>
      </c>
      <c r="L331" s="293"/>
      <c r="M331" s="285">
        <f t="shared" si="58"/>
        <v>1</v>
      </c>
      <c r="N331" s="293"/>
      <c r="O331" s="285">
        <f t="shared" si="59"/>
        <v>1</v>
      </c>
      <c r="P331" s="291" t="s">
        <v>3024</v>
      </c>
      <c r="Q331" s="285">
        <f t="shared" si="60"/>
        <v>0.97</v>
      </c>
      <c r="R331" s="285">
        <f t="shared" si="61"/>
        <v>26240</v>
      </c>
      <c r="S331" s="284">
        <f t="shared" si="63"/>
        <v>233</v>
      </c>
    </row>
    <row r="332" spans="1:19">
      <c r="A332" s="1061" t="str">
        <f>清单!D455</f>
        <v>C-2-2-101</v>
      </c>
      <c r="B332" s="1061">
        <f>清单!F455</f>
        <v>88.64</v>
      </c>
      <c r="C332" s="285">
        <f t="shared" si="53"/>
        <v>0.97</v>
      </c>
      <c r="D332" s="293"/>
      <c r="E332" s="285">
        <f t="shared" si="54"/>
        <v>1</v>
      </c>
      <c r="F332" s="293"/>
      <c r="G332" s="285">
        <f t="shared" si="55"/>
        <v>1</v>
      </c>
      <c r="H332" s="293"/>
      <c r="I332" s="285">
        <f t="shared" si="56"/>
        <v>1</v>
      </c>
      <c r="J332" s="293"/>
      <c r="K332" s="285">
        <f t="shared" si="57"/>
        <v>1</v>
      </c>
      <c r="L332" s="293"/>
      <c r="M332" s="285">
        <f t="shared" si="58"/>
        <v>1</v>
      </c>
      <c r="N332" s="293"/>
      <c r="O332" s="285">
        <f t="shared" si="59"/>
        <v>1</v>
      </c>
      <c r="P332" s="291" t="s">
        <v>3024</v>
      </c>
      <c r="Q332" s="285">
        <f t="shared" si="60"/>
        <v>0.97</v>
      </c>
      <c r="R332" s="285">
        <f t="shared" si="61"/>
        <v>26240</v>
      </c>
      <c r="S332" s="284">
        <f t="shared" si="63"/>
        <v>233</v>
      </c>
    </row>
    <row r="333" spans="1:19">
      <c r="A333" s="1061" t="str">
        <f>清单!D456</f>
        <v>C-2-2-202</v>
      </c>
      <c r="B333" s="1061">
        <f>清单!F456</f>
        <v>88.77</v>
      </c>
      <c r="C333" s="285">
        <f t="shared" si="53"/>
        <v>0.97</v>
      </c>
      <c r="D333" s="293"/>
      <c r="E333" s="285">
        <f t="shared" si="54"/>
        <v>1</v>
      </c>
      <c r="F333" s="293"/>
      <c r="G333" s="285">
        <f t="shared" si="55"/>
        <v>1</v>
      </c>
      <c r="H333" s="293"/>
      <c r="I333" s="285">
        <f t="shared" si="56"/>
        <v>1</v>
      </c>
      <c r="J333" s="293"/>
      <c r="K333" s="285">
        <f t="shared" si="57"/>
        <v>1</v>
      </c>
      <c r="L333" s="293"/>
      <c r="M333" s="285">
        <f t="shared" si="58"/>
        <v>1</v>
      </c>
      <c r="N333" s="293"/>
      <c r="O333" s="285">
        <f t="shared" si="59"/>
        <v>1</v>
      </c>
      <c r="P333" s="291" t="s">
        <v>3024</v>
      </c>
      <c r="Q333" s="285">
        <f t="shared" si="60"/>
        <v>0.97</v>
      </c>
      <c r="R333" s="285">
        <f t="shared" si="61"/>
        <v>26240</v>
      </c>
      <c r="S333" s="284">
        <f t="shared" si="63"/>
        <v>233</v>
      </c>
    </row>
    <row r="334" spans="1:19">
      <c r="A334" s="1061" t="str">
        <f>清单!D439</f>
        <v>C-2-3-301</v>
      </c>
      <c r="B334" s="1061">
        <f>清单!F439</f>
        <v>88.77</v>
      </c>
      <c r="C334" s="285">
        <f t="shared" si="53"/>
        <v>0.97</v>
      </c>
      <c r="D334" s="293"/>
      <c r="E334" s="285">
        <f t="shared" si="54"/>
        <v>1</v>
      </c>
      <c r="F334" s="293"/>
      <c r="G334" s="285">
        <f t="shared" si="55"/>
        <v>1</v>
      </c>
      <c r="H334" s="293"/>
      <c r="I334" s="285">
        <f t="shared" si="56"/>
        <v>1</v>
      </c>
      <c r="J334" s="293"/>
      <c r="K334" s="285">
        <f t="shared" si="57"/>
        <v>1</v>
      </c>
      <c r="L334" s="293"/>
      <c r="M334" s="285">
        <f t="shared" si="58"/>
        <v>1</v>
      </c>
      <c r="N334" s="293"/>
      <c r="O334" s="285">
        <f t="shared" si="59"/>
        <v>1</v>
      </c>
      <c r="P334" s="291" t="s">
        <v>3024</v>
      </c>
      <c r="Q334" s="285">
        <f t="shared" si="60"/>
        <v>0.97</v>
      </c>
      <c r="R334" s="285">
        <f t="shared" si="61"/>
        <v>26240</v>
      </c>
      <c r="S334" s="284">
        <f t="shared" si="63"/>
        <v>233</v>
      </c>
    </row>
    <row r="335" spans="1:19">
      <c r="A335" s="1061" t="str">
        <f>清单!D458</f>
        <v>C-2-2-302</v>
      </c>
      <c r="B335" s="1061">
        <f>清单!F458</f>
        <v>88.77</v>
      </c>
      <c r="C335" s="285">
        <f t="shared" si="53"/>
        <v>0.97</v>
      </c>
      <c r="D335" s="293"/>
      <c r="E335" s="285">
        <f t="shared" si="54"/>
        <v>1</v>
      </c>
      <c r="F335" s="293"/>
      <c r="G335" s="285">
        <f t="shared" si="55"/>
        <v>1</v>
      </c>
      <c r="H335" s="293"/>
      <c r="I335" s="285">
        <f t="shared" si="56"/>
        <v>1</v>
      </c>
      <c r="J335" s="293"/>
      <c r="K335" s="285">
        <f t="shared" si="57"/>
        <v>1</v>
      </c>
      <c r="L335" s="293"/>
      <c r="M335" s="285">
        <f t="shared" si="58"/>
        <v>1</v>
      </c>
      <c r="N335" s="293"/>
      <c r="O335" s="285">
        <f t="shared" si="59"/>
        <v>1</v>
      </c>
      <c r="P335" s="291" t="s">
        <v>3024</v>
      </c>
      <c r="Q335" s="285">
        <f t="shared" si="60"/>
        <v>0.97</v>
      </c>
      <c r="R335" s="285">
        <f t="shared" si="61"/>
        <v>26240</v>
      </c>
      <c r="S335" s="284">
        <f t="shared" si="63"/>
        <v>233</v>
      </c>
    </row>
    <row r="336" spans="1:19">
      <c r="A336" s="1061" t="str">
        <f>清单!D459</f>
        <v>C-2-2-301</v>
      </c>
      <c r="B336" s="1061">
        <f>清单!F459</f>
        <v>88.77</v>
      </c>
      <c r="C336" s="285">
        <f t="shared" si="53"/>
        <v>0.97</v>
      </c>
      <c r="D336" s="293"/>
      <c r="E336" s="285">
        <f t="shared" si="54"/>
        <v>1</v>
      </c>
      <c r="F336" s="293"/>
      <c r="G336" s="285">
        <f t="shared" si="55"/>
        <v>1</v>
      </c>
      <c r="H336" s="293"/>
      <c r="I336" s="285">
        <f t="shared" si="56"/>
        <v>1</v>
      </c>
      <c r="J336" s="293"/>
      <c r="K336" s="285">
        <f t="shared" si="57"/>
        <v>1</v>
      </c>
      <c r="L336" s="293"/>
      <c r="M336" s="285">
        <f t="shared" si="58"/>
        <v>1</v>
      </c>
      <c r="N336" s="293"/>
      <c r="O336" s="285">
        <f t="shared" si="59"/>
        <v>1</v>
      </c>
      <c r="P336" s="291" t="s">
        <v>3024</v>
      </c>
      <c r="Q336" s="285">
        <f t="shared" si="60"/>
        <v>0.97</v>
      </c>
      <c r="R336" s="285">
        <f t="shared" si="61"/>
        <v>26240</v>
      </c>
      <c r="S336" s="284">
        <f t="shared" si="63"/>
        <v>233</v>
      </c>
    </row>
    <row r="337" spans="1:19">
      <c r="A337" s="1061" t="str">
        <f>清单!D442</f>
        <v>C-2-3-502</v>
      </c>
      <c r="B337" s="1061">
        <f>清单!F442</f>
        <v>88.77</v>
      </c>
      <c r="C337" s="285">
        <f t="shared" si="53"/>
        <v>0.97</v>
      </c>
      <c r="D337" s="293"/>
      <c r="E337" s="285">
        <f t="shared" si="54"/>
        <v>1</v>
      </c>
      <c r="F337" s="293"/>
      <c r="G337" s="285">
        <f t="shared" si="55"/>
        <v>1</v>
      </c>
      <c r="H337" s="293"/>
      <c r="I337" s="285">
        <f t="shared" si="56"/>
        <v>1</v>
      </c>
      <c r="J337" s="293"/>
      <c r="K337" s="285">
        <f t="shared" si="57"/>
        <v>1</v>
      </c>
      <c r="L337" s="293"/>
      <c r="M337" s="285">
        <f t="shared" si="58"/>
        <v>1</v>
      </c>
      <c r="N337" s="293"/>
      <c r="O337" s="285">
        <f t="shared" si="59"/>
        <v>1</v>
      </c>
      <c r="P337" s="291" t="s">
        <v>3024</v>
      </c>
      <c r="Q337" s="285">
        <f t="shared" si="60"/>
        <v>0.97</v>
      </c>
      <c r="R337" s="285">
        <f t="shared" si="61"/>
        <v>26240</v>
      </c>
      <c r="S337" s="284">
        <f t="shared" si="63"/>
        <v>233</v>
      </c>
    </row>
    <row r="338" spans="1:19">
      <c r="A338" s="1061" t="str">
        <f>清单!D461</f>
        <v>C-2-2-401</v>
      </c>
      <c r="B338" s="1061">
        <f>清单!F461</f>
        <v>88.77</v>
      </c>
      <c r="C338" s="285">
        <f t="shared" si="53"/>
        <v>0.97</v>
      </c>
      <c r="D338" s="293"/>
      <c r="E338" s="285">
        <f t="shared" si="54"/>
        <v>1</v>
      </c>
      <c r="F338" s="293"/>
      <c r="G338" s="285">
        <f t="shared" si="55"/>
        <v>1</v>
      </c>
      <c r="H338" s="293"/>
      <c r="I338" s="285">
        <f t="shared" si="56"/>
        <v>1</v>
      </c>
      <c r="J338" s="293"/>
      <c r="K338" s="285">
        <f t="shared" si="57"/>
        <v>1</v>
      </c>
      <c r="L338" s="293"/>
      <c r="M338" s="285">
        <f t="shared" si="58"/>
        <v>1</v>
      </c>
      <c r="N338" s="293"/>
      <c r="O338" s="285">
        <f t="shared" si="59"/>
        <v>1</v>
      </c>
      <c r="P338" s="291" t="s">
        <v>3024</v>
      </c>
      <c r="Q338" s="285">
        <f t="shared" si="60"/>
        <v>0.97</v>
      </c>
      <c r="R338" s="285">
        <f t="shared" si="61"/>
        <v>26240</v>
      </c>
      <c r="S338" s="284">
        <f t="shared" si="63"/>
        <v>233</v>
      </c>
    </row>
    <row r="339" spans="1:19">
      <c r="A339" s="1061" t="str">
        <f>清单!D462</f>
        <v>C-2-2-502</v>
      </c>
      <c r="B339" s="1061">
        <f>清单!F462</f>
        <v>88.77</v>
      </c>
      <c r="C339" s="285">
        <f t="shared" si="53"/>
        <v>0.97</v>
      </c>
      <c r="D339" s="293"/>
      <c r="E339" s="285">
        <f t="shared" si="54"/>
        <v>1</v>
      </c>
      <c r="F339" s="293"/>
      <c r="G339" s="285">
        <f t="shared" si="55"/>
        <v>1</v>
      </c>
      <c r="H339" s="293"/>
      <c r="I339" s="285">
        <f t="shared" si="56"/>
        <v>1</v>
      </c>
      <c r="J339" s="293"/>
      <c r="K339" s="285">
        <f t="shared" si="57"/>
        <v>1</v>
      </c>
      <c r="L339" s="293"/>
      <c r="M339" s="285">
        <f t="shared" si="58"/>
        <v>1</v>
      </c>
      <c r="N339" s="293"/>
      <c r="O339" s="285">
        <f t="shared" si="59"/>
        <v>1</v>
      </c>
      <c r="P339" s="291" t="s">
        <v>3024</v>
      </c>
      <c r="Q339" s="285">
        <f t="shared" si="60"/>
        <v>0.97</v>
      </c>
      <c r="R339" s="285">
        <f t="shared" si="61"/>
        <v>26240</v>
      </c>
      <c r="S339" s="284">
        <f t="shared" si="63"/>
        <v>233</v>
      </c>
    </row>
    <row r="340" spans="1:19">
      <c r="A340" s="1061" t="str">
        <f>清单!D445</f>
        <v>C-2-3-702</v>
      </c>
      <c r="B340" s="1061">
        <f>清单!F445</f>
        <v>88.77</v>
      </c>
      <c r="C340" s="285">
        <f t="shared" si="53"/>
        <v>0.97</v>
      </c>
      <c r="D340" s="293"/>
      <c r="E340" s="285">
        <f t="shared" si="54"/>
        <v>1</v>
      </c>
      <c r="F340" s="293"/>
      <c r="G340" s="285">
        <f t="shared" si="55"/>
        <v>1</v>
      </c>
      <c r="H340" s="293"/>
      <c r="I340" s="285">
        <f t="shared" si="56"/>
        <v>1</v>
      </c>
      <c r="J340" s="293"/>
      <c r="K340" s="285">
        <f t="shared" si="57"/>
        <v>1</v>
      </c>
      <c r="L340" s="293"/>
      <c r="M340" s="285">
        <f t="shared" si="58"/>
        <v>1</v>
      </c>
      <c r="N340" s="293"/>
      <c r="O340" s="285">
        <f t="shared" si="59"/>
        <v>1</v>
      </c>
      <c r="P340" s="291" t="s">
        <v>3022</v>
      </c>
      <c r="Q340" s="285">
        <f t="shared" si="60"/>
        <v>1</v>
      </c>
      <c r="R340" s="285">
        <f t="shared" si="61"/>
        <v>27051</v>
      </c>
      <c r="S340" s="284">
        <f t="shared" si="63"/>
        <v>240</v>
      </c>
    </row>
    <row r="341" spans="1:19">
      <c r="A341" s="1061" t="str">
        <f>清单!D464</f>
        <v>C-2-2-602</v>
      </c>
      <c r="B341" s="1061">
        <f>清单!F464</f>
        <v>88.77</v>
      </c>
      <c r="C341" s="285">
        <f t="shared" si="53"/>
        <v>0.97</v>
      </c>
      <c r="D341" s="293"/>
      <c r="E341" s="285">
        <f t="shared" si="54"/>
        <v>1</v>
      </c>
      <c r="F341" s="293"/>
      <c r="G341" s="285">
        <f t="shared" si="55"/>
        <v>1</v>
      </c>
      <c r="H341" s="293"/>
      <c r="I341" s="285">
        <f t="shared" si="56"/>
        <v>1</v>
      </c>
      <c r="J341" s="293"/>
      <c r="K341" s="285">
        <f t="shared" si="57"/>
        <v>1</v>
      </c>
      <c r="L341" s="293"/>
      <c r="M341" s="285">
        <f t="shared" si="58"/>
        <v>1</v>
      </c>
      <c r="N341" s="293"/>
      <c r="O341" s="285">
        <f t="shared" si="59"/>
        <v>1</v>
      </c>
      <c r="P341" s="291" t="s">
        <v>3022</v>
      </c>
      <c r="Q341" s="285">
        <f t="shared" si="60"/>
        <v>1</v>
      </c>
      <c r="R341" s="285">
        <f t="shared" si="61"/>
        <v>27051</v>
      </c>
      <c r="S341" s="284">
        <f t="shared" si="63"/>
        <v>240</v>
      </c>
    </row>
    <row r="342" spans="1:19">
      <c r="A342" s="1061" t="str">
        <f>清单!D465</f>
        <v>C-2-2-601</v>
      </c>
      <c r="B342" s="1061">
        <f>清单!F465</f>
        <v>88.77</v>
      </c>
      <c r="C342" s="285">
        <f t="shared" si="53"/>
        <v>0.97</v>
      </c>
      <c r="D342" s="293"/>
      <c r="E342" s="285">
        <f t="shared" si="54"/>
        <v>1</v>
      </c>
      <c r="F342" s="293"/>
      <c r="G342" s="285">
        <f t="shared" si="55"/>
        <v>1</v>
      </c>
      <c r="H342" s="293"/>
      <c r="I342" s="285">
        <f t="shared" si="56"/>
        <v>1</v>
      </c>
      <c r="J342" s="293"/>
      <c r="K342" s="285">
        <f t="shared" si="57"/>
        <v>1</v>
      </c>
      <c r="L342" s="293"/>
      <c r="M342" s="285">
        <f t="shared" si="58"/>
        <v>1</v>
      </c>
      <c r="N342" s="293"/>
      <c r="O342" s="285">
        <f t="shared" si="59"/>
        <v>1</v>
      </c>
      <c r="P342" s="291" t="s">
        <v>3022</v>
      </c>
      <c r="Q342" s="285">
        <f t="shared" si="60"/>
        <v>1</v>
      </c>
      <c r="R342" s="285">
        <f t="shared" si="61"/>
        <v>27051</v>
      </c>
      <c r="S342" s="284">
        <f t="shared" si="63"/>
        <v>240</v>
      </c>
    </row>
    <row r="343" spans="1:19">
      <c r="A343" s="1061" t="str">
        <f>清单!D448</f>
        <v>C-2-3-801</v>
      </c>
      <c r="B343" s="1061">
        <f>清单!F448</f>
        <v>88.77</v>
      </c>
      <c r="C343" s="285">
        <f t="shared" si="53"/>
        <v>0.97</v>
      </c>
      <c r="D343" s="293"/>
      <c r="E343" s="285">
        <f t="shared" si="54"/>
        <v>1</v>
      </c>
      <c r="F343" s="293"/>
      <c r="G343" s="285">
        <f t="shared" si="55"/>
        <v>1</v>
      </c>
      <c r="H343" s="293"/>
      <c r="I343" s="285">
        <f t="shared" si="56"/>
        <v>1</v>
      </c>
      <c r="J343" s="293"/>
      <c r="K343" s="285">
        <f t="shared" si="57"/>
        <v>1</v>
      </c>
      <c r="L343" s="293"/>
      <c r="M343" s="285">
        <f t="shared" si="58"/>
        <v>1</v>
      </c>
      <c r="N343" s="293"/>
      <c r="O343" s="285">
        <f t="shared" si="59"/>
        <v>1</v>
      </c>
      <c r="P343" s="291" t="s">
        <v>3022</v>
      </c>
      <c r="Q343" s="285">
        <f t="shared" si="60"/>
        <v>1</v>
      </c>
      <c r="R343" s="285">
        <f t="shared" si="61"/>
        <v>27051</v>
      </c>
      <c r="S343" s="284">
        <f t="shared" si="63"/>
        <v>240</v>
      </c>
    </row>
    <row r="344" spans="1:19">
      <c r="A344" s="1061" t="str">
        <f>清单!D467</f>
        <v>C-2-2-801</v>
      </c>
      <c r="B344" s="1061">
        <f>清单!F467</f>
        <v>88.77</v>
      </c>
      <c r="C344" s="285">
        <f t="shared" si="53"/>
        <v>0.97</v>
      </c>
      <c r="D344" s="293"/>
      <c r="E344" s="285">
        <f t="shared" si="54"/>
        <v>1</v>
      </c>
      <c r="F344" s="293"/>
      <c r="G344" s="285">
        <f t="shared" si="55"/>
        <v>1</v>
      </c>
      <c r="H344" s="293"/>
      <c r="I344" s="285">
        <f t="shared" si="56"/>
        <v>1</v>
      </c>
      <c r="J344" s="293"/>
      <c r="K344" s="285">
        <f t="shared" si="57"/>
        <v>1</v>
      </c>
      <c r="L344" s="293"/>
      <c r="M344" s="285">
        <f t="shared" si="58"/>
        <v>1</v>
      </c>
      <c r="N344" s="293"/>
      <c r="O344" s="285">
        <f t="shared" si="59"/>
        <v>1</v>
      </c>
      <c r="P344" s="291" t="s">
        <v>3022</v>
      </c>
      <c r="Q344" s="285">
        <f t="shared" si="60"/>
        <v>1</v>
      </c>
      <c r="R344" s="285">
        <f t="shared" si="61"/>
        <v>27051</v>
      </c>
      <c r="S344" s="284">
        <f t="shared" si="63"/>
        <v>240</v>
      </c>
    </row>
    <row r="345" spans="1:19">
      <c r="A345" s="1061" t="str">
        <f>清单!D468</f>
        <v>C-2-2-1102</v>
      </c>
      <c r="B345" s="1061">
        <f>清单!F468</f>
        <v>88.77</v>
      </c>
      <c r="C345" s="285">
        <f t="shared" si="53"/>
        <v>0.97</v>
      </c>
      <c r="D345" s="293"/>
      <c r="E345" s="285">
        <f t="shared" si="54"/>
        <v>1</v>
      </c>
      <c r="F345" s="293"/>
      <c r="G345" s="285">
        <f t="shared" si="55"/>
        <v>1</v>
      </c>
      <c r="H345" s="293"/>
      <c r="I345" s="285">
        <f t="shared" si="56"/>
        <v>1</v>
      </c>
      <c r="J345" s="293"/>
      <c r="K345" s="285">
        <f t="shared" si="57"/>
        <v>1</v>
      </c>
      <c r="L345" s="293"/>
      <c r="M345" s="285">
        <f t="shared" si="58"/>
        <v>1</v>
      </c>
      <c r="N345" s="293"/>
      <c r="O345" s="285">
        <f t="shared" si="59"/>
        <v>1</v>
      </c>
      <c r="P345" s="291" t="s">
        <v>3020</v>
      </c>
      <c r="Q345" s="285">
        <f t="shared" si="60"/>
        <v>1.03</v>
      </c>
      <c r="R345" s="285">
        <f t="shared" si="61"/>
        <v>27863</v>
      </c>
      <c r="S345" s="284">
        <f t="shared" si="63"/>
        <v>247</v>
      </c>
    </row>
    <row r="346" spans="1:19">
      <c r="A346" s="1061" t="str">
        <f>清单!D451</f>
        <v>C-2-3-1002</v>
      </c>
      <c r="B346" s="1061">
        <f>清单!F451</f>
        <v>88.77</v>
      </c>
      <c r="C346" s="285">
        <f t="shared" ref="C346:C409" si="64">IF(B346="",1,(LOOKUP(B346,$3:$3,$4:$4)-LOOKUP($B$24,$3:$3,$4:$4)+100)/100)</f>
        <v>0.97</v>
      </c>
      <c r="D346" s="293"/>
      <c r="E346" s="285">
        <f t="shared" ref="E346:E409" si="65">(SUMIF($5:$5,D346,$6:$6)-SUMIF($5:$5,$D$24,$6:$6)+100)/100</f>
        <v>1</v>
      </c>
      <c r="F346" s="293"/>
      <c r="G346" s="285">
        <f t="shared" ref="G346:G409" si="66">(SUMIF($7:$7,F346,$8:$8)-SUMIF($7:$7,$F$24,$8:$8)+100)/100</f>
        <v>1</v>
      </c>
      <c r="H346" s="293"/>
      <c r="I346" s="285">
        <f t="shared" ref="I346:I409" si="67">(SUMIF($9:$9,H346,$10:$10)-SUMIF($9:$9,$H$24,$10:$10)+100)/100</f>
        <v>1</v>
      </c>
      <c r="J346" s="293"/>
      <c r="K346" s="285">
        <f t="shared" ref="K346:K409" si="68">(SUMIF($11:$11,J346,$12:$12)-SUMIF($11:$11,$J$24,$12:$12)+100)/100</f>
        <v>1</v>
      </c>
      <c r="L346" s="293"/>
      <c r="M346" s="285">
        <f t="shared" ref="M346:M409" si="69">(SUMIF($13:$13,L346,$14:$14)-SUMIF($13:$13,$L$24,$14:$14)+100)/100</f>
        <v>1</v>
      </c>
      <c r="N346" s="293"/>
      <c r="O346" s="285">
        <f t="shared" ref="O346:O409" si="70">(SUMIF($15:$15,N346,$16:$16)-SUMIF($15:$15,$N$24,$16:$16)+100)/100</f>
        <v>1</v>
      </c>
      <c r="P346" s="291" t="s">
        <v>3022</v>
      </c>
      <c r="Q346" s="285">
        <f t="shared" ref="Q346:Q409" si="71">(SUMIF($17:$17,P346,$18:$18)-SUMIF($17:$17,$P$24,$18:$18)+100)/100</f>
        <v>1</v>
      </c>
      <c r="R346" s="285">
        <f t="shared" ref="R346:R409" si="72">IF(B346="",0,ROUND($R$24*C346*E346*G346*I346*K346*M346*O346*Q346,0))</f>
        <v>27051</v>
      </c>
      <c r="S346" s="284">
        <f t="shared" si="63"/>
        <v>240</v>
      </c>
    </row>
    <row r="347" spans="1:19">
      <c r="A347" s="1061" t="str">
        <f>清单!D470</f>
        <v>C-2-1-102</v>
      </c>
      <c r="B347" s="1061">
        <f>清单!F470</f>
        <v>61.29</v>
      </c>
      <c r="C347" s="285">
        <f t="shared" si="64"/>
        <v>0.97</v>
      </c>
      <c r="D347" s="293"/>
      <c r="E347" s="285">
        <f t="shared" si="65"/>
        <v>1</v>
      </c>
      <c r="F347" s="293"/>
      <c r="G347" s="285">
        <f t="shared" si="66"/>
        <v>1</v>
      </c>
      <c r="H347" s="293"/>
      <c r="I347" s="285">
        <f t="shared" si="67"/>
        <v>1</v>
      </c>
      <c r="J347" s="293"/>
      <c r="K347" s="285">
        <f t="shared" si="68"/>
        <v>1</v>
      </c>
      <c r="L347" s="293"/>
      <c r="M347" s="285">
        <f t="shared" si="69"/>
        <v>1</v>
      </c>
      <c r="N347" s="293"/>
      <c r="O347" s="285">
        <f t="shared" si="70"/>
        <v>1</v>
      </c>
      <c r="P347" s="291" t="s">
        <v>3024</v>
      </c>
      <c r="Q347" s="285">
        <f t="shared" si="71"/>
        <v>0.97</v>
      </c>
      <c r="R347" s="285">
        <f t="shared" si="72"/>
        <v>26240</v>
      </c>
      <c r="S347" s="284">
        <f t="shared" si="63"/>
        <v>161</v>
      </c>
    </row>
    <row r="348" spans="1:19">
      <c r="A348" s="1061" t="str">
        <f>清单!D471</f>
        <v>C-2-1-101</v>
      </c>
      <c r="B348" s="1061">
        <f>清单!F471</f>
        <v>51.37</v>
      </c>
      <c r="C348" s="285">
        <f t="shared" si="64"/>
        <v>1</v>
      </c>
      <c r="D348" s="293"/>
      <c r="E348" s="285">
        <f t="shared" si="65"/>
        <v>1</v>
      </c>
      <c r="F348" s="293"/>
      <c r="G348" s="285">
        <f t="shared" si="66"/>
        <v>1</v>
      </c>
      <c r="H348" s="293"/>
      <c r="I348" s="285">
        <f t="shared" si="67"/>
        <v>1</v>
      </c>
      <c r="J348" s="293"/>
      <c r="K348" s="285">
        <f t="shared" si="68"/>
        <v>1</v>
      </c>
      <c r="L348" s="293"/>
      <c r="M348" s="285">
        <f t="shared" si="69"/>
        <v>1</v>
      </c>
      <c r="N348" s="293"/>
      <c r="O348" s="285">
        <f t="shared" si="70"/>
        <v>1</v>
      </c>
      <c r="P348" s="291" t="s">
        <v>3024</v>
      </c>
      <c r="Q348" s="285">
        <f t="shared" si="71"/>
        <v>0.97</v>
      </c>
      <c r="R348" s="285">
        <f t="shared" si="72"/>
        <v>27051</v>
      </c>
      <c r="S348" s="284">
        <f t="shared" si="63"/>
        <v>139</v>
      </c>
    </row>
    <row r="349" spans="1:19">
      <c r="A349" s="1061" t="str">
        <f>清单!D454</f>
        <v>C-2-2-102</v>
      </c>
      <c r="B349" s="1061">
        <f>清单!F454</f>
        <v>88.77</v>
      </c>
      <c r="C349" s="285">
        <f t="shared" si="64"/>
        <v>0.97</v>
      </c>
      <c r="D349" s="293"/>
      <c r="E349" s="285">
        <f t="shared" si="65"/>
        <v>1</v>
      </c>
      <c r="F349" s="293"/>
      <c r="G349" s="285">
        <f t="shared" si="66"/>
        <v>1</v>
      </c>
      <c r="H349" s="293"/>
      <c r="I349" s="285">
        <f t="shared" si="67"/>
        <v>1</v>
      </c>
      <c r="J349" s="293"/>
      <c r="K349" s="285">
        <f t="shared" si="68"/>
        <v>1</v>
      </c>
      <c r="L349" s="293"/>
      <c r="M349" s="285">
        <f t="shared" si="69"/>
        <v>1</v>
      </c>
      <c r="N349" s="293"/>
      <c r="O349" s="285">
        <f t="shared" si="70"/>
        <v>1</v>
      </c>
      <c r="P349" s="291" t="s">
        <v>3024</v>
      </c>
      <c r="Q349" s="285">
        <f t="shared" si="71"/>
        <v>0.97</v>
      </c>
      <c r="R349" s="285">
        <f t="shared" si="72"/>
        <v>26240</v>
      </c>
      <c r="S349" s="284">
        <f t="shared" si="63"/>
        <v>233</v>
      </c>
    </row>
    <row r="350" spans="1:19">
      <c r="A350" s="1061" t="str">
        <f>清单!D473</f>
        <v>C-2-1-202</v>
      </c>
      <c r="B350" s="1061">
        <f>清单!F473</f>
        <v>61.29</v>
      </c>
      <c r="C350" s="285">
        <f t="shared" si="64"/>
        <v>0.97</v>
      </c>
      <c r="D350" s="293"/>
      <c r="E350" s="285">
        <f t="shared" si="65"/>
        <v>1</v>
      </c>
      <c r="F350" s="293"/>
      <c r="G350" s="285">
        <f t="shared" si="66"/>
        <v>1</v>
      </c>
      <c r="H350" s="293"/>
      <c r="I350" s="285">
        <f t="shared" si="67"/>
        <v>1</v>
      </c>
      <c r="J350" s="293"/>
      <c r="K350" s="285">
        <f t="shared" si="68"/>
        <v>1</v>
      </c>
      <c r="L350" s="293"/>
      <c r="M350" s="285">
        <f t="shared" si="69"/>
        <v>1</v>
      </c>
      <c r="N350" s="293"/>
      <c r="O350" s="285">
        <f t="shared" si="70"/>
        <v>1</v>
      </c>
      <c r="P350" s="291" t="s">
        <v>3024</v>
      </c>
      <c r="Q350" s="285">
        <f t="shared" si="71"/>
        <v>0.97</v>
      </c>
      <c r="R350" s="285">
        <f t="shared" si="72"/>
        <v>26240</v>
      </c>
      <c r="S350" s="284">
        <f t="shared" si="63"/>
        <v>161</v>
      </c>
    </row>
    <row r="351" spans="1:19">
      <c r="A351" s="1061" t="str">
        <f>清单!D474</f>
        <v>C-2-1-201</v>
      </c>
      <c r="B351" s="1061">
        <f>清单!F474</f>
        <v>51.66</v>
      </c>
      <c r="C351" s="285">
        <f t="shared" si="64"/>
        <v>1</v>
      </c>
      <c r="D351" s="293"/>
      <c r="E351" s="285">
        <f t="shared" si="65"/>
        <v>1</v>
      </c>
      <c r="F351" s="293"/>
      <c r="G351" s="285">
        <f t="shared" si="66"/>
        <v>1</v>
      </c>
      <c r="H351" s="293"/>
      <c r="I351" s="285">
        <f t="shared" si="67"/>
        <v>1</v>
      </c>
      <c r="J351" s="293"/>
      <c r="K351" s="285">
        <f t="shared" si="68"/>
        <v>1</v>
      </c>
      <c r="L351" s="293"/>
      <c r="M351" s="285">
        <f t="shared" si="69"/>
        <v>1</v>
      </c>
      <c r="N351" s="293"/>
      <c r="O351" s="285">
        <f t="shared" si="70"/>
        <v>1</v>
      </c>
      <c r="P351" s="291" t="s">
        <v>3024</v>
      </c>
      <c r="Q351" s="285">
        <f t="shared" si="71"/>
        <v>0.97</v>
      </c>
      <c r="R351" s="285">
        <f t="shared" si="72"/>
        <v>27051</v>
      </c>
      <c r="S351" s="284">
        <f t="shared" si="63"/>
        <v>140</v>
      </c>
    </row>
    <row r="352" spans="1:19">
      <c r="A352" s="1061" t="str">
        <f>清单!D457</f>
        <v>C-2-2-201</v>
      </c>
      <c r="B352" s="1061">
        <f>清单!F457</f>
        <v>88.77</v>
      </c>
      <c r="C352" s="285">
        <f t="shared" si="64"/>
        <v>0.97</v>
      </c>
      <c r="D352" s="293"/>
      <c r="E352" s="285">
        <f t="shared" si="65"/>
        <v>1</v>
      </c>
      <c r="F352" s="293"/>
      <c r="G352" s="285">
        <f t="shared" si="66"/>
        <v>1</v>
      </c>
      <c r="H352" s="293"/>
      <c r="I352" s="285">
        <f t="shared" si="67"/>
        <v>1</v>
      </c>
      <c r="J352" s="293"/>
      <c r="K352" s="285">
        <f t="shared" si="68"/>
        <v>1</v>
      </c>
      <c r="L352" s="293"/>
      <c r="M352" s="285">
        <f t="shared" si="69"/>
        <v>1</v>
      </c>
      <c r="N352" s="293"/>
      <c r="O352" s="285">
        <f t="shared" si="70"/>
        <v>1</v>
      </c>
      <c r="P352" s="291" t="s">
        <v>3024</v>
      </c>
      <c r="Q352" s="285">
        <f t="shared" si="71"/>
        <v>0.97</v>
      </c>
      <c r="R352" s="285">
        <f t="shared" si="72"/>
        <v>26240</v>
      </c>
      <c r="S352" s="284">
        <f t="shared" si="63"/>
        <v>233</v>
      </c>
    </row>
    <row r="353" spans="1:19">
      <c r="A353" s="1061" t="str">
        <f>清单!D476</f>
        <v>C-2-1-302</v>
      </c>
      <c r="B353" s="1061">
        <f>清单!F476</f>
        <v>61.29</v>
      </c>
      <c r="C353" s="285">
        <f t="shared" si="64"/>
        <v>0.97</v>
      </c>
      <c r="D353" s="293"/>
      <c r="E353" s="285">
        <f t="shared" si="65"/>
        <v>1</v>
      </c>
      <c r="F353" s="293"/>
      <c r="G353" s="285">
        <f t="shared" si="66"/>
        <v>1</v>
      </c>
      <c r="H353" s="293"/>
      <c r="I353" s="285">
        <f t="shared" si="67"/>
        <v>1</v>
      </c>
      <c r="J353" s="293"/>
      <c r="K353" s="285">
        <f t="shared" si="68"/>
        <v>1</v>
      </c>
      <c r="L353" s="293"/>
      <c r="M353" s="285">
        <f t="shared" si="69"/>
        <v>1</v>
      </c>
      <c r="N353" s="293"/>
      <c r="O353" s="285">
        <f t="shared" si="70"/>
        <v>1</v>
      </c>
      <c r="P353" s="291" t="s">
        <v>3024</v>
      </c>
      <c r="Q353" s="285">
        <f t="shared" si="71"/>
        <v>0.97</v>
      </c>
      <c r="R353" s="285">
        <f t="shared" si="72"/>
        <v>26240</v>
      </c>
      <c r="S353" s="284">
        <f t="shared" si="63"/>
        <v>161</v>
      </c>
    </row>
    <row r="354" spans="1:19">
      <c r="A354" s="1061" t="str">
        <f>清单!D477</f>
        <v>C-2-1-301</v>
      </c>
      <c r="B354" s="1061">
        <f>清单!F477</f>
        <v>51.66</v>
      </c>
      <c r="C354" s="285">
        <f t="shared" si="64"/>
        <v>1</v>
      </c>
      <c r="D354" s="293"/>
      <c r="E354" s="285">
        <f t="shared" si="65"/>
        <v>1</v>
      </c>
      <c r="F354" s="293"/>
      <c r="G354" s="285">
        <f t="shared" si="66"/>
        <v>1</v>
      </c>
      <c r="H354" s="293"/>
      <c r="I354" s="285">
        <f t="shared" si="67"/>
        <v>1</v>
      </c>
      <c r="J354" s="293"/>
      <c r="K354" s="285">
        <f t="shared" si="68"/>
        <v>1</v>
      </c>
      <c r="L354" s="293"/>
      <c r="M354" s="285">
        <f t="shared" si="69"/>
        <v>1</v>
      </c>
      <c r="N354" s="293"/>
      <c r="O354" s="285">
        <f t="shared" si="70"/>
        <v>1</v>
      </c>
      <c r="P354" s="291" t="s">
        <v>3024</v>
      </c>
      <c r="Q354" s="285">
        <f t="shared" si="71"/>
        <v>0.97</v>
      </c>
      <c r="R354" s="285">
        <f t="shared" si="72"/>
        <v>27051</v>
      </c>
      <c r="S354" s="284">
        <f t="shared" si="63"/>
        <v>140</v>
      </c>
    </row>
    <row r="355" spans="1:19">
      <c r="A355" s="1061" t="str">
        <f>清单!D460</f>
        <v>C-2-2-402</v>
      </c>
      <c r="B355" s="1061">
        <f>清单!F460</f>
        <v>88.77</v>
      </c>
      <c r="C355" s="285">
        <f t="shared" si="64"/>
        <v>0.97</v>
      </c>
      <c r="D355" s="293"/>
      <c r="E355" s="285">
        <f t="shared" si="65"/>
        <v>1</v>
      </c>
      <c r="F355" s="293"/>
      <c r="G355" s="285">
        <f t="shared" si="66"/>
        <v>1</v>
      </c>
      <c r="H355" s="293"/>
      <c r="I355" s="285">
        <f t="shared" si="67"/>
        <v>1</v>
      </c>
      <c r="J355" s="293"/>
      <c r="K355" s="285">
        <f t="shared" si="68"/>
        <v>1</v>
      </c>
      <c r="L355" s="293"/>
      <c r="M355" s="285">
        <f t="shared" si="69"/>
        <v>1</v>
      </c>
      <c r="N355" s="293"/>
      <c r="O355" s="285">
        <f t="shared" si="70"/>
        <v>1</v>
      </c>
      <c r="P355" s="291" t="s">
        <v>3024</v>
      </c>
      <c r="Q355" s="285">
        <f t="shared" si="71"/>
        <v>0.97</v>
      </c>
      <c r="R355" s="285">
        <f t="shared" si="72"/>
        <v>26240</v>
      </c>
      <c r="S355" s="284">
        <f t="shared" si="63"/>
        <v>233</v>
      </c>
    </row>
    <row r="356" spans="1:19">
      <c r="A356" s="1061" t="str">
        <f>清单!D479</f>
        <v>C-2-1-401</v>
      </c>
      <c r="B356" s="1061">
        <f>清单!F479</f>
        <v>51.66</v>
      </c>
      <c r="C356" s="285">
        <f t="shared" si="64"/>
        <v>1</v>
      </c>
      <c r="D356" s="293"/>
      <c r="E356" s="285">
        <f t="shared" si="65"/>
        <v>1</v>
      </c>
      <c r="F356" s="293"/>
      <c r="G356" s="285">
        <f t="shared" si="66"/>
        <v>1</v>
      </c>
      <c r="H356" s="293"/>
      <c r="I356" s="285">
        <f t="shared" si="67"/>
        <v>1</v>
      </c>
      <c r="J356" s="293"/>
      <c r="K356" s="285">
        <f t="shared" si="68"/>
        <v>1</v>
      </c>
      <c r="L356" s="293"/>
      <c r="M356" s="285">
        <f t="shared" si="69"/>
        <v>1</v>
      </c>
      <c r="N356" s="293"/>
      <c r="O356" s="285">
        <f t="shared" si="70"/>
        <v>1</v>
      </c>
      <c r="P356" s="291" t="s">
        <v>3024</v>
      </c>
      <c r="Q356" s="285">
        <f t="shared" si="71"/>
        <v>0.97</v>
      </c>
      <c r="R356" s="285">
        <f t="shared" si="72"/>
        <v>27051</v>
      </c>
      <c r="S356" s="284">
        <f t="shared" si="63"/>
        <v>140</v>
      </c>
    </row>
    <row r="357" spans="1:19">
      <c r="A357" s="1061" t="str">
        <f>清单!D480</f>
        <v>C-2-1-503</v>
      </c>
      <c r="B357" s="1061">
        <f>清单!F480</f>
        <v>88.77</v>
      </c>
      <c r="C357" s="285">
        <f t="shared" si="64"/>
        <v>0.97</v>
      </c>
      <c r="D357" s="293"/>
      <c r="E357" s="285">
        <f t="shared" si="65"/>
        <v>1</v>
      </c>
      <c r="F357" s="293"/>
      <c r="G357" s="285">
        <f t="shared" si="66"/>
        <v>1</v>
      </c>
      <c r="H357" s="293"/>
      <c r="I357" s="285">
        <f t="shared" si="67"/>
        <v>1</v>
      </c>
      <c r="J357" s="293"/>
      <c r="K357" s="285">
        <f t="shared" si="68"/>
        <v>1</v>
      </c>
      <c r="L357" s="293"/>
      <c r="M357" s="285">
        <f t="shared" si="69"/>
        <v>1</v>
      </c>
      <c r="N357" s="293"/>
      <c r="O357" s="285">
        <f t="shared" si="70"/>
        <v>1</v>
      </c>
      <c r="P357" s="291" t="s">
        <v>3024</v>
      </c>
      <c r="Q357" s="285">
        <f t="shared" si="71"/>
        <v>0.97</v>
      </c>
      <c r="R357" s="285">
        <f t="shared" si="72"/>
        <v>26240</v>
      </c>
      <c r="S357" s="284">
        <f t="shared" si="63"/>
        <v>233</v>
      </c>
    </row>
    <row r="358" spans="1:19">
      <c r="A358" s="1061" t="str">
        <f>清单!D463</f>
        <v>C-2-2-501</v>
      </c>
      <c r="B358" s="1061">
        <f>清单!F463</f>
        <v>88.77</v>
      </c>
      <c r="C358" s="285">
        <f t="shared" si="64"/>
        <v>0.97</v>
      </c>
      <c r="D358" s="293"/>
      <c r="E358" s="285">
        <f t="shared" si="65"/>
        <v>1</v>
      </c>
      <c r="F358" s="293"/>
      <c r="G358" s="285">
        <f t="shared" si="66"/>
        <v>1</v>
      </c>
      <c r="H358" s="293"/>
      <c r="I358" s="285">
        <f t="shared" si="67"/>
        <v>1</v>
      </c>
      <c r="J358" s="293"/>
      <c r="K358" s="285">
        <f t="shared" si="68"/>
        <v>1</v>
      </c>
      <c r="L358" s="293"/>
      <c r="M358" s="285">
        <f t="shared" si="69"/>
        <v>1</v>
      </c>
      <c r="N358" s="293"/>
      <c r="O358" s="285">
        <f t="shared" si="70"/>
        <v>1</v>
      </c>
      <c r="P358" s="291" t="s">
        <v>3024</v>
      </c>
      <c r="Q358" s="285">
        <f t="shared" si="71"/>
        <v>0.97</v>
      </c>
      <c r="R358" s="285">
        <f t="shared" si="72"/>
        <v>26240</v>
      </c>
      <c r="S358" s="284">
        <f t="shared" si="63"/>
        <v>233</v>
      </c>
    </row>
    <row r="359" spans="1:19">
      <c r="A359" s="1061" t="str">
        <f>清单!D482</f>
        <v>C-2-1-601</v>
      </c>
      <c r="B359" s="1061">
        <f>清单!F482</f>
        <v>51.66</v>
      </c>
      <c r="C359" s="285">
        <f t="shared" si="64"/>
        <v>1</v>
      </c>
      <c r="D359" s="293"/>
      <c r="E359" s="285">
        <f t="shared" si="65"/>
        <v>1</v>
      </c>
      <c r="F359" s="293"/>
      <c r="G359" s="285">
        <f t="shared" si="66"/>
        <v>1</v>
      </c>
      <c r="H359" s="293"/>
      <c r="I359" s="285">
        <f t="shared" si="67"/>
        <v>1</v>
      </c>
      <c r="J359" s="293"/>
      <c r="K359" s="285">
        <f t="shared" si="68"/>
        <v>1</v>
      </c>
      <c r="L359" s="293"/>
      <c r="M359" s="285">
        <f t="shared" si="69"/>
        <v>1</v>
      </c>
      <c r="N359" s="293"/>
      <c r="O359" s="285">
        <f t="shared" si="70"/>
        <v>1</v>
      </c>
      <c r="P359" s="291" t="s">
        <v>3022</v>
      </c>
      <c r="Q359" s="285">
        <f t="shared" si="71"/>
        <v>1</v>
      </c>
      <c r="R359" s="285">
        <f t="shared" si="72"/>
        <v>27888</v>
      </c>
      <c r="S359" s="284">
        <f t="shared" si="63"/>
        <v>144</v>
      </c>
    </row>
    <row r="360" spans="1:19">
      <c r="A360" s="1061" t="str">
        <f>清单!D483</f>
        <v>C-2-1-703</v>
      </c>
      <c r="B360" s="1061">
        <f>清单!F483</f>
        <v>88.77</v>
      </c>
      <c r="C360" s="285">
        <f t="shared" si="64"/>
        <v>0.97</v>
      </c>
      <c r="D360" s="293"/>
      <c r="E360" s="285">
        <f t="shared" si="65"/>
        <v>1</v>
      </c>
      <c r="F360" s="293"/>
      <c r="G360" s="285">
        <f t="shared" si="66"/>
        <v>1</v>
      </c>
      <c r="H360" s="293"/>
      <c r="I360" s="285">
        <f t="shared" si="67"/>
        <v>1</v>
      </c>
      <c r="J360" s="293"/>
      <c r="K360" s="285">
        <f t="shared" si="68"/>
        <v>1</v>
      </c>
      <c r="L360" s="293"/>
      <c r="M360" s="285">
        <f t="shared" si="69"/>
        <v>1</v>
      </c>
      <c r="N360" s="293"/>
      <c r="O360" s="285">
        <f t="shared" si="70"/>
        <v>1</v>
      </c>
      <c r="P360" s="291" t="s">
        <v>3022</v>
      </c>
      <c r="Q360" s="285">
        <f t="shared" si="71"/>
        <v>1</v>
      </c>
      <c r="R360" s="285">
        <f t="shared" si="72"/>
        <v>27051</v>
      </c>
      <c r="S360" s="284">
        <f t="shared" si="63"/>
        <v>240</v>
      </c>
    </row>
    <row r="361" spans="1:19">
      <c r="A361" s="1061" t="str">
        <f>清单!D466</f>
        <v>C-2-2-802</v>
      </c>
      <c r="B361" s="1061">
        <f>清单!F466</f>
        <v>88.77</v>
      </c>
      <c r="C361" s="285">
        <f t="shared" si="64"/>
        <v>0.97</v>
      </c>
      <c r="D361" s="293"/>
      <c r="E361" s="285">
        <f t="shared" si="65"/>
        <v>1</v>
      </c>
      <c r="F361" s="293"/>
      <c r="G361" s="285">
        <f t="shared" si="66"/>
        <v>1</v>
      </c>
      <c r="H361" s="293"/>
      <c r="I361" s="285">
        <f t="shared" si="67"/>
        <v>1</v>
      </c>
      <c r="J361" s="293"/>
      <c r="K361" s="285">
        <f t="shared" si="68"/>
        <v>1</v>
      </c>
      <c r="L361" s="293"/>
      <c r="M361" s="285">
        <f t="shared" si="69"/>
        <v>1</v>
      </c>
      <c r="N361" s="293"/>
      <c r="O361" s="285">
        <f t="shared" si="70"/>
        <v>1</v>
      </c>
      <c r="P361" s="291" t="s">
        <v>3022</v>
      </c>
      <c r="Q361" s="285">
        <f t="shared" si="71"/>
        <v>1</v>
      </c>
      <c r="R361" s="285">
        <f t="shared" si="72"/>
        <v>27051</v>
      </c>
      <c r="S361" s="284">
        <f t="shared" si="63"/>
        <v>240</v>
      </c>
    </row>
    <row r="362" spans="1:19">
      <c r="A362" s="1061" t="str">
        <f>清单!D485</f>
        <v>C-2-1-803</v>
      </c>
      <c r="B362" s="1061">
        <f>清单!F485</f>
        <v>88.77</v>
      </c>
      <c r="C362" s="285">
        <f t="shared" si="64"/>
        <v>0.97</v>
      </c>
      <c r="D362" s="293"/>
      <c r="E362" s="285">
        <f t="shared" si="65"/>
        <v>1</v>
      </c>
      <c r="F362" s="293"/>
      <c r="G362" s="285">
        <f t="shared" si="66"/>
        <v>1</v>
      </c>
      <c r="H362" s="293"/>
      <c r="I362" s="285">
        <f t="shared" si="67"/>
        <v>1</v>
      </c>
      <c r="J362" s="293"/>
      <c r="K362" s="285">
        <f t="shared" si="68"/>
        <v>1</v>
      </c>
      <c r="L362" s="293"/>
      <c r="M362" s="285">
        <f t="shared" si="69"/>
        <v>1</v>
      </c>
      <c r="N362" s="293"/>
      <c r="O362" s="285">
        <f t="shared" si="70"/>
        <v>1</v>
      </c>
      <c r="P362" s="291" t="s">
        <v>3022</v>
      </c>
      <c r="Q362" s="285">
        <f t="shared" si="71"/>
        <v>1</v>
      </c>
      <c r="R362" s="285">
        <f t="shared" si="72"/>
        <v>27051</v>
      </c>
      <c r="S362" s="284">
        <f t="shared" si="63"/>
        <v>240</v>
      </c>
    </row>
    <row r="363" spans="1:19">
      <c r="A363" s="1061" t="str">
        <f>清单!D486</f>
        <v>C-2-1-801</v>
      </c>
      <c r="B363" s="1061">
        <f>清单!F486</f>
        <v>51.66</v>
      </c>
      <c r="C363" s="285">
        <f t="shared" si="64"/>
        <v>1</v>
      </c>
      <c r="D363" s="293"/>
      <c r="E363" s="285">
        <f t="shared" si="65"/>
        <v>1</v>
      </c>
      <c r="F363" s="293"/>
      <c r="G363" s="285">
        <f t="shared" si="66"/>
        <v>1</v>
      </c>
      <c r="H363" s="293"/>
      <c r="I363" s="285">
        <f t="shared" si="67"/>
        <v>1</v>
      </c>
      <c r="J363" s="293"/>
      <c r="K363" s="285">
        <f t="shared" si="68"/>
        <v>1</v>
      </c>
      <c r="L363" s="293"/>
      <c r="M363" s="285">
        <f t="shared" si="69"/>
        <v>1</v>
      </c>
      <c r="N363" s="293"/>
      <c r="O363" s="285">
        <f t="shared" si="70"/>
        <v>1</v>
      </c>
      <c r="P363" s="291" t="s">
        <v>3022</v>
      </c>
      <c r="Q363" s="285">
        <f t="shared" si="71"/>
        <v>1</v>
      </c>
      <c r="R363" s="285">
        <f t="shared" si="72"/>
        <v>27888</v>
      </c>
      <c r="S363" s="284">
        <f t="shared" si="63"/>
        <v>144</v>
      </c>
    </row>
    <row r="364" spans="1:19">
      <c r="A364" s="1061" t="str">
        <f>清单!D469</f>
        <v>C-2-1-103</v>
      </c>
      <c r="B364" s="1061">
        <f>清单!F469</f>
        <v>88.64</v>
      </c>
      <c r="C364" s="285">
        <f t="shared" si="64"/>
        <v>0.97</v>
      </c>
      <c r="D364" s="293"/>
      <c r="E364" s="285">
        <f t="shared" si="65"/>
        <v>1</v>
      </c>
      <c r="F364" s="293"/>
      <c r="G364" s="285">
        <f t="shared" si="66"/>
        <v>1</v>
      </c>
      <c r="H364" s="293"/>
      <c r="I364" s="285">
        <f t="shared" si="67"/>
        <v>1</v>
      </c>
      <c r="J364" s="293"/>
      <c r="K364" s="285">
        <f t="shared" si="68"/>
        <v>1</v>
      </c>
      <c r="L364" s="293"/>
      <c r="M364" s="285">
        <f t="shared" si="69"/>
        <v>1</v>
      </c>
      <c r="N364" s="293"/>
      <c r="O364" s="285">
        <f t="shared" si="70"/>
        <v>1</v>
      </c>
      <c r="P364" s="291" t="s">
        <v>3024</v>
      </c>
      <c r="Q364" s="285">
        <f t="shared" si="71"/>
        <v>0.97</v>
      </c>
      <c r="R364" s="285">
        <f t="shared" si="72"/>
        <v>26240</v>
      </c>
      <c r="S364" s="284">
        <f t="shared" si="63"/>
        <v>233</v>
      </c>
    </row>
    <row r="365" spans="1:19">
      <c r="A365" s="1061" t="str">
        <f>清单!D488</f>
        <v>C-3-1002</v>
      </c>
      <c r="B365" s="1061">
        <f>清单!F488</f>
        <v>64.099999999999994</v>
      </c>
      <c r="C365" s="285">
        <f t="shared" si="64"/>
        <v>0.97</v>
      </c>
      <c r="D365" s="293"/>
      <c r="E365" s="285">
        <f t="shared" si="65"/>
        <v>1</v>
      </c>
      <c r="F365" s="293"/>
      <c r="G365" s="285">
        <f t="shared" si="66"/>
        <v>1</v>
      </c>
      <c r="H365" s="293"/>
      <c r="I365" s="285">
        <f t="shared" si="67"/>
        <v>1</v>
      </c>
      <c r="J365" s="293"/>
      <c r="K365" s="285">
        <f t="shared" si="68"/>
        <v>1</v>
      </c>
      <c r="L365" s="293"/>
      <c r="M365" s="285">
        <f t="shared" si="69"/>
        <v>1</v>
      </c>
      <c r="N365" s="293"/>
      <c r="O365" s="285">
        <f t="shared" si="70"/>
        <v>1</v>
      </c>
      <c r="P365" s="291" t="s">
        <v>3022</v>
      </c>
      <c r="Q365" s="285">
        <f t="shared" si="71"/>
        <v>1</v>
      </c>
      <c r="R365" s="285">
        <f t="shared" si="72"/>
        <v>27051</v>
      </c>
      <c r="S365" s="284">
        <f t="shared" si="63"/>
        <v>173</v>
      </c>
    </row>
    <row r="366" spans="1:19">
      <c r="A366" s="1061" t="str">
        <f>清单!D489</f>
        <v>C-3-1003</v>
      </c>
      <c r="B366" s="1061">
        <f>清单!F489</f>
        <v>64.099999999999994</v>
      </c>
      <c r="C366" s="285">
        <f t="shared" si="64"/>
        <v>0.97</v>
      </c>
      <c r="D366" s="293"/>
      <c r="E366" s="285">
        <f t="shared" si="65"/>
        <v>1</v>
      </c>
      <c r="F366" s="293"/>
      <c r="G366" s="285">
        <f t="shared" si="66"/>
        <v>1</v>
      </c>
      <c r="H366" s="293"/>
      <c r="I366" s="285">
        <f t="shared" si="67"/>
        <v>1</v>
      </c>
      <c r="J366" s="293"/>
      <c r="K366" s="285">
        <f t="shared" si="68"/>
        <v>1</v>
      </c>
      <c r="L366" s="293"/>
      <c r="M366" s="285">
        <f t="shared" si="69"/>
        <v>1</v>
      </c>
      <c r="N366" s="293"/>
      <c r="O366" s="285">
        <f t="shared" si="70"/>
        <v>1</v>
      </c>
      <c r="P366" s="291" t="s">
        <v>3022</v>
      </c>
      <c r="Q366" s="285">
        <f t="shared" si="71"/>
        <v>1</v>
      </c>
      <c r="R366" s="285">
        <f t="shared" si="72"/>
        <v>27051</v>
      </c>
      <c r="S366" s="284">
        <f t="shared" si="63"/>
        <v>173</v>
      </c>
    </row>
    <row r="367" spans="1:19">
      <c r="A367" s="1061" t="str">
        <f>清单!D472</f>
        <v>C-2-1-203</v>
      </c>
      <c r="B367" s="1061">
        <f>清单!F472</f>
        <v>88.77</v>
      </c>
      <c r="C367" s="285">
        <f t="shared" si="64"/>
        <v>0.97</v>
      </c>
      <c r="D367" s="293"/>
      <c r="E367" s="285">
        <f t="shared" si="65"/>
        <v>1</v>
      </c>
      <c r="F367" s="293"/>
      <c r="G367" s="285">
        <f t="shared" si="66"/>
        <v>1</v>
      </c>
      <c r="H367" s="293"/>
      <c r="I367" s="285">
        <f t="shared" si="67"/>
        <v>1</v>
      </c>
      <c r="J367" s="293"/>
      <c r="K367" s="285">
        <f t="shared" si="68"/>
        <v>1</v>
      </c>
      <c r="L367" s="293"/>
      <c r="M367" s="285">
        <f t="shared" si="69"/>
        <v>1</v>
      </c>
      <c r="N367" s="293"/>
      <c r="O367" s="285">
        <f t="shared" si="70"/>
        <v>1</v>
      </c>
      <c r="P367" s="291" t="s">
        <v>3024</v>
      </c>
      <c r="Q367" s="285">
        <f t="shared" si="71"/>
        <v>0.97</v>
      </c>
      <c r="R367" s="285">
        <f t="shared" si="72"/>
        <v>26240</v>
      </c>
      <c r="S367" s="284">
        <f t="shared" si="63"/>
        <v>233</v>
      </c>
    </row>
    <row r="368" spans="1:19">
      <c r="A368" s="1061" t="str">
        <f>清单!D491</f>
        <v>C-3-101</v>
      </c>
      <c r="B368" s="1061">
        <f>清单!F491</f>
        <v>88.51</v>
      </c>
      <c r="C368" s="285">
        <f t="shared" si="64"/>
        <v>0.97</v>
      </c>
      <c r="D368" s="293"/>
      <c r="E368" s="285">
        <f t="shared" si="65"/>
        <v>1</v>
      </c>
      <c r="F368" s="293"/>
      <c r="G368" s="285">
        <f t="shared" si="66"/>
        <v>1</v>
      </c>
      <c r="H368" s="293"/>
      <c r="I368" s="285">
        <f t="shared" si="67"/>
        <v>1</v>
      </c>
      <c r="J368" s="293"/>
      <c r="K368" s="285">
        <f t="shared" si="68"/>
        <v>1</v>
      </c>
      <c r="L368" s="293"/>
      <c r="M368" s="285">
        <f t="shared" si="69"/>
        <v>1</v>
      </c>
      <c r="N368" s="293"/>
      <c r="O368" s="285">
        <f t="shared" si="70"/>
        <v>1</v>
      </c>
      <c r="P368" s="291" t="s">
        <v>3024</v>
      </c>
      <c r="Q368" s="285">
        <f t="shared" si="71"/>
        <v>0.97</v>
      </c>
      <c r="R368" s="285">
        <f t="shared" si="72"/>
        <v>26240</v>
      </c>
      <c r="S368" s="284">
        <f t="shared" si="63"/>
        <v>232</v>
      </c>
    </row>
    <row r="369" spans="1:19">
      <c r="A369" s="1061" t="str">
        <f>清单!D492</f>
        <v>C-3-102</v>
      </c>
      <c r="B369" s="1061">
        <f>清单!F492</f>
        <v>64.099999999999994</v>
      </c>
      <c r="C369" s="285">
        <f t="shared" si="64"/>
        <v>0.97</v>
      </c>
      <c r="D369" s="293"/>
      <c r="E369" s="285">
        <f t="shared" si="65"/>
        <v>1</v>
      </c>
      <c r="F369" s="293"/>
      <c r="G369" s="285">
        <f t="shared" si="66"/>
        <v>1</v>
      </c>
      <c r="H369" s="293"/>
      <c r="I369" s="285">
        <f t="shared" si="67"/>
        <v>1</v>
      </c>
      <c r="J369" s="293"/>
      <c r="K369" s="285">
        <f t="shared" si="68"/>
        <v>1</v>
      </c>
      <c r="L369" s="293"/>
      <c r="M369" s="285">
        <f t="shared" si="69"/>
        <v>1</v>
      </c>
      <c r="N369" s="293"/>
      <c r="O369" s="285">
        <f t="shared" si="70"/>
        <v>1</v>
      </c>
      <c r="P369" s="291" t="s">
        <v>3024</v>
      </c>
      <c r="Q369" s="285">
        <f t="shared" si="71"/>
        <v>0.97</v>
      </c>
      <c r="R369" s="285">
        <f t="shared" si="72"/>
        <v>26240</v>
      </c>
      <c r="S369" s="284">
        <f t="shared" si="63"/>
        <v>168</v>
      </c>
    </row>
    <row r="370" spans="1:19">
      <c r="A370" s="1061" t="str">
        <f>清单!D475</f>
        <v>C-2-1-303</v>
      </c>
      <c r="B370" s="1061">
        <f>清单!F475</f>
        <v>88.77</v>
      </c>
      <c r="C370" s="285">
        <f t="shared" si="64"/>
        <v>0.97</v>
      </c>
      <c r="D370" s="293"/>
      <c r="E370" s="285">
        <f t="shared" si="65"/>
        <v>1</v>
      </c>
      <c r="F370" s="293"/>
      <c r="G370" s="285">
        <f t="shared" si="66"/>
        <v>1</v>
      </c>
      <c r="H370" s="293"/>
      <c r="I370" s="285">
        <f t="shared" si="67"/>
        <v>1</v>
      </c>
      <c r="J370" s="293"/>
      <c r="K370" s="285">
        <f t="shared" si="68"/>
        <v>1</v>
      </c>
      <c r="L370" s="293"/>
      <c r="M370" s="285">
        <f t="shared" si="69"/>
        <v>1</v>
      </c>
      <c r="N370" s="293"/>
      <c r="O370" s="285">
        <f t="shared" si="70"/>
        <v>1</v>
      </c>
      <c r="P370" s="291" t="s">
        <v>3024</v>
      </c>
      <c r="Q370" s="285">
        <f t="shared" si="71"/>
        <v>0.97</v>
      </c>
      <c r="R370" s="285">
        <f t="shared" si="72"/>
        <v>26240</v>
      </c>
      <c r="S370" s="284">
        <f t="shared" si="63"/>
        <v>233</v>
      </c>
    </row>
    <row r="371" spans="1:19">
      <c r="A371" s="1061" t="str">
        <f>清单!D494</f>
        <v>C-3-104</v>
      </c>
      <c r="B371" s="1061">
        <f>清单!F494</f>
        <v>88.6</v>
      </c>
      <c r="C371" s="285">
        <f t="shared" si="64"/>
        <v>0.97</v>
      </c>
      <c r="D371" s="293"/>
      <c r="E371" s="285">
        <f t="shared" si="65"/>
        <v>1</v>
      </c>
      <c r="F371" s="293"/>
      <c r="G371" s="285">
        <f t="shared" si="66"/>
        <v>1</v>
      </c>
      <c r="H371" s="293"/>
      <c r="I371" s="285">
        <f t="shared" si="67"/>
        <v>1</v>
      </c>
      <c r="J371" s="293"/>
      <c r="K371" s="285">
        <f t="shared" si="68"/>
        <v>1</v>
      </c>
      <c r="L371" s="293"/>
      <c r="M371" s="285">
        <f t="shared" si="69"/>
        <v>1</v>
      </c>
      <c r="N371" s="293"/>
      <c r="O371" s="285">
        <f t="shared" si="70"/>
        <v>1</v>
      </c>
      <c r="P371" s="291" t="s">
        <v>3024</v>
      </c>
      <c r="Q371" s="285">
        <f t="shared" si="71"/>
        <v>0.97</v>
      </c>
      <c r="R371" s="285">
        <f t="shared" si="72"/>
        <v>26240</v>
      </c>
      <c r="S371" s="284">
        <f t="shared" si="63"/>
        <v>232</v>
      </c>
    </row>
    <row r="372" spans="1:19">
      <c r="A372" s="1061" t="str">
        <f>清单!D495</f>
        <v>C-3-1101</v>
      </c>
      <c r="B372" s="1061">
        <f>清单!F495</f>
        <v>88.6</v>
      </c>
      <c r="C372" s="285">
        <f t="shared" si="64"/>
        <v>0.97</v>
      </c>
      <c r="D372" s="293"/>
      <c r="E372" s="285">
        <f t="shared" si="65"/>
        <v>1</v>
      </c>
      <c r="F372" s="293"/>
      <c r="G372" s="285">
        <f t="shared" si="66"/>
        <v>1</v>
      </c>
      <c r="H372" s="293"/>
      <c r="I372" s="285">
        <f t="shared" si="67"/>
        <v>1</v>
      </c>
      <c r="J372" s="293"/>
      <c r="K372" s="285">
        <f t="shared" si="68"/>
        <v>1</v>
      </c>
      <c r="L372" s="293"/>
      <c r="M372" s="285">
        <f t="shared" si="69"/>
        <v>1</v>
      </c>
      <c r="N372" s="293"/>
      <c r="O372" s="285">
        <f t="shared" si="70"/>
        <v>1</v>
      </c>
      <c r="P372" s="291" t="s">
        <v>3020</v>
      </c>
      <c r="Q372" s="285">
        <f t="shared" si="71"/>
        <v>1.03</v>
      </c>
      <c r="R372" s="285">
        <f t="shared" si="72"/>
        <v>27863</v>
      </c>
      <c r="S372" s="284">
        <f t="shared" si="63"/>
        <v>247</v>
      </c>
    </row>
    <row r="373" spans="1:19">
      <c r="A373" s="1061" t="str">
        <f>清单!D478</f>
        <v>C-2-1-403</v>
      </c>
      <c r="B373" s="1061">
        <f>清单!F478</f>
        <v>88.77</v>
      </c>
      <c r="C373" s="285">
        <f t="shared" si="64"/>
        <v>0.97</v>
      </c>
      <c r="D373" s="293"/>
      <c r="E373" s="285">
        <f t="shared" si="65"/>
        <v>1</v>
      </c>
      <c r="F373" s="293"/>
      <c r="G373" s="285">
        <f t="shared" si="66"/>
        <v>1</v>
      </c>
      <c r="H373" s="293"/>
      <c r="I373" s="285">
        <f t="shared" si="67"/>
        <v>1</v>
      </c>
      <c r="J373" s="293"/>
      <c r="K373" s="285">
        <f t="shared" si="68"/>
        <v>1</v>
      </c>
      <c r="L373" s="293"/>
      <c r="M373" s="285">
        <f t="shared" si="69"/>
        <v>1</v>
      </c>
      <c r="N373" s="293"/>
      <c r="O373" s="285">
        <f t="shared" si="70"/>
        <v>1</v>
      </c>
      <c r="P373" s="291" t="s">
        <v>3024</v>
      </c>
      <c r="Q373" s="285">
        <f t="shared" si="71"/>
        <v>0.97</v>
      </c>
      <c r="R373" s="285">
        <f t="shared" si="72"/>
        <v>26240</v>
      </c>
      <c r="S373" s="284">
        <f t="shared" si="63"/>
        <v>233</v>
      </c>
    </row>
    <row r="374" spans="1:19">
      <c r="A374" s="1061" t="str">
        <f>清单!D497</f>
        <v>C-3-1103</v>
      </c>
      <c r="B374" s="1061">
        <f>清单!F497</f>
        <v>64.099999999999994</v>
      </c>
      <c r="C374" s="285">
        <f t="shared" si="64"/>
        <v>0.97</v>
      </c>
      <c r="D374" s="293"/>
      <c r="E374" s="285">
        <f t="shared" si="65"/>
        <v>1</v>
      </c>
      <c r="F374" s="293"/>
      <c r="G374" s="285">
        <f t="shared" si="66"/>
        <v>1</v>
      </c>
      <c r="H374" s="293"/>
      <c r="I374" s="285">
        <f t="shared" si="67"/>
        <v>1</v>
      </c>
      <c r="J374" s="293"/>
      <c r="K374" s="285">
        <f t="shared" si="68"/>
        <v>1</v>
      </c>
      <c r="L374" s="293"/>
      <c r="M374" s="285">
        <f t="shared" si="69"/>
        <v>1</v>
      </c>
      <c r="N374" s="293"/>
      <c r="O374" s="285">
        <f t="shared" si="70"/>
        <v>1</v>
      </c>
      <c r="P374" s="291" t="s">
        <v>3020</v>
      </c>
      <c r="Q374" s="285">
        <f t="shared" si="71"/>
        <v>1.03</v>
      </c>
      <c r="R374" s="285">
        <f t="shared" si="72"/>
        <v>27863</v>
      </c>
      <c r="S374" s="284">
        <f t="shared" si="63"/>
        <v>179</v>
      </c>
    </row>
    <row r="375" spans="1:19">
      <c r="A375" s="1061" t="str">
        <f>清单!D498</f>
        <v>C-3-1104</v>
      </c>
      <c r="B375" s="1061">
        <f>清单!F498</f>
        <v>88.6</v>
      </c>
      <c r="C375" s="285">
        <f t="shared" si="64"/>
        <v>0.97</v>
      </c>
      <c r="D375" s="293"/>
      <c r="E375" s="285">
        <f t="shared" si="65"/>
        <v>1</v>
      </c>
      <c r="F375" s="293"/>
      <c r="G375" s="285">
        <f t="shared" si="66"/>
        <v>1</v>
      </c>
      <c r="H375" s="293"/>
      <c r="I375" s="285">
        <f t="shared" si="67"/>
        <v>1</v>
      </c>
      <c r="J375" s="293"/>
      <c r="K375" s="285">
        <f t="shared" si="68"/>
        <v>1</v>
      </c>
      <c r="L375" s="293"/>
      <c r="M375" s="285">
        <f t="shared" si="69"/>
        <v>1</v>
      </c>
      <c r="N375" s="293"/>
      <c r="O375" s="285">
        <f t="shared" si="70"/>
        <v>1</v>
      </c>
      <c r="P375" s="291" t="s">
        <v>3020</v>
      </c>
      <c r="Q375" s="285">
        <f t="shared" si="71"/>
        <v>1.03</v>
      </c>
      <c r="R375" s="285">
        <f t="shared" si="72"/>
        <v>27863</v>
      </c>
      <c r="S375" s="284">
        <f t="shared" si="63"/>
        <v>247</v>
      </c>
    </row>
    <row r="376" spans="1:19">
      <c r="A376" s="1061" t="str">
        <f>清单!D481</f>
        <v>C-2-1-603</v>
      </c>
      <c r="B376" s="1061">
        <f>清单!F481</f>
        <v>88.77</v>
      </c>
      <c r="C376" s="285">
        <f t="shared" si="64"/>
        <v>0.97</v>
      </c>
      <c r="D376" s="293"/>
      <c r="E376" s="285">
        <f t="shared" si="65"/>
        <v>1</v>
      </c>
      <c r="F376" s="293"/>
      <c r="G376" s="285">
        <f t="shared" si="66"/>
        <v>1</v>
      </c>
      <c r="H376" s="293"/>
      <c r="I376" s="285">
        <f t="shared" si="67"/>
        <v>1</v>
      </c>
      <c r="J376" s="293"/>
      <c r="K376" s="285">
        <f t="shared" si="68"/>
        <v>1</v>
      </c>
      <c r="L376" s="293"/>
      <c r="M376" s="285">
        <f t="shared" si="69"/>
        <v>1</v>
      </c>
      <c r="N376" s="293"/>
      <c r="O376" s="285">
        <f t="shared" si="70"/>
        <v>1</v>
      </c>
      <c r="P376" s="291" t="s">
        <v>3022</v>
      </c>
      <c r="Q376" s="285">
        <f t="shared" si="71"/>
        <v>1</v>
      </c>
      <c r="R376" s="285">
        <f t="shared" si="72"/>
        <v>27051</v>
      </c>
      <c r="S376" s="284">
        <f t="shared" si="63"/>
        <v>240</v>
      </c>
    </row>
    <row r="377" spans="1:19">
      <c r="A377" s="1061" t="str">
        <f>清单!D500</f>
        <v>C-3-1202</v>
      </c>
      <c r="B377" s="1061">
        <f>清单!F500</f>
        <v>64.099999999999994</v>
      </c>
      <c r="C377" s="285">
        <f t="shared" si="64"/>
        <v>0.97</v>
      </c>
      <c r="D377" s="293"/>
      <c r="E377" s="285">
        <f t="shared" si="65"/>
        <v>1</v>
      </c>
      <c r="F377" s="293"/>
      <c r="G377" s="285">
        <f t="shared" si="66"/>
        <v>1</v>
      </c>
      <c r="H377" s="293"/>
      <c r="I377" s="285">
        <f t="shared" si="67"/>
        <v>1</v>
      </c>
      <c r="J377" s="293"/>
      <c r="K377" s="285">
        <f t="shared" si="68"/>
        <v>1</v>
      </c>
      <c r="L377" s="293"/>
      <c r="M377" s="285">
        <f t="shared" si="69"/>
        <v>1</v>
      </c>
      <c r="N377" s="293"/>
      <c r="O377" s="285">
        <f t="shared" si="70"/>
        <v>1</v>
      </c>
      <c r="P377" s="291" t="s">
        <v>3020</v>
      </c>
      <c r="Q377" s="285">
        <f t="shared" si="71"/>
        <v>1.03</v>
      </c>
      <c r="R377" s="285">
        <f t="shared" si="72"/>
        <v>27863</v>
      </c>
      <c r="S377" s="284">
        <f t="shared" si="63"/>
        <v>179</v>
      </c>
    </row>
    <row r="378" spans="1:19">
      <c r="A378" s="1061" t="str">
        <f>清单!D501</f>
        <v>C-3-1203</v>
      </c>
      <c r="B378" s="1061">
        <f>清单!F501</f>
        <v>64.099999999999994</v>
      </c>
      <c r="C378" s="285">
        <f t="shared" si="64"/>
        <v>0.97</v>
      </c>
      <c r="D378" s="293"/>
      <c r="E378" s="285">
        <f t="shared" si="65"/>
        <v>1</v>
      </c>
      <c r="F378" s="293"/>
      <c r="G378" s="285">
        <f t="shared" si="66"/>
        <v>1</v>
      </c>
      <c r="H378" s="293"/>
      <c r="I378" s="285">
        <f t="shared" si="67"/>
        <v>1</v>
      </c>
      <c r="J378" s="293"/>
      <c r="K378" s="285">
        <f t="shared" si="68"/>
        <v>1</v>
      </c>
      <c r="L378" s="293"/>
      <c r="M378" s="285">
        <f t="shared" si="69"/>
        <v>1</v>
      </c>
      <c r="N378" s="293"/>
      <c r="O378" s="285">
        <f t="shared" si="70"/>
        <v>1</v>
      </c>
      <c r="P378" s="291" t="s">
        <v>3020</v>
      </c>
      <c r="Q378" s="285">
        <f t="shared" si="71"/>
        <v>1.03</v>
      </c>
      <c r="R378" s="285">
        <f t="shared" si="72"/>
        <v>27863</v>
      </c>
      <c r="S378" s="284">
        <f t="shared" si="63"/>
        <v>179</v>
      </c>
    </row>
    <row r="379" spans="1:19">
      <c r="A379" s="1061" t="str">
        <f>清单!D484</f>
        <v>C-2-1-701</v>
      </c>
      <c r="B379" s="1061">
        <f>清单!F484</f>
        <v>51.66</v>
      </c>
      <c r="C379" s="285">
        <f t="shared" si="64"/>
        <v>1</v>
      </c>
      <c r="D379" s="293"/>
      <c r="E379" s="285">
        <f t="shared" si="65"/>
        <v>1</v>
      </c>
      <c r="F379" s="293"/>
      <c r="G379" s="285">
        <f t="shared" si="66"/>
        <v>1</v>
      </c>
      <c r="H379" s="293"/>
      <c r="I379" s="285">
        <f t="shared" si="67"/>
        <v>1</v>
      </c>
      <c r="J379" s="293"/>
      <c r="K379" s="285">
        <f t="shared" si="68"/>
        <v>1</v>
      </c>
      <c r="L379" s="293"/>
      <c r="M379" s="285">
        <f t="shared" si="69"/>
        <v>1</v>
      </c>
      <c r="N379" s="293"/>
      <c r="O379" s="285">
        <f t="shared" si="70"/>
        <v>1</v>
      </c>
      <c r="P379" s="291" t="s">
        <v>3022</v>
      </c>
      <c r="Q379" s="285">
        <f t="shared" si="71"/>
        <v>1</v>
      </c>
      <c r="R379" s="285">
        <f t="shared" si="72"/>
        <v>27888</v>
      </c>
      <c r="S379" s="284">
        <f t="shared" si="63"/>
        <v>144</v>
      </c>
    </row>
    <row r="380" spans="1:19">
      <c r="A380" s="1061" t="str">
        <f>清单!D503</f>
        <v>C-3-1301</v>
      </c>
      <c r="B380" s="1061">
        <f>清单!F503</f>
        <v>88.6</v>
      </c>
      <c r="C380" s="285">
        <f t="shared" si="64"/>
        <v>0.97</v>
      </c>
      <c r="D380" s="293"/>
      <c r="E380" s="285">
        <f t="shared" si="65"/>
        <v>1</v>
      </c>
      <c r="F380" s="293"/>
      <c r="G380" s="285">
        <f t="shared" si="66"/>
        <v>1</v>
      </c>
      <c r="H380" s="293"/>
      <c r="I380" s="285">
        <f t="shared" si="67"/>
        <v>1</v>
      </c>
      <c r="J380" s="293"/>
      <c r="K380" s="285">
        <f t="shared" si="68"/>
        <v>1</v>
      </c>
      <c r="L380" s="293"/>
      <c r="M380" s="285">
        <f t="shared" si="69"/>
        <v>1</v>
      </c>
      <c r="N380" s="293"/>
      <c r="O380" s="285">
        <f t="shared" si="70"/>
        <v>1</v>
      </c>
      <c r="P380" s="291" t="s">
        <v>3020</v>
      </c>
      <c r="Q380" s="285">
        <f t="shared" si="71"/>
        <v>1.03</v>
      </c>
      <c r="R380" s="285">
        <f t="shared" si="72"/>
        <v>27863</v>
      </c>
      <c r="S380" s="284">
        <f t="shared" si="63"/>
        <v>247</v>
      </c>
    </row>
    <row r="381" spans="1:19">
      <c r="A381" s="1061" t="str">
        <f>清单!D504</f>
        <v>C-3-1302</v>
      </c>
      <c r="B381" s="1061">
        <f>清单!F504</f>
        <v>64.099999999999994</v>
      </c>
      <c r="C381" s="285">
        <f t="shared" si="64"/>
        <v>0.97</v>
      </c>
      <c r="D381" s="293"/>
      <c r="E381" s="285">
        <f t="shared" si="65"/>
        <v>1</v>
      </c>
      <c r="F381" s="293"/>
      <c r="G381" s="285">
        <f t="shared" si="66"/>
        <v>1</v>
      </c>
      <c r="H381" s="293"/>
      <c r="I381" s="285">
        <f t="shared" si="67"/>
        <v>1</v>
      </c>
      <c r="J381" s="293"/>
      <c r="K381" s="285">
        <f t="shared" si="68"/>
        <v>1</v>
      </c>
      <c r="L381" s="293"/>
      <c r="M381" s="285">
        <f t="shared" si="69"/>
        <v>1</v>
      </c>
      <c r="N381" s="293"/>
      <c r="O381" s="285">
        <f t="shared" si="70"/>
        <v>1</v>
      </c>
      <c r="P381" s="291" t="s">
        <v>3020</v>
      </c>
      <c r="Q381" s="285">
        <f t="shared" si="71"/>
        <v>1.03</v>
      </c>
      <c r="R381" s="285">
        <f t="shared" si="72"/>
        <v>27863</v>
      </c>
      <c r="S381" s="284">
        <f t="shared" si="63"/>
        <v>179</v>
      </c>
    </row>
    <row r="382" spans="1:19">
      <c r="A382" s="1061" t="str">
        <f>清单!D487</f>
        <v>C-3-1001</v>
      </c>
      <c r="B382" s="1061">
        <f>清单!F487</f>
        <v>88.6</v>
      </c>
      <c r="C382" s="285">
        <f t="shared" si="64"/>
        <v>0.97</v>
      </c>
      <c r="D382" s="293"/>
      <c r="E382" s="285">
        <f t="shared" si="65"/>
        <v>1</v>
      </c>
      <c r="F382" s="293"/>
      <c r="G382" s="285">
        <f t="shared" si="66"/>
        <v>1</v>
      </c>
      <c r="H382" s="293"/>
      <c r="I382" s="285">
        <f t="shared" si="67"/>
        <v>1</v>
      </c>
      <c r="J382" s="293"/>
      <c r="K382" s="285">
        <f t="shared" si="68"/>
        <v>1</v>
      </c>
      <c r="L382" s="293"/>
      <c r="M382" s="285">
        <f t="shared" si="69"/>
        <v>1</v>
      </c>
      <c r="N382" s="293"/>
      <c r="O382" s="285">
        <f t="shared" si="70"/>
        <v>1</v>
      </c>
      <c r="P382" s="291" t="s">
        <v>3022</v>
      </c>
      <c r="Q382" s="285">
        <f t="shared" si="71"/>
        <v>1</v>
      </c>
      <c r="R382" s="285">
        <f t="shared" si="72"/>
        <v>27051</v>
      </c>
      <c r="S382" s="284">
        <f t="shared" si="63"/>
        <v>240</v>
      </c>
    </row>
    <row r="383" spans="1:19">
      <c r="A383" s="1061" t="str">
        <f>清单!D506</f>
        <v>C-3-1304</v>
      </c>
      <c r="B383" s="1061">
        <f>清单!F506</f>
        <v>88.6</v>
      </c>
      <c r="C383" s="285">
        <f t="shared" si="64"/>
        <v>0.97</v>
      </c>
      <c r="D383" s="293"/>
      <c r="E383" s="285">
        <f t="shared" si="65"/>
        <v>1</v>
      </c>
      <c r="F383" s="293"/>
      <c r="G383" s="285">
        <f t="shared" si="66"/>
        <v>1</v>
      </c>
      <c r="H383" s="293"/>
      <c r="I383" s="285">
        <f t="shared" si="67"/>
        <v>1</v>
      </c>
      <c r="J383" s="293"/>
      <c r="K383" s="285">
        <f t="shared" si="68"/>
        <v>1</v>
      </c>
      <c r="L383" s="293"/>
      <c r="M383" s="285">
        <f t="shared" si="69"/>
        <v>1</v>
      </c>
      <c r="N383" s="293"/>
      <c r="O383" s="285">
        <f t="shared" si="70"/>
        <v>1</v>
      </c>
      <c r="P383" s="291" t="s">
        <v>3020</v>
      </c>
      <c r="Q383" s="285">
        <f t="shared" si="71"/>
        <v>1.03</v>
      </c>
      <c r="R383" s="285">
        <f t="shared" si="72"/>
        <v>27863</v>
      </c>
      <c r="S383" s="284">
        <f t="shared" si="63"/>
        <v>247</v>
      </c>
    </row>
    <row r="384" spans="1:19">
      <c r="A384" s="1061" t="str">
        <f>清单!D507</f>
        <v>C-3-1401</v>
      </c>
      <c r="B384" s="1061">
        <f>清单!F507</f>
        <v>88.6</v>
      </c>
      <c r="C384" s="285">
        <f t="shared" si="64"/>
        <v>0.97</v>
      </c>
      <c r="D384" s="293"/>
      <c r="E384" s="285">
        <f t="shared" si="65"/>
        <v>1</v>
      </c>
      <c r="F384" s="293"/>
      <c r="G384" s="285">
        <f t="shared" si="66"/>
        <v>1</v>
      </c>
      <c r="H384" s="293"/>
      <c r="I384" s="285">
        <f t="shared" si="67"/>
        <v>1</v>
      </c>
      <c r="J384" s="293"/>
      <c r="K384" s="285">
        <f t="shared" si="68"/>
        <v>1</v>
      </c>
      <c r="L384" s="293"/>
      <c r="M384" s="285">
        <f t="shared" si="69"/>
        <v>1</v>
      </c>
      <c r="N384" s="293"/>
      <c r="O384" s="285">
        <f t="shared" si="70"/>
        <v>1</v>
      </c>
      <c r="P384" s="291" t="s">
        <v>3020</v>
      </c>
      <c r="Q384" s="285">
        <f t="shared" si="71"/>
        <v>1.03</v>
      </c>
      <c r="R384" s="285">
        <f t="shared" si="72"/>
        <v>27863</v>
      </c>
      <c r="S384" s="284">
        <f t="shared" si="63"/>
        <v>247</v>
      </c>
    </row>
    <row r="385" spans="1:19">
      <c r="A385" s="1061" t="str">
        <f>清单!D490</f>
        <v>C-3-1004</v>
      </c>
      <c r="B385" s="1061">
        <f>清单!F490</f>
        <v>88.6</v>
      </c>
      <c r="C385" s="285">
        <f t="shared" si="64"/>
        <v>0.97</v>
      </c>
      <c r="D385" s="293"/>
      <c r="E385" s="285">
        <f t="shared" si="65"/>
        <v>1</v>
      </c>
      <c r="F385" s="293"/>
      <c r="G385" s="285">
        <f t="shared" si="66"/>
        <v>1</v>
      </c>
      <c r="H385" s="293"/>
      <c r="I385" s="285">
        <f t="shared" si="67"/>
        <v>1</v>
      </c>
      <c r="J385" s="293"/>
      <c r="K385" s="285">
        <f t="shared" si="68"/>
        <v>1</v>
      </c>
      <c r="L385" s="293"/>
      <c r="M385" s="285">
        <f t="shared" si="69"/>
        <v>1</v>
      </c>
      <c r="N385" s="293"/>
      <c r="O385" s="285">
        <f t="shared" si="70"/>
        <v>1</v>
      </c>
      <c r="P385" s="291" t="s">
        <v>3022</v>
      </c>
      <c r="Q385" s="285">
        <f t="shared" si="71"/>
        <v>1</v>
      </c>
      <c r="R385" s="285">
        <f t="shared" si="72"/>
        <v>27051</v>
      </c>
      <c r="S385" s="284">
        <f t="shared" ref="S385:S422" si="73">ROUND(R385*B385/10000,0)</f>
        <v>240</v>
      </c>
    </row>
    <row r="386" spans="1:19">
      <c r="A386" s="1061" t="str">
        <f>清单!D509</f>
        <v>C-3-1403</v>
      </c>
      <c r="B386" s="1061">
        <f>清单!F509</f>
        <v>64.099999999999994</v>
      </c>
      <c r="C386" s="285">
        <f t="shared" si="64"/>
        <v>0.97</v>
      </c>
      <c r="D386" s="293"/>
      <c r="E386" s="285">
        <f t="shared" si="65"/>
        <v>1</v>
      </c>
      <c r="F386" s="293"/>
      <c r="G386" s="285">
        <f t="shared" si="66"/>
        <v>1</v>
      </c>
      <c r="H386" s="293"/>
      <c r="I386" s="285">
        <f t="shared" si="67"/>
        <v>1</v>
      </c>
      <c r="J386" s="293"/>
      <c r="K386" s="285">
        <f t="shared" si="68"/>
        <v>1</v>
      </c>
      <c r="L386" s="293"/>
      <c r="M386" s="285">
        <f t="shared" si="69"/>
        <v>1</v>
      </c>
      <c r="N386" s="293"/>
      <c r="O386" s="285">
        <f t="shared" si="70"/>
        <v>1</v>
      </c>
      <c r="P386" s="291" t="s">
        <v>3020</v>
      </c>
      <c r="Q386" s="285">
        <f t="shared" si="71"/>
        <v>1.03</v>
      </c>
      <c r="R386" s="285">
        <f t="shared" si="72"/>
        <v>27863</v>
      </c>
      <c r="S386" s="284">
        <f t="shared" si="73"/>
        <v>179</v>
      </c>
    </row>
    <row r="387" spans="1:19">
      <c r="A387" s="1061" t="str">
        <f>清单!D510</f>
        <v>C-3-1404</v>
      </c>
      <c r="B387" s="1061">
        <f>清单!F510</f>
        <v>88.6</v>
      </c>
      <c r="C387" s="285">
        <f t="shared" si="64"/>
        <v>0.97</v>
      </c>
      <c r="D387" s="293"/>
      <c r="E387" s="285">
        <f t="shared" si="65"/>
        <v>1</v>
      </c>
      <c r="F387" s="293"/>
      <c r="G387" s="285">
        <f t="shared" si="66"/>
        <v>1</v>
      </c>
      <c r="H387" s="293"/>
      <c r="I387" s="285">
        <f t="shared" si="67"/>
        <v>1</v>
      </c>
      <c r="J387" s="293"/>
      <c r="K387" s="285">
        <f t="shared" si="68"/>
        <v>1</v>
      </c>
      <c r="L387" s="293"/>
      <c r="M387" s="285">
        <f t="shared" si="69"/>
        <v>1</v>
      </c>
      <c r="N387" s="293"/>
      <c r="O387" s="285">
        <f t="shared" si="70"/>
        <v>1</v>
      </c>
      <c r="P387" s="291" t="s">
        <v>3020</v>
      </c>
      <c r="Q387" s="285">
        <f t="shared" si="71"/>
        <v>1.03</v>
      </c>
      <c r="R387" s="285">
        <f t="shared" si="72"/>
        <v>27863</v>
      </c>
      <c r="S387" s="284">
        <f t="shared" si="73"/>
        <v>247</v>
      </c>
    </row>
    <row r="388" spans="1:19">
      <c r="A388" s="1061" t="str">
        <f>清单!D493</f>
        <v>C-3-103</v>
      </c>
      <c r="B388" s="1061">
        <f>清单!F493</f>
        <v>64.099999999999994</v>
      </c>
      <c r="C388" s="285">
        <f t="shared" si="64"/>
        <v>0.97</v>
      </c>
      <c r="D388" s="293"/>
      <c r="E388" s="285">
        <f t="shared" si="65"/>
        <v>1</v>
      </c>
      <c r="F388" s="293"/>
      <c r="G388" s="285">
        <f t="shared" si="66"/>
        <v>1</v>
      </c>
      <c r="H388" s="293"/>
      <c r="I388" s="285">
        <f t="shared" si="67"/>
        <v>1</v>
      </c>
      <c r="J388" s="293"/>
      <c r="K388" s="285">
        <f t="shared" si="68"/>
        <v>1</v>
      </c>
      <c r="L388" s="293"/>
      <c r="M388" s="285">
        <f t="shared" si="69"/>
        <v>1</v>
      </c>
      <c r="N388" s="293"/>
      <c r="O388" s="285">
        <f t="shared" si="70"/>
        <v>1</v>
      </c>
      <c r="P388" s="291" t="s">
        <v>3024</v>
      </c>
      <c r="Q388" s="285">
        <f t="shared" si="71"/>
        <v>0.97</v>
      </c>
      <c r="R388" s="285">
        <f t="shared" si="72"/>
        <v>26240</v>
      </c>
      <c r="S388" s="284">
        <f t="shared" si="73"/>
        <v>168</v>
      </c>
    </row>
    <row r="389" spans="1:19">
      <c r="A389" s="1061" t="str">
        <f>清单!D512</f>
        <v>C-3-1502</v>
      </c>
      <c r="B389" s="1061">
        <f>清单!F512</f>
        <v>64.099999999999994</v>
      </c>
      <c r="C389" s="285">
        <f t="shared" si="64"/>
        <v>0.97</v>
      </c>
      <c r="D389" s="293"/>
      <c r="E389" s="285">
        <f t="shared" si="65"/>
        <v>1</v>
      </c>
      <c r="F389" s="293"/>
      <c r="G389" s="285">
        <f t="shared" si="66"/>
        <v>1</v>
      </c>
      <c r="H389" s="293"/>
      <c r="I389" s="285">
        <f t="shared" si="67"/>
        <v>1</v>
      </c>
      <c r="J389" s="293"/>
      <c r="K389" s="285">
        <f t="shared" si="68"/>
        <v>1</v>
      </c>
      <c r="L389" s="293"/>
      <c r="M389" s="285">
        <f t="shared" si="69"/>
        <v>1</v>
      </c>
      <c r="N389" s="293"/>
      <c r="O389" s="285">
        <f t="shared" si="70"/>
        <v>1</v>
      </c>
      <c r="P389" s="291" t="s">
        <v>3020</v>
      </c>
      <c r="Q389" s="285">
        <f t="shared" si="71"/>
        <v>1.03</v>
      </c>
      <c r="R389" s="285">
        <f t="shared" si="72"/>
        <v>27863</v>
      </c>
      <c r="S389" s="284">
        <f t="shared" si="73"/>
        <v>179</v>
      </c>
    </row>
    <row r="390" spans="1:19">
      <c r="A390" s="1061" t="str">
        <f>清单!D513</f>
        <v>C-3-1503</v>
      </c>
      <c r="B390" s="1061">
        <f>清单!F513</f>
        <v>64.099999999999994</v>
      </c>
      <c r="C390" s="285">
        <f t="shared" si="64"/>
        <v>0.97</v>
      </c>
      <c r="D390" s="293"/>
      <c r="E390" s="285">
        <f t="shared" si="65"/>
        <v>1</v>
      </c>
      <c r="F390" s="293"/>
      <c r="G390" s="285">
        <f t="shared" si="66"/>
        <v>1</v>
      </c>
      <c r="H390" s="293"/>
      <c r="I390" s="285">
        <f t="shared" si="67"/>
        <v>1</v>
      </c>
      <c r="J390" s="293"/>
      <c r="K390" s="285">
        <f t="shared" si="68"/>
        <v>1</v>
      </c>
      <c r="L390" s="293"/>
      <c r="M390" s="285">
        <f t="shared" si="69"/>
        <v>1</v>
      </c>
      <c r="N390" s="293"/>
      <c r="O390" s="285">
        <f t="shared" si="70"/>
        <v>1</v>
      </c>
      <c r="P390" s="291" t="s">
        <v>3020</v>
      </c>
      <c r="Q390" s="285">
        <f t="shared" si="71"/>
        <v>1.03</v>
      </c>
      <c r="R390" s="285">
        <f t="shared" si="72"/>
        <v>27863</v>
      </c>
      <c r="S390" s="284">
        <f t="shared" si="73"/>
        <v>179</v>
      </c>
    </row>
    <row r="391" spans="1:19">
      <c r="A391" s="1061" t="str">
        <f>清单!D496</f>
        <v>C-3-1102</v>
      </c>
      <c r="B391" s="1061">
        <f>清单!F496</f>
        <v>64.099999999999994</v>
      </c>
      <c r="C391" s="285">
        <f t="shared" si="64"/>
        <v>0.97</v>
      </c>
      <c r="D391" s="293"/>
      <c r="E391" s="285">
        <f t="shared" si="65"/>
        <v>1</v>
      </c>
      <c r="F391" s="293"/>
      <c r="G391" s="285">
        <f t="shared" si="66"/>
        <v>1</v>
      </c>
      <c r="H391" s="293"/>
      <c r="I391" s="285">
        <f t="shared" si="67"/>
        <v>1</v>
      </c>
      <c r="J391" s="293"/>
      <c r="K391" s="285">
        <f t="shared" si="68"/>
        <v>1</v>
      </c>
      <c r="L391" s="293"/>
      <c r="M391" s="285">
        <f t="shared" si="69"/>
        <v>1</v>
      </c>
      <c r="N391" s="293"/>
      <c r="O391" s="285">
        <f t="shared" si="70"/>
        <v>1</v>
      </c>
      <c r="P391" s="291" t="s">
        <v>3020</v>
      </c>
      <c r="Q391" s="285">
        <f t="shared" si="71"/>
        <v>1.03</v>
      </c>
      <c r="R391" s="285">
        <f t="shared" si="72"/>
        <v>27863</v>
      </c>
      <c r="S391" s="284">
        <f t="shared" si="73"/>
        <v>179</v>
      </c>
    </row>
    <row r="392" spans="1:19">
      <c r="A392" s="1061" t="str">
        <f>清单!D515</f>
        <v>C-3-201</v>
      </c>
      <c r="B392" s="1061">
        <f>清单!F515</f>
        <v>88.6</v>
      </c>
      <c r="C392" s="285">
        <f t="shared" si="64"/>
        <v>0.97</v>
      </c>
      <c r="D392" s="293"/>
      <c r="E392" s="285">
        <f t="shared" si="65"/>
        <v>1</v>
      </c>
      <c r="F392" s="293"/>
      <c r="G392" s="285">
        <f t="shared" si="66"/>
        <v>1</v>
      </c>
      <c r="H392" s="293"/>
      <c r="I392" s="285">
        <f t="shared" si="67"/>
        <v>1</v>
      </c>
      <c r="J392" s="293"/>
      <c r="K392" s="285">
        <f t="shared" si="68"/>
        <v>1</v>
      </c>
      <c r="L392" s="293"/>
      <c r="M392" s="285">
        <f t="shared" si="69"/>
        <v>1</v>
      </c>
      <c r="N392" s="293"/>
      <c r="O392" s="285">
        <f t="shared" si="70"/>
        <v>1</v>
      </c>
      <c r="P392" s="291" t="s">
        <v>3024</v>
      </c>
      <c r="Q392" s="285">
        <f t="shared" si="71"/>
        <v>0.97</v>
      </c>
      <c r="R392" s="285">
        <f t="shared" si="72"/>
        <v>26240</v>
      </c>
      <c r="S392" s="284">
        <f t="shared" si="73"/>
        <v>232</v>
      </c>
    </row>
    <row r="393" spans="1:19">
      <c r="A393" s="1061" t="str">
        <f>清单!D516</f>
        <v>C-3-202</v>
      </c>
      <c r="B393" s="1061">
        <f>清单!F516</f>
        <v>64.099999999999994</v>
      </c>
      <c r="C393" s="285">
        <f t="shared" si="64"/>
        <v>0.97</v>
      </c>
      <c r="D393" s="293"/>
      <c r="E393" s="285">
        <f t="shared" si="65"/>
        <v>1</v>
      </c>
      <c r="F393" s="293"/>
      <c r="G393" s="285">
        <f t="shared" si="66"/>
        <v>1</v>
      </c>
      <c r="H393" s="293"/>
      <c r="I393" s="285">
        <f t="shared" si="67"/>
        <v>1</v>
      </c>
      <c r="J393" s="293"/>
      <c r="K393" s="285">
        <f t="shared" si="68"/>
        <v>1</v>
      </c>
      <c r="L393" s="293"/>
      <c r="M393" s="285">
        <f t="shared" si="69"/>
        <v>1</v>
      </c>
      <c r="N393" s="293"/>
      <c r="O393" s="285">
        <f t="shared" si="70"/>
        <v>1</v>
      </c>
      <c r="P393" s="291" t="s">
        <v>3024</v>
      </c>
      <c r="Q393" s="285">
        <f t="shared" si="71"/>
        <v>0.97</v>
      </c>
      <c r="R393" s="285">
        <f t="shared" si="72"/>
        <v>26240</v>
      </c>
      <c r="S393" s="284">
        <f t="shared" si="73"/>
        <v>168</v>
      </c>
    </row>
    <row r="394" spans="1:19">
      <c r="A394" s="1061" t="str">
        <f>清单!D499</f>
        <v>C-3-1201</v>
      </c>
      <c r="B394" s="1061">
        <f>清单!F499</f>
        <v>88.6</v>
      </c>
      <c r="C394" s="285">
        <f t="shared" si="64"/>
        <v>0.97</v>
      </c>
      <c r="D394" s="293"/>
      <c r="E394" s="285">
        <f t="shared" si="65"/>
        <v>1</v>
      </c>
      <c r="F394" s="293"/>
      <c r="G394" s="285">
        <f t="shared" si="66"/>
        <v>1</v>
      </c>
      <c r="H394" s="293"/>
      <c r="I394" s="285">
        <f t="shared" si="67"/>
        <v>1</v>
      </c>
      <c r="J394" s="293"/>
      <c r="K394" s="285">
        <f t="shared" si="68"/>
        <v>1</v>
      </c>
      <c r="L394" s="293"/>
      <c r="M394" s="285">
        <f t="shared" si="69"/>
        <v>1</v>
      </c>
      <c r="N394" s="293"/>
      <c r="O394" s="285">
        <f t="shared" si="70"/>
        <v>1</v>
      </c>
      <c r="P394" s="291" t="s">
        <v>3020</v>
      </c>
      <c r="Q394" s="285">
        <f t="shared" si="71"/>
        <v>1.03</v>
      </c>
      <c r="R394" s="285">
        <f t="shared" si="72"/>
        <v>27863</v>
      </c>
      <c r="S394" s="284">
        <f t="shared" si="73"/>
        <v>247</v>
      </c>
    </row>
    <row r="395" spans="1:19">
      <c r="A395" s="1061" t="str">
        <f>清单!D518</f>
        <v>C-3-204</v>
      </c>
      <c r="B395" s="1061">
        <f>清单!F518</f>
        <v>88.6</v>
      </c>
      <c r="C395" s="285">
        <f t="shared" si="64"/>
        <v>0.97</v>
      </c>
      <c r="D395" s="293"/>
      <c r="E395" s="285">
        <f t="shared" si="65"/>
        <v>1</v>
      </c>
      <c r="F395" s="293"/>
      <c r="G395" s="285">
        <f t="shared" si="66"/>
        <v>1</v>
      </c>
      <c r="H395" s="293"/>
      <c r="I395" s="285">
        <f t="shared" si="67"/>
        <v>1</v>
      </c>
      <c r="J395" s="293"/>
      <c r="K395" s="285">
        <f t="shared" si="68"/>
        <v>1</v>
      </c>
      <c r="L395" s="293"/>
      <c r="M395" s="285">
        <f t="shared" si="69"/>
        <v>1</v>
      </c>
      <c r="N395" s="293"/>
      <c r="O395" s="285">
        <f t="shared" si="70"/>
        <v>1</v>
      </c>
      <c r="P395" s="291" t="s">
        <v>3024</v>
      </c>
      <c r="Q395" s="285">
        <f t="shared" si="71"/>
        <v>0.97</v>
      </c>
      <c r="R395" s="285">
        <f t="shared" si="72"/>
        <v>26240</v>
      </c>
      <c r="S395" s="284">
        <f t="shared" si="73"/>
        <v>232</v>
      </c>
    </row>
    <row r="396" spans="1:19">
      <c r="A396" s="1061" t="str">
        <f>清单!D519</f>
        <v>C-3-301</v>
      </c>
      <c r="B396" s="1061">
        <f>清单!F519</f>
        <v>88.6</v>
      </c>
      <c r="C396" s="285">
        <f t="shared" si="64"/>
        <v>0.97</v>
      </c>
      <c r="D396" s="293"/>
      <c r="E396" s="285">
        <f t="shared" si="65"/>
        <v>1</v>
      </c>
      <c r="F396" s="293"/>
      <c r="G396" s="285">
        <f t="shared" si="66"/>
        <v>1</v>
      </c>
      <c r="H396" s="293"/>
      <c r="I396" s="285">
        <f t="shared" si="67"/>
        <v>1</v>
      </c>
      <c r="J396" s="293"/>
      <c r="K396" s="285">
        <f t="shared" si="68"/>
        <v>1</v>
      </c>
      <c r="L396" s="293"/>
      <c r="M396" s="285">
        <f t="shared" si="69"/>
        <v>1</v>
      </c>
      <c r="N396" s="293"/>
      <c r="O396" s="285">
        <f t="shared" si="70"/>
        <v>1</v>
      </c>
      <c r="P396" s="291" t="s">
        <v>3024</v>
      </c>
      <c r="Q396" s="285">
        <f t="shared" si="71"/>
        <v>0.97</v>
      </c>
      <c r="R396" s="285">
        <f t="shared" si="72"/>
        <v>26240</v>
      </c>
      <c r="S396" s="284">
        <f t="shared" si="73"/>
        <v>232</v>
      </c>
    </row>
    <row r="397" spans="1:19">
      <c r="A397" s="1061" t="str">
        <f>清单!D502</f>
        <v>C-3-1204</v>
      </c>
      <c r="B397" s="1061">
        <f>清单!F502</f>
        <v>88.6</v>
      </c>
      <c r="C397" s="285">
        <f t="shared" si="64"/>
        <v>0.97</v>
      </c>
      <c r="D397" s="293"/>
      <c r="E397" s="285">
        <f t="shared" si="65"/>
        <v>1</v>
      </c>
      <c r="F397" s="293"/>
      <c r="G397" s="285">
        <f t="shared" si="66"/>
        <v>1</v>
      </c>
      <c r="H397" s="293"/>
      <c r="I397" s="285">
        <f t="shared" si="67"/>
        <v>1</v>
      </c>
      <c r="J397" s="293"/>
      <c r="K397" s="285">
        <f t="shared" si="68"/>
        <v>1</v>
      </c>
      <c r="L397" s="293"/>
      <c r="M397" s="285">
        <f t="shared" si="69"/>
        <v>1</v>
      </c>
      <c r="N397" s="293"/>
      <c r="O397" s="285">
        <f t="shared" si="70"/>
        <v>1</v>
      </c>
      <c r="P397" s="291" t="s">
        <v>3020</v>
      </c>
      <c r="Q397" s="285">
        <f t="shared" si="71"/>
        <v>1.03</v>
      </c>
      <c r="R397" s="285">
        <f t="shared" si="72"/>
        <v>27863</v>
      </c>
      <c r="S397" s="284">
        <f t="shared" si="73"/>
        <v>247</v>
      </c>
    </row>
    <row r="398" spans="1:19">
      <c r="A398" s="1061" t="str">
        <f>清单!D521</f>
        <v>C-3-303</v>
      </c>
      <c r="B398" s="1061">
        <f>清单!F521</f>
        <v>64.099999999999994</v>
      </c>
      <c r="C398" s="285">
        <f t="shared" si="64"/>
        <v>0.97</v>
      </c>
      <c r="D398" s="293"/>
      <c r="E398" s="285">
        <f t="shared" si="65"/>
        <v>1</v>
      </c>
      <c r="F398" s="293"/>
      <c r="G398" s="285">
        <f t="shared" si="66"/>
        <v>1</v>
      </c>
      <c r="H398" s="293"/>
      <c r="I398" s="285">
        <f t="shared" si="67"/>
        <v>1</v>
      </c>
      <c r="J398" s="293"/>
      <c r="K398" s="285">
        <f t="shared" si="68"/>
        <v>1</v>
      </c>
      <c r="L398" s="293"/>
      <c r="M398" s="285">
        <f t="shared" si="69"/>
        <v>1</v>
      </c>
      <c r="N398" s="293"/>
      <c r="O398" s="285">
        <f t="shared" si="70"/>
        <v>1</v>
      </c>
      <c r="P398" s="291" t="s">
        <v>3024</v>
      </c>
      <c r="Q398" s="285">
        <f t="shared" si="71"/>
        <v>0.97</v>
      </c>
      <c r="R398" s="285">
        <f t="shared" si="72"/>
        <v>26240</v>
      </c>
      <c r="S398" s="284">
        <f t="shared" si="73"/>
        <v>168</v>
      </c>
    </row>
    <row r="399" spans="1:19">
      <c r="A399" s="1061" t="str">
        <f>清单!D522</f>
        <v>C-3-304</v>
      </c>
      <c r="B399" s="1061">
        <f>清单!F522</f>
        <v>88.6</v>
      </c>
      <c r="C399" s="285">
        <f t="shared" si="64"/>
        <v>0.97</v>
      </c>
      <c r="D399" s="293"/>
      <c r="E399" s="285">
        <f t="shared" si="65"/>
        <v>1</v>
      </c>
      <c r="F399" s="293"/>
      <c r="G399" s="285">
        <f t="shared" si="66"/>
        <v>1</v>
      </c>
      <c r="H399" s="293"/>
      <c r="I399" s="285">
        <f t="shared" si="67"/>
        <v>1</v>
      </c>
      <c r="J399" s="293"/>
      <c r="K399" s="285">
        <f t="shared" si="68"/>
        <v>1</v>
      </c>
      <c r="L399" s="293"/>
      <c r="M399" s="285">
        <f t="shared" si="69"/>
        <v>1</v>
      </c>
      <c r="N399" s="293"/>
      <c r="O399" s="285">
        <f t="shared" si="70"/>
        <v>1</v>
      </c>
      <c r="P399" s="291" t="s">
        <v>3024</v>
      </c>
      <c r="Q399" s="285">
        <f t="shared" si="71"/>
        <v>0.97</v>
      </c>
      <c r="R399" s="285">
        <f t="shared" si="72"/>
        <v>26240</v>
      </c>
      <c r="S399" s="284">
        <f t="shared" si="73"/>
        <v>232</v>
      </c>
    </row>
    <row r="400" spans="1:19">
      <c r="A400" s="1061" t="str">
        <f>清单!D505</f>
        <v>C-3-1303</v>
      </c>
      <c r="B400" s="1061">
        <f>清单!F505</f>
        <v>64.099999999999994</v>
      </c>
      <c r="C400" s="285">
        <f t="shared" si="64"/>
        <v>0.97</v>
      </c>
      <c r="D400" s="293"/>
      <c r="E400" s="285">
        <f t="shared" si="65"/>
        <v>1</v>
      </c>
      <c r="F400" s="293"/>
      <c r="G400" s="285">
        <f t="shared" si="66"/>
        <v>1</v>
      </c>
      <c r="H400" s="293"/>
      <c r="I400" s="285">
        <f t="shared" si="67"/>
        <v>1</v>
      </c>
      <c r="J400" s="293"/>
      <c r="K400" s="285">
        <f t="shared" si="68"/>
        <v>1</v>
      </c>
      <c r="L400" s="293"/>
      <c r="M400" s="285">
        <f t="shared" si="69"/>
        <v>1</v>
      </c>
      <c r="N400" s="293"/>
      <c r="O400" s="285">
        <f t="shared" si="70"/>
        <v>1</v>
      </c>
      <c r="P400" s="291" t="s">
        <v>3020</v>
      </c>
      <c r="Q400" s="285">
        <f t="shared" si="71"/>
        <v>1.03</v>
      </c>
      <c r="R400" s="285">
        <f t="shared" si="72"/>
        <v>27863</v>
      </c>
      <c r="S400" s="284">
        <f t="shared" si="73"/>
        <v>179</v>
      </c>
    </row>
    <row r="401" spans="1:19">
      <c r="A401" s="1061" t="str">
        <f>清单!D524</f>
        <v>C-3-402</v>
      </c>
      <c r="B401" s="1061">
        <f>清单!F524</f>
        <v>64.099999999999994</v>
      </c>
      <c r="C401" s="285">
        <f t="shared" si="64"/>
        <v>0.97</v>
      </c>
      <c r="D401" s="293"/>
      <c r="E401" s="285">
        <f t="shared" si="65"/>
        <v>1</v>
      </c>
      <c r="F401" s="293"/>
      <c r="G401" s="285">
        <f t="shared" si="66"/>
        <v>1</v>
      </c>
      <c r="H401" s="293"/>
      <c r="I401" s="285">
        <f t="shared" si="67"/>
        <v>1</v>
      </c>
      <c r="J401" s="293"/>
      <c r="K401" s="285">
        <f t="shared" si="68"/>
        <v>1</v>
      </c>
      <c r="L401" s="293"/>
      <c r="M401" s="285">
        <f t="shared" si="69"/>
        <v>1</v>
      </c>
      <c r="N401" s="293"/>
      <c r="O401" s="285">
        <f t="shared" si="70"/>
        <v>1</v>
      </c>
      <c r="P401" s="291" t="s">
        <v>3024</v>
      </c>
      <c r="Q401" s="285">
        <f t="shared" si="71"/>
        <v>0.97</v>
      </c>
      <c r="R401" s="285">
        <f t="shared" si="72"/>
        <v>26240</v>
      </c>
      <c r="S401" s="284">
        <f t="shared" si="73"/>
        <v>168</v>
      </c>
    </row>
    <row r="402" spans="1:19">
      <c r="A402" s="1061" t="str">
        <f>清单!D525</f>
        <v>C-3-403</v>
      </c>
      <c r="B402" s="1061">
        <f>清单!F525</f>
        <v>64.099999999999994</v>
      </c>
      <c r="C402" s="285">
        <f t="shared" si="64"/>
        <v>0.97</v>
      </c>
      <c r="D402" s="293"/>
      <c r="E402" s="285">
        <f t="shared" si="65"/>
        <v>1</v>
      </c>
      <c r="F402" s="293"/>
      <c r="G402" s="285">
        <f t="shared" si="66"/>
        <v>1</v>
      </c>
      <c r="H402" s="293"/>
      <c r="I402" s="285">
        <f t="shared" si="67"/>
        <v>1</v>
      </c>
      <c r="J402" s="293"/>
      <c r="K402" s="285">
        <f t="shared" si="68"/>
        <v>1</v>
      </c>
      <c r="L402" s="293"/>
      <c r="M402" s="285">
        <f t="shared" si="69"/>
        <v>1</v>
      </c>
      <c r="N402" s="293"/>
      <c r="O402" s="285">
        <f t="shared" si="70"/>
        <v>1</v>
      </c>
      <c r="P402" s="291" t="s">
        <v>3024</v>
      </c>
      <c r="Q402" s="285">
        <f t="shared" si="71"/>
        <v>0.97</v>
      </c>
      <c r="R402" s="285">
        <f t="shared" si="72"/>
        <v>26240</v>
      </c>
      <c r="S402" s="284">
        <f t="shared" si="73"/>
        <v>168</v>
      </c>
    </row>
    <row r="403" spans="1:19">
      <c r="A403" s="1061" t="str">
        <f>清单!D508</f>
        <v>C-3-1402</v>
      </c>
      <c r="B403" s="1061">
        <f>清单!F508</f>
        <v>64.099999999999994</v>
      </c>
      <c r="C403" s="285">
        <f t="shared" si="64"/>
        <v>0.97</v>
      </c>
      <c r="D403" s="293"/>
      <c r="E403" s="285">
        <f t="shared" si="65"/>
        <v>1</v>
      </c>
      <c r="F403" s="293"/>
      <c r="G403" s="285">
        <f t="shared" si="66"/>
        <v>1</v>
      </c>
      <c r="H403" s="293"/>
      <c r="I403" s="285">
        <f t="shared" si="67"/>
        <v>1</v>
      </c>
      <c r="J403" s="293"/>
      <c r="K403" s="285">
        <f t="shared" si="68"/>
        <v>1</v>
      </c>
      <c r="L403" s="293"/>
      <c r="M403" s="285">
        <f t="shared" si="69"/>
        <v>1</v>
      </c>
      <c r="N403" s="293"/>
      <c r="O403" s="285">
        <f t="shared" si="70"/>
        <v>1</v>
      </c>
      <c r="P403" s="291" t="s">
        <v>3020</v>
      </c>
      <c r="Q403" s="285">
        <f t="shared" si="71"/>
        <v>1.03</v>
      </c>
      <c r="R403" s="285">
        <f t="shared" si="72"/>
        <v>27863</v>
      </c>
      <c r="S403" s="284">
        <f t="shared" si="73"/>
        <v>179</v>
      </c>
    </row>
    <row r="404" spans="1:19">
      <c r="A404" s="1061" t="str">
        <f>清单!D527</f>
        <v>C-3-501</v>
      </c>
      <c r="B404" s="1061">
        <f>清单!F527</f>
        <v>88.6</v>
      </c>
      <c r="C404" s="285">
        <f t="shared" si="64"/>
        <v>0.97</v>
      </c>
      <c r="D404" s="293"/>
      <c r="E404" s="285">
        <f t="shared" si="65"/>
        <v>1</v>
      </c>
      <c r="F404" s="293"/>
      <c r="G404" s="285">
        <f t="shared" si="66"/>
        <v>1</v>
      </c>
      <c r="H404" s="293"/>
      <c r="I404" s="285">
        <f t="shared" si="67"/>
        <v>1</v>
      </c>
      <c r="J404" s="293"/>
      <c r="K404" s="285">
        <f t="shared" si="68"/>
        <v>1</v>
      </c>
      <c r="L404" s="293"/>
      <c r="M404" s="285">
        <f t="shared" si="69"/>
        <v>1</v>
      </c>
      <c r="N404" s="293"/>
      <c r="O404" s="285">
        <f t="shared" si="70"/>
        <v>1</v>
      </c>
      <c r="P404" s="291" t="s">
        <v>3024</v>
      </c>
      <c r="Q404" s="285">
        <f t="shared" si="71"/>
        <v>0.97</v>
      </c>
      <c r="R404" s="285">
        <f t="shared" si="72"/>
        <v>26240</v>
      </c>
      <c r="S404" s="284">
        <f t="shared" si="73"/>
        <v>232</v>
      </c>
    </row>
    <row r="405" spans="1:19">
      <c r="A405" s="1061" t="str">
        <f>清单!D528</f>
        <v>C-3-502</v>
      </c>
      <c r="B405" s="1061">
        <f>清单!F528</f>
        <v>64.099999999999994</v>
      </c>
      <c r="C405" s="285">
        <f t="shared" si="64"/>
        <v>0.97</v>
      </c>
      <c r="D405" s="293"/>
      <c r="E405" s="285">
        <f t="shared" si="65"/>
        <v>1</v>
      </c>
      <c r="F405" s="293"/>
      <c r="G405" s="285">
        <f t="shared" si="66"/>
        <v>1</v>
      </c>
      <c r="H405" s="293"/>
      <c r="I405" s="285">
        <f t="shared" si="67"/>
        <v>1</v>
      </c>
      <c r="J405" s="293"/>
      <c r="K405" s="285">
        <f t="shared" si="68"/>
        <v>1</v>
      </c>
      <c r="L405" s="293"/>
      <c r="M405" s="285">
        <f t="shared" si="69"/>
        <v>1</v>
      </c>
      <c r="N405" s="293"/>
      <c r="O405" s="285">
        <f t="shared" si="70"/>
        <v>1</v>
      </c>
      <c r="P405" s="291" t="s">
        <v>3024</v>
      </c>
      <c r="Q405" s="285">
        <f t="shared" si="71"/>
        <v>0.97</v>
      </c>
      <c r="R405" s="285">
        <f t="shared" si="72"/>
        <v>26240</v>
      </c>
      <c r="S405" s="284">
        <f t="shared" si="73"/>
        <v>168</v>
      </c>
    </row>
    <row r="406" spans="1:19">
      <c r="A406" s="1061" t="str">
        <f>清单!D511</f>
        <v>C-3-1501</v>
      </c>
      <c r="B406" s="1061">
        <f>清单!F511</f>
        <v>88.6</v>
      </c>
      <c r="C406" s="285">
        <f t="shared" si="64"/>
        <v>0.97</v>
      </c>
      <c r="D406" s="293"/>
      <c r="E406" s="285">
        <f t="shared" si="65"/>
        <v>1</v>
      </c>
      <c r="F406" s="293"/>
      <c r="G406" s="285">
        <f t="shared" si="66"/>
        <v>1</v>
      </c>
      <c r="H406" s="293"/>
      <c r="I406" s="285">
        <f t="shared" si="67"/>
        <v>1</v>
      </c>
      <c r="J406" s="293"/>
      <c r="K406" s="285">
        <f t="shared" si="68"/>
        <v>1</v>
      </c>
      <c r="L406" s="293"/>
      <c r="M406" s="285">
        <f t="shared" si="69"/>
        <v>1</v>
      </c>
      <c r="N406" s="293"/>
      <c r="O406" s="285">
        <f t="shared" si="70"/>
        <v>1</v>
      </c>
      <c r="P406" s="291" t="s">
        <v>3020</v>
      </c>
      <c r="Q406" s="285">
        <f t="shared" si="71"/>
        <v>1.03</v>
      </c>
      <c r="R406" s="285">
        <f t="shared" si="72"/>
        <v>27863</v>
      </c>
      <c r="S406" s="284">
        <f t="shared" si="73"/>
        <v>247</v>
      </c>
    </row>
    <row r="407" spans="1:19">
      <c r="A407" s="1061" t="str">
        <f>清单!D530</f>
        <v>C-3-504</v>
      </c>
      <c r="B407" s="1061">
        <f>清单!F530</f>
        <v>88.6</v>
      </c>
      <c r="C407" s="285">
        <f t="shared" si="64"/>
        <v>0.97</v>
      </c>
      <c r="D407" s="293"/>
      <c r="E407" s="285">
        <f t="shared" si="65"/>
        <v>1</v>
      </c>
      <c r="F407" s="293"/>
      <c r="G407" s="285">
        <f t="shared" si="66"/>
        <v>1</v>
      </c>
      <c r="H407" s="293"/>
      <c r="I407" s="285">
        <f t="shared" si="67"/>
        <v>1</v>
      </c>
      <c r="J407" s="293"/>
      <c r="K407" s="285">
        <f t="shared" si="68"/>
        <v>1</v>
      </c>
      <c r="L407" s="293"/>
      <c r="M407" s="285">
        <f t="shared" si="69"/>
        <v>1</v>
      </c>
      <c r="N407" s="293"/>
      <c r="O407" s="285">
        <f t="shared" si="70"/>
        <v>1</v>
      </c>
      <c r="P407" s="291"/>
      <c r="Q407" s="285">
        <f t="shared" si="71"/>
        <v>0.03</v>
      </c>
      <c r="R407" s="285">
        <f t="shared" si="72"/>
        <v>812</v>
      </c>
      <c r="S407" s="284">
        <f t="shared" si="73"/>
        <v>7</v>
      </c>
    </row>
    <row r="408" spans="1:19">
      <c r="A408" s="1061" t="str">
        <f>清单!D531</f>
        <v>C-3-601</v>
      </c>
      <c r="B408" s="1061">
        <f>清单!F531</f>
        <v>88.6</v>
      </c>
      <c r="C408" s="285">
        <f t="shared" si="64"/>
        <v>0.97</v>
      </c>
      <c r="D408" s="293"/>
      <c r="E408" s="285">
        <f t="shared" si="65"/>
        <v>1</v>
      </c>
      <c r="F408" s="293"/>
      <c r="G408" s="285">
        <f t="shared" si="66"/>
        <v>1</v>
      </c>
      <c r="H408" s="293"/>
      <c r="I408" s="285">
        <f t="shared" si="67"/>
        <v>1</v>
      </c>
      <c r="J408" s="293"/>
      <c r="K408" s="285">
        <f t="shared" si="68"/>
        <v>1</v>
      </c>
      <c r="L408" s="293"/>
      <c r="M408" s="285">
        <f t="shared" si="69"/>
        <v>1</v>
      </c>
      <c r="N408" s="293"/>
      <c r="O408" s="285">
        <f t="shared" si="70"/>
        <v>1</v>
      </c>
      <c r="P408" s="291" t="s">
        <v>3022</v>
      </c>
      <c r="Q408" s="285">
        <f t="shared" si="71"/>
        <v>1</v>
      </c>
      <c r="R408" s="285">
        <f t="shared" si="72"/>
        <v>27051</v>
      </c>
      <c r="S408" s="284">
        <f t="shared" si="73"/>
        <v>240</v>
      </c>
    </row>
    <row r="409" spans="1:19">
      <c r="A409" s="1061" t="str">
        <f>清单!D514</f>
        <v>C-3-1504</v>
      </c>
      <c r="B409" s="1061">
        <f>清单!F514</f>
        <v>88.6</v>
      </c>
      <c r="C409" s="285">
        <f t="shared" si="64"/>
        <v>0.97</v>
      </c>
      <c r="D409" s="293"/>
      <c r="E409" s="285">
        <f t="shared" si="65"/>
        <v>1</v>
      </c>
      <c r="F409" s="293"/>
      <c r="G409" s="285">
        <f t="shared" si="66"/>
        <v>1</v>
      </c>
      <c r="H409" s="293"/>
      <c r="I409" s="285">
        <f t="shared" si="67"/>
        <v>1</v>
      </c>
      <c r="J409" s="293"/>
      <c r="K409" s="285">
        <f t="shared" si="68"/>
        <v>1</v>
      </c>
      <c r="L409" s="293"/>
      <c r="M409" s="285">
        <f t="shared" si="69"/>
        <v>1</v>
      </c>
      <c r="N409" s="293"/>
      <c r="O409" s="285">
        <f t="shared" si="70"/>
        <v>1</v>
      </c>
      <c r="P409" s="291" t="s">
        <v>3020</v>
      </c>
      <c r="Q409" s="285">
        <f t="shared" si="71"/>
        <v>1.03</v>
      </c>
      <c r="R409" s="285">
        <f t="shared" si="72"/>
        <v>27863</v>
      </c>
      <c r="S409" s="284">
        <f t="shared" si="73"/>
        <v>247</v>
      </c>
    </row>
    <row r="410" spans="1:19">
      <c r="A410" s="1061" t="str">
        <f>清单!D533</f>
        <v>C-3-603</v>
      </c>
      <c r="B410" s="1061">
        <f>清单!F533</f>
        <v>64.099999999999994</v>
      </c>
      <c r="C410" s="285">
        <f t="shared" ref="C410:C473" si="74">IF(B410="",1,(LOOKUP(B410,$3:$3,$4:$4)-LOOKUP($B$24,$3:$3,$4:$4)+100)/100)</f>
        <v>0.97</v>
      </c>
      <c r="D410" s="293"/>
      <c r="E410" s="285">
        <f t="shared" ref="E410:E473" si="75">(SUMIF($5:$5,D410,$6:$6)-SUMIF($5:$5,$D$24,$6:$6)+100)/100</f>
        <v>1</v>
      </c>
      <c r="F410" s="293"/>
      <c r="G410" s="285">
        <f t="shared" ref="G410:G473" si="76">(SUMIF($7:$7,F410,$8:$8)-SUMIF($7:$7,$F$24,$8:$8)+100)/100</f>
        <v>1</v>
      </c>
      <c r="H410" s="293"/>
      <c r="I410" s="285">
        <f t="shared" ref="I410:I473" si="77">(SUMIF($9:$9,H410,$10:$10)-SUMIF($9:$9,$H$24,$10:$10)+100)/100</f>
        <v>1</v>
      </c>
      <c r="J410" s="293"/>
      <c r="K410" s="285">
        <f t="shared" ref="K410:K473" si="78">(SUMIF($11:$11,J410,$12:$12)-SUMIF($11:$11,$J$24,$12:$12)+100)/100</f>
        <v>1</v>
      </c>
      <c r="L410" s="293"/>
      <c r="M410" s="285">
        <f t="shared" ref="M410:M473" si="79">(SUMIF($13:$13,L410,$14:$14)-SUMIF($13:$13,$L$24,$14:$14)+100)/100</f>
        <v>1</v>
      </c>
      <c r="N410" s="293"/>
      <c r="O410" s="285">
        <f t="shared" ref="O410:O473" si="80">(SUMIF($15:$15,N410,$16:$16)-SUMIF($15:$15,$N$24,$16:$16)+100)/100</f>
        <v>1</v>
      </c>
      <c r="P410" s="291" t="s">
        <v>3022</v>
      </c>
      <c r="Q410" s="285">
        <f t="shared" ref="Q410:Q473" si="81">(SUMIF($17:$17,P410,$18:$18)-SUMIF($17:$17,$P$24,$18:$18)+100)/100</f>
        <v>1</v>
      </c>
      <c r="R410" s="285">
        <f t="shared" ref="R410:R473" si="82">IF(B410="",0,ROUND($R$24*C410*E410*G410*I410*K410*M410*O410*Q410,0))</f>
        <v>27051</v>
      </c>
      <c r="S410" s="284">
        <f t="shared" si="73"/>
        <v>173</v>
      </c>
    </row>
    <row r="411" spans="1:19">
      <c r="A411" s="1061" t="str">
        <f>清单!D534</f>
        <v>C-3-604</v>
      </c>
      <c r="B411" s="1061">
        <f>清单!F534</f>
        <v>88.6</v>
      </c>
      <c r="C411" s="285">
        <f t="shared" si="74"/>
        <v>0.97</v>
      </c>
      <c r="D411" s="293"/>
      <c r="E411" s="285">
        <f t="shared" si="75"/>
        <v>1</v>
      </c>
      <c r="F411" s="293"/>
      <c r="G411" s="285">
        <f t="shared" si="76"/>
        <v>1</v>
      </c>
      <c r="H411" s="293"/>
      <c r="I411" s="285">
        <f t="shared" si="77"/>
        <v>1</v>
      </c>
      <c r="J411" s="293"/>
      <c r="K411" s="285">
        <f t="shared" si="78"/>
        <v>1</v>
      </c>
      <c r="L411" s="293"/>
      <c r="M411" s="285">
        <f t="shared" si="79"/>
        <v>1</v>
      </c>
      <c r="N411" s="293"/>
      <c r="O411" s="285">
        <f t="shared" si="80"/>
        <v>1</v>
      </c>
      <c r="P411" s="291" t="s">
        <v>3022</v>
      </c>
      <c r="Q411" s="285">
        <f t="shared" si="81"/>
        <v>1</v>
      </c>
      <c r="R411" s="285">
        <f t="shared" si="82"/>
        <v>27051</v>
      </c>
      <c r="S411" s="284">
        <f t="shared" si="73"/>
        <v>240</v>
      </c>
    </row>
    <row r="412" spans="1:19">
      <c r="A412" s="1061" t="str">
        <f>清单!D517</f>
        <v>C-3-203</v>
      </c>
      <c r="B412" s="1061">
        <f>清单!F517</f>
        <v>64.099999999999994</v>
      </c>
      <c r="C412" s="285">
        <f t="shared" si="74"/>
        <v>0.97</v>
      </c>
      <c r="D412" s="293"/>
      <c r="E412" s="285">
        <f t="shared" si="75"/>
        <v>1</v>
      </c>
      <c r="F412" s="293"/>
      <c r="G412" s="285">
        <f t="shared" si="76"/>
        <v>1</v>
      </c>
      <c r="H412" s="293"/>
      <c r="I412" s="285">
        <f t="shared" si="77"/>
        <v>1</v>
      </c>
      <c r="J412" s="293"/>
      <c r="K412" s="285">
        <f t="shared" si="78"/>
        <v>1</v>
      </c>
      <c r="L412" s="293"/>
      <c r="M412" s="285">
        <f t="shared" si="79"/>
        <v>1</v>
      </c>
      <c r="N412" s="293"/>
      <c r="O412" s="285">
        <f t="shared" si="80"/>
        <v>1</v>
      </c>
      <c r="P412" s="291" t="s">
        <v>3024</v>
      </c>
      <c r="Q412" s="285">
        <f t="shared" si="81"/>
        <v>0.97</v>
      </c>
      <c r="R412" s="285">
        <f t="shared" si="82"/>
        <v>26240</v>
      </c>
      <c r="S412" s="284">
        <f t="shared" si="73"/>
        <v>168</v>
      </c>
    </row>
    <row r="413" spans="1:19">
      <c r="A413" s="1061" t="str">
        <f>清单!D536</f>
        <v>C-3-702</v>
      </c>
      <c r="B413" s="1061">
        <f>清单!F536</f>
        <v>64.099999999999994</v>
      </c>
      <c r="C413" s="285">
        <f t="shared" si="74"/>
        <v>0.97</v>
      </c>
      <c r="D413" s="293"/>
      <c r="E413" s="285">
        <f t="shared" si="75"/>
        <v>1</v>
      </c>
      <c r="F413" s="293"/>
      <c r="G413" s="285">
        <f t="shared" si="76"/>
        <v>1</v>
      </c>
      <c r="H413" s="293"/>
      <c r="I413" s="285">
        <f t="shared" si="77"/>
        <v>1</v>
      </c>
      <c r="J413" s="293"/>
      <c r="K413" s="285">
        <f t="shared" si="78"/>
        <v>1</v>
      </c>
      <c r="L413" s="293"/>
      <c r="M413" s="285">
        <f t="shared" si="79"/>
        <v>1</v>
      </c>
      <c r="N413" s="293"/>
      <c r="O413" s="285">
        <f t="shared" si="80"/>
        <v>1</v>
      </c>
      <c r="P413" s="291" t="s">
        <v>3022</v>
      </c>
      <c r="Q413" s="285">
        <f t="shared" si="81"/>
        <v>1</v>
      </c>
      <c r="R413" s="285">
        <f t="shared" si="82"/>
        <v>27051</v>
      </c>
      <c r="S413" s="284">
        <f t="shared" si="73"/>
        <v>173</v>
      </c>
    </row>
    <row r="414" spans="1:19">
      <c r="A414" s="1061" t="str">
        <f>清单!D537</f>
        <v>C-3-703</v>
      </c>
      <c r="B414" s="1061">
        <f>清单!F537</f>
        <v>64.099999999999994</v>
      </c>
      <c r="C414" s="285">
        <f t="shared" si="74"/>
        <v>0.97</v>
      </c>
      <c r="D414" s="293"/>
      <c r="E414" s="285">
        <f t="shared" si="75"/>
        <v>1</v>
      </c>
      <c r="F414" s="293"/>
      <c r="G414" s="285">
        <f t="shared" si="76"/>
        <v>1</v>
      </c>
      <c r="H414" s="293"/>
      <c r="I414" s="285">
        <f t="shared" si="77"/>
        <v>1</v>
      </c>
      <c r="J414" s="293"/>
      <c r="K414" s="285">
        <f t="shared" si="78"/>
        <v>1</v>
      </c>
      <c r="L414" s="293"/>
      <c r="M414" s="285">
        <f t="shared" si="79"/>
        <v>1</v>
      </c>
      <c r="N414" s="293"/>
      <c r="O414" s="285">
        <f t="shared" si="80"/>
        <v>1</v>
      </c>
      <c r="P414" s="291" t="s">
        <v>3022</v>
      </c>
      <c r="Q414" s="285">
        <f t="shared" si="81"/>
        <v>1</v>
      </c>
      <c r="R414" s="285">
        <f t="shared" si="82"/>
        <v>27051</v>
      </c>
      <c r="S414" s="284">
        <f t="shared" si="73"/>
        <v>173</v>
      </c>
    </row>
    <row r="415" spans="1:19">
      <c r="A415" s="1061" t="str">
        <f>清单!D520</f>
        <v>C-3-302</v>
      </c>
      <c r="B415" s="1061">
        <f>清单!F520</f>
        <v>64.099999999999994</v>
      </c>
      <c r="C415" s="285">
        <f t="shared" si="74"/>
        <v>0.97</v>
      </c>
      <c r="D415" s="293"/>
      <c r="E415" s="285">
        <f t="shared" si="75"/>
        <v>1</v>
      </c>
      <c r="F415" s="293"/>
      <c r="G415" s="285">
        <f t="shared" si="76"/>
        <v>1</v>
      </c>
      <c r="H415" s="293"/>
      <c r="I415" s="285">
        <f t="shared" si="77"/>
        <v>1</v>
      </c>
      <c r="J415" s="293"/>
      <c r="K415" s="285">
        <f t="shared" si="78"/>
        <v>1</v>
      </c>
      <c r="L415" s="293"/>
      <c r="M415" s="285">
        <f t="shared" si="79"/>
        <v>1</v>
      </c>
      <c r="N415" s="293"/>
      <c r="O415" s="285">
        <f t="shared" si="80"/>
        <v>1</v>
      </c>
      <c r="P415" s="291" t="s">
        <v>3024</v>
      </c>
      <c r="Q415" s="285">
        <f t="shared" si="81"/>
        <v>0.97</v>
      </c>
      <c r="R415" s="285">
        <f t="shared" si="82"/>
        <v>26240</v>
      </c>
      <c r="S415" s="284">
        <f t="shared" si="73"/>
        <v>168</v>
      </c>
    </row>
    <row r="416" spans="1:19">
      <c r="A416" s="1061" t="str">
        <f>清单!D539</f>
        <v>C-3-801</v>
      </c>
      <c r="B416" s="1061">
        <f>清单!F539</f>
        <v>88.6</v>
      </c>
      <c r="C416" s="285">
        <f t="shared" si="74"/>
        <v>0.97</v>
      </c>
      <c r="D416" s="293"/>
      <c r="E416" s="285">
        <f t="shared" si="75"/>
        <v>1</v>
      </c>
      <c r="F416" s="293"/>
      <c r="G416" s="285">
        <f t="shared" si="76"/>
        <v>1</v>
      </c>
      <c r="H416" s="293"/>
      <c r="I416" s="285">
        <f t="shared" si="77"/>
        <v>1</v>
      </c>
      <c r="J416" s="293"/>
      <c r="K416" s="285">
        <f t="shared" si="78"/>
        <v>1</v>
      </c>
      <c r="L416" s="293"/>
      <c r="M416" s="285">
        <f t="shared" si="79"/>
        <v>1</v>
      </c>
      <c r="N416" s="293"/>
      <c r="O416" s="285">
        <f t="shared" si="80"/>
        <v>1</v>
      </c>
      <c r="P416" s="291" t="s">
        <v>3022</v>
      </c>
      <c r="Q416" s="285">
        <f t="shared" si="81"/>
        <v>1</v>
      </c>
      <c r="R416" s="285">
        <f t="shared" si="82"/>
        <v>27051</v>
      </c>
      <c r="S416" s="284">
        <f t="shared" si="73"/>
        <v>240</v>
      </c>
    </row>
    <row r="417" spans="1:19">
      <c r="A417" s="1061" t="str">
        <f>清单!D540</f>
        <v>C-3-802</v>
      </c>
      <c r="B417" s="1061">
        <f>清单!F540</f>
        <v>64.099999999999994</v>
      </c>
      <c r="C417" s="285">
        <f t="shared" si="74"/>
        <v>0.97</v>
      </c>
      <c r="D417" s="293"/>
      <c r="E417" s="285">
        <f t="shared" si="75"/>
        <v>1</v>
      </c>
      <c r="F417" s="293"/>
      <c r="G417" s="285">
        <f t="shared" si="76"/>
        <v>1</v>
      </c>
      <c r="H417" s="293"/>
      <c r="I417" s="285">
        <f t="shared" si="77"/>
        <v>1</v>
      </c>
      <c r="J417" s="293"/>
      <c r="K417" s="285">
        <f t="shared" si="78"/>
        <v>1</v>
      </c>
      <c r="L417" s="293"/>
      <c r="M417" s="285">
        <f t="shared" si="79"/>
        <v>1</v>
      </c>
      <c r="N417" s="293"/>
      <c r="O417" s="285">
        <f t="shared" si="80"/>
        <v>1</v>
      </c>
      <c r="P417" s="291" t="s">
        <v>3022</v>
      </c>
      <c r="Q417" s="285">
        <f t="shared" si="81"/>
        <v>1</v>
      </c>
      <c r="R417" s="285">
        <f t="shared" si="82"/>
        <v>27051</v>
      </c>
      <c r="S417" s="284">
        <f t="shared" si="73"/>
        <v>173</v>
      </c>
    </row>
    <row r="418" spans="1:19">
      <c r="A418" s="1061" t="str">
        <f>清单!D523</f>
        <v>C-3-401</v>
      </c>
      <c r="B418" s="1061">
        <f>清单!F523</f>
        <v>88.6</v>
      </c>
      <c r="C418" s="285">
        <f t="shared" si="74"/>
        <v>0.97</v>
      </c>
      <c r="D418" s="293"/>
      <c r="E418" s="285">
        <f t="shared" si="75"/>
        <v>1</v>
      </c>
      <c r="F418" s="293"/>
      <c r="G418" s="285">
        <f t="shared" si="76"/>
        <v>1</v>
      </c>
      <c r="H418" s="293"/>
      <c r="I418" s="285">
        <f t="shared" si="77"/>
        <v>1</v>
      </c>
      <c r="J418" s="293"/>
      <c r="K418" s="285">
        <f t="shared" si="78"/>
        <v>1</v>
      </c>
      <c r="L418" s="293"/>
      <c r="M418" s="285">
        <f t="shared" si="79"/>
        <v>1</v>
      </c>
      <c r="N418" s="293"/>
      <c r="O418" s="285">
        <f t="shared" si="80"/>
        <v>1</v>
      </c>
      <c r="P418" s="291" t="s">
        <v>3024</v>
      </c>
      <c r="Q418" s="285">
        <f t="shared" si="81"/>
        <v>0.97</v>
      </c>
      <c r="R418" s="285">
        <f t="shared" si="82"/>
        <v>26240</v>
      </c>
      <c r="S418" s="284">
        <f t="shared" si="73"/>
        <v>232</v>
      </c>
    </row>
    <row r="419" spans="1:19">
      <c r="A419" s="1061" t="str">
        <f>清单!D542</f>
        <v>C-3-804</v>
      </c>
      <c r="B419" s="1061">
        <f>清单!F542</f>
        <v>88.6</v>
      </c>
      <c r="C419" s="285">
        <f t="shared" si="74"/>
        <v>0.97</v>
      </c>
      <c r="D419" s="293"/>
      <c r="E419" s="285">
        <f t="shared" si="75"/>
        <v>1</v>
      </c>
      <c r="F419" s="293"/>
      <c r="G419" s="285">
        <f t="shared" si="76"/>
        <v>1</v>
      </c>
      <c r="H419" s="293"/>
      <c r="I419" s="285">
        <f t="shared" si="77"/>
        <v>1</v>
      </c>
      <c r="J419" s="293"/>
      <c r="K419" s="285">
        <f t="shared" si="78"/>
        <v>1</v>
      </c>
      <c r="L419" s="293"/>
      <c r="M419" s="285">
        <f t="shared" si="79"/>
        <v>1</v>
      </c>
      <c r="N419" s="293"/>
      <c r="O419" s="285">
        <f t="shared" si="80"/>
        <v>1</v>
      </c>
      <c r="P419" s="291" t="s">
        <v>3022</v>
      </c>
      <c r="Q419" s="285">
        <f t="shared" si="81"/>
        <v>1</v>
      </c>
      <c r="R419" s="285">
        <f t="shared" si="82"/>
        <v>27051</v>
      </c>
      <c r="S419" s="284">
        <f t="shared" si="73"/>
        <v>240</v>
      </c>
    </row>
    <row r="420" spans="1:19">
      <c r="A420" s="1061" t="str">
        <f>清单!D543</f>
        <v>C-3-901</v>
      </c>
      <c r="B420" s="1061">
        <f>清单!F543</f>
        <v>88.6</v>
      </c>
      <c r="C420" s="285">
        <f t="shared" si="74"/>
        <v>0.97</v>
      </c>
      <c r="D420" s="293"/>
      <c r="E420" s="285">
        <f t="shared" si="75"/>
        <v>1</v>
      </c>
      <c r="F420" s="293"/>
      <c r="G420" s="285">
        <f t="shared" si="76"/>
        <v>1</v>
      </c>
      <c r="H420" s="293"/>
      <c r="I420" s="285">
        <f t="shared" si="77"/>
        <v>1</v>
      </c>
      <c r="J420" s="293"/>
      <c r="K420" s="285">
        <f t="shared" si="78"/>
        <v>1</v>
      </c>
      <c r="L420" s="293"/>
      <c r="M420" s="285">
        <f t="shared" si="79"/>
        <v>1</v>
      </c>
      <c r="N420" s="293"/>
      <c r="O420" s="285">
        <f t="shared" si="80"/>
        <v>1</v>
      </c>
      <c r="P420" s="291" t="s">
        <v>3022</v>
      </c>
      <c r="Q420" s="285">
        <f t="shared" si="81"/>
        <v>1</v>
      </c>
      <c r="R420" s="285">
        <f t="shared" si="82"/>
        <v>27051</v>
      </c>
      <c r="S420" s="284">
        <f t="shared" si="73"/>
        <v>240</v>
      </c>
    </row>
    <row r="421" spans="1:19">
      <c r="A421" s="1061" t="str">
        <f>清单!D526</f>
        <v>C-3-404</v>
      </c>
      <c r="B421" s="1061">
        <f>清单!F526</f>
        <v>88.6</v>
      </c>
      <c r="C421" s="285">
        <f t="shared" si="74"/>
        <v>0.97</v>
      </c>
      <c r="D421" s="293"/>
      <c r="E421" s="285">
        <f t="shared" si="75"/>
        <v>1</v>
      </c>
      <c r="F421" s="293"/>
      <c r="G421" s="285">
        <f t="shared" si="76"/>
        <v>1</v>
      </c>
      <c r="H421" s="293"/>
      <c r="I421" s="285">
        <f t="shared" si="77"/>
        <v>1</v>
      </c>
      <c r="J421" s="293"/>
      <c r="K421" s="285">
        <f t="shared" si="78"/>
        <v>1</v>
      </c>
      <c r="L421" s="293"/>
      <c r="M421" s="285">
        <f t="shared" si="79"/>
        <v>1</v>
      </c>
      <c r="N421" s="293"/>
      <c r="O421" s="285">
        <f t="shared" si="80"/>
        <v>1</v>
      </c>
      <c r="P421" s="291" t="s">
        <v>3024</v>
      </c>
      <c r="Q421" s="285">
        <f t="shared" si="81"/>
        <v>0.97</v>
      </c>
      <c r="R421" s="285">
        <f t="shared" si="82"/>
        <v>26240</v>
      </c>
      <c r="S421" s="284">
        <f t="shared" si="73"/>
        <v>232</v>
      </c>
    </row>
    <row r="422" spans="1:19">
      <c r="A422" s="1061" t="str">
        <f>清单!D545</f>
        <v>C-3-903</v>
      </c>
      <c r="B422" s="1061">
        <f>清单!F545</f>
        <v>64.099999999999994</v>
      </c>
      <c r="C422" s="285">
        <f t="shared" si="74"/>
        <v>0.97</v>
      </c>
      <c r="D422" s="293"/>
      <c r="E422" s="285">
        <f t="shared" si="75"/>
        <v>1</v>
      </c>
      <c r="F422" s="293"/>
      <c r="G422" s="285">
        <f t="shared" si="76"/>
        <v>1</v>
      </c>
      <c r="H422" s="293"/>
      <c r="I422" s="285">
        <f t="shared" si="77"/>
        <v>1</v>
      </c>
      <c r="J422" s="293"/>
      <c r="K422" s="285">
        <f t="shared" si="78"/>
        <v>1</v>
      </c>
      <c r="L422" s="293"/>
      <c r="M422" s="285">
        <f t="shared" si="79"/>
        <v>1</v>
      </c>
      <c r="N422" s="293"/>
      <c r="O422" s="285">
        <f t="shared" si="80"/>
        <v>1</v>
      </c>
      <c r="P422" s="291" t="s">
        <v>3022</v>
      </c>
      <c r="Q422" s="285">
        <f t="shared" si="81"/>
        <v>1</v>
      </c>
      <c r="R422" s="285">
        <f t="shared" si="82"/>
        <v>27051</v>
      </c>
      <c r="S422" s="284">
        <f t="shared" si="73"/>
        <v>173</v>
      </c>
    </row>
    <row r="423" spans="1:19">
      <c r="A423" s="1061" t="str">
        <f>清单!D546</f>
        <v>C-3-904</v>
      </c>
      <c r="B423" s="1061">
        <f>清单!F546</f>
        <v>88.6</v>
      </c>
      <c r="C423" s="285">
        <f t="shared" si="74"/>
        <v>0.97</v>
      </c>
      <c r="D423" s="293"/>
      <c r="E423" s="285">
        <f t="shared" si="75"/>
        <v>1</v>
      </c>
      <c r="F423" s="293"/>
      <c r="G423" s="285">
        <f t="shared" si="76"/>
        <v>1</v>
      </c>
      <c r="H423" s="293"/>
      <c r="I423" s="285">
        <f t="shared" si="77"/>
        <v>1</v>
      </c>
      <c r="J423" s="293"/>
      <c r="K423" s="285">
        <f t="shared" si="78"/>
        <v>1</v>
      </c>
      <c r="L423" s="293"/>
      <c r="M423" s="285">
        <f t="shared" si="79"/>
        <v>1</v>
      </c>
      <c r="N423" s="293"/>
      <c r="O423" s="285">
        <f t="shared" si="80"/>
        <v>1</v>
      </c>
      <c r="P423" s="291" t="s">
        <v>3022</v>
      </c>
      <c r="Q423" s="285">
        <f t="shared" si="81"/>
        <v>1</v>
      </c>
      <c r="R423" s="285">
        <f t="shared" si="82"/>
        <v>27051</v>
      </c>
      <c r="S423" s="284">
        <f t="shared" ref="S423:S467" si="83">ROUND(R423*B423/10000,0)</f>
        <v>240</v>
      </c>
    </row>
    <row r="424" spans="1:19">
      <c r="A424" s="1061" t="str">
        <f>清单!D529</f>
        <v>C-3-503</v>
      </c>
      <c r="B424" s="1061">
        <f>清单!F529</f>
        <v>64.099999999999994</v>
      </c>
      <c r="C424" s="285">
        <f t="shared" si="74"/>
        <v>0.97</v>
      </c>
      <c r="D424" s="293"/>
      <c r="E424" s="285">
        <f t="shared" si="75"/>
        <v>1</v>
      </c>
      <c r="F424" s="293"/>
      <c r="G424" s="285">
        <f t="shared" si="76"/>
        <v>1</v>
      </c>
      <c r="H424" s="293"/>
      <c r="I424" s="285">
        <f t="shared" si="77"/>
        <v>1</v>
      </c>
      <c r="J424" s="293"/>
      <c r="K424" s="285">
        <f t="shared" si="78"/>
        <v>1</v>
      </c>
      <c r="L424" s="293"/>
      <c r="M424" s="285">
        <f t="shared" si="79"/>
        <v>1</v>
      </c>
      <c r="N424" s="293"/>
      <c r="O424" s="285">
        <f t="shared" si="80"/>
        <v>1</v>
      </c>
      <c r="P424" s="291" t="s">
        <v>3024</v>
      </c>
      <c r="Q424" s="285">
        <f t="shared" si="81"/>
        <v>0.97</v>
      </c>
      <c r="R424" s="285">
        <f t="shared" si="82"/>
        <v>26240</v>
      </c>
      <c r="S424" s="284">
        <f t="shared" si="83"/>
        <v>168</v>
      </c>
    </row>
    <row r="425" spans="1:19">
      <c r="A425" s="1061" t="str">
        <f>清单!D548</f>
        <v>C-4-1002</v>
      </c>
      <c r="B425" s="1061">
        <f>清单!F548</f>
        <v>64.099999999999994</v>
      </c>
      <c r="C425" s="285">
        <f t="shared" si="74"/>
        <v>0.97</v>
      </c>
      <c r="D425" s="293"/>
      <c r="E425" s="285">
        <f t="shared" si="75"/>
        <v>1</v>
      </c>
      <c r="F425" s="293"/>
      <c r="G425" s="285">
        <f t="shared" si="76"/>
        <v>1</v>
      </c>
      <c r="H425" s="293"/>
      <c r="I425" s="285">
        <f t="shared" si="77"/>
        <v>1</v>
      </c>
      <c r="J425" s="293"/>
      <c r="K425" s="285">
        <f t="shared" si="78"/>
        <v>1</v>
      </c>
      <c r="L425" s="293"/>
      <c r="M425" s="285">
        <f t="shared" si="79"/>
        <v>1</v>
      </c>
      <c r="N425" s="293"/>
      <c r="O425" s="285">
        <f t="shared" si="80"/>
        <v>1</v>
      </c>
      <c r="P425" s="291" t="s">
        <v>3022</v>
      </c>
      <c r="Q425" s="285">
        <f t="shared" si="81"/>
        <v>1</v>
      </c>
      <c r="R425" s="285">
        <f t="shared" si="82"/>
        <v>27051</v>
      </c>
      <c r="S425" s="284">
        <f t="shared" si="83"/>
        <v>173</v>
      </c>
    </row>
    <row r="426" spans="1:19">
      <c r="A426" s="1061" t="str">
        <f>清单!D549</f>
        <v>C-4-1003</v>
      </c>
      <c r="B426" s="1061">
        <f>清单!F549</f>
        <v>64.099999999999994</v>
      </c>
      <c r="C426" s="285">
        <f t="shared" si="74"/>
        <v>0.97</v>
      </c>
      <c r="D426" s="293"/>
      <c r="E426" s="285">
        <f t="shared" si="75"/>
        <v>1</v>
      </c>
      <c r="F426" s="293"/>
      <c r="G426" s="285">
        <f t="shared" si="76"/>
        <v>1</v>
      </c>
      <c r="H426" s="293"/>
      <c r="I426" s="285">
        <f t="shared" si="77"/>
        <v>1</v>
      </c>
      <c r="J426" s="293"/>
      <c r="K426" s="285">
        <f t="shared" si="78"/>
        <v>1</v>
      </c>
      <c r="L426" s="293"/>
      <c r="M426" s="285">
        <f t="shared" si="79"/>
        <v>1</v>
      </c>
      <c r="N426" s="293"/>
      <c r="O426" s="285">
        <f t="shared" si="80"/>
        <v>1</v>
      </c>
      <c r="P426" s="291" t="s">
        <v>3022</v>
      </c>
      <c r="Q426" s="285">
        <f t="shared" si="81"/>
        <v>1</v>
      </c>
      <c r="R426" s="285">
        <f t="shared" si="82"/>
        <v>27051</v>
      </c>
      <c r="S426" s="284">
        <f t="shared" si="83"/>
        <v>173</v>
      </c>
    </row>
    <row r="427" spans="1:19">
      <c r="A427" s="1061" t="str">
        <f>清单!D532</f>
        <v>C-3-602</v>
      </c>
      <c r="B427" s="1061">
        <f>清单!F532</f>
        <v>64.099999999999994</v>
      </c>
      <c r="C427" s="285">
        <f t="shared" si="74"/>
        <v>0.97</v>
      </c>
      <c r="D427" s="293"/>
      <c r="E427" s="285">
        <f t="shared" si="75"/>
        <v>1</v>
      </c>
      <c r="F427" s="293"/>
      <c r="G427" s="285">
        <f t="shared" si="76"/>
        <v>1</v>
      </c>
      <c r="H427" s="293"/>
      <c r="I427" s="285">
        <f t="shared" si="77"/>
        <v>1</v>
      </c>
      <c r="J427" s="293"/>
      <c r="K427" s="285">
        <f t="shared" si="78"/>
        <v>1</v>
      </c>
      <c r="L427" s="293"/>
      <c r="M427" s="285">
        <f t="shared" si="79"/>
        <v>1</v>
      </c>
      <c r="N427" s="293"/>
      <c r="O427" s="285">
        <f t="shared" si="80"/>
        <v>1</v>
      </c>
      <c r="P427" s="291" t="s">
        <v>3022</v>
      </c>
      <c r="Q427" s="285">
        <f t="shared" si="81"/>
        <v>1</v>
      </c>
      <c r="R427" s="285">
        <f t="shared" si="82"/>
        <v>27051</v>
      </c>
      <c r="S427" s="284">
        <f t="shared" si="83"/>
        <v>173</v>
      </c>
    </row>
    <row r="428" spans="1:19">
      <c r="A428" s="1061" t="str">
        <f>清单!D551</f>
        <v>C-4-101</v>
      </c>
      <c r="B428" s="1061">
        <f>清单!F551</f>
        <v>88.51</v>
      </c>
      <c r="C428" s="285">
        <f t="shared" si="74"/>
        <v>0.97</v>
      </c>
      <c r="D428" s="293"/>
      <c r="E428" s="285">
        <f t="shared" si="75"/>
        <v>1</v>
      </c>
      <c r="F428" s="293"/>
      <c r="G428" s="285">
        <f t="shared" si="76"/>
        <v>1</v>
      </c>
      <c r="H428" s="293"/>
      <c r="I428" s="285">
        <f t="shared" si="77"/>
        <v>1</v>
      </c>
      <c r="J428" s="293"/>
      <c r="K428" s="285">
        <f t="shared" si="78"/>
        <v>1</v>
      </c>
      <c r="L428" s="293"/>
      <c r="M428" s="285">
        <f t="shared" si="79"/>
        <v>1</v>
      </c>
      <c r="N428" s="293"/>
      <c r="O428" s="285">
        <f t="shared" si="80"/>
        <v>1</v>
      </c>
      <c r="P428" s="291" t="s">
        <v>3024</v>
      </c>
      <c r="Q428" s="285">
        <f t="shared" si="81"/>
        <v>0.97</v>
      </c>
      <c r="R428" s="285">
        <f t="shared" si="82"/>
        <v>26240</v>
      </c>
      <c r="S428" s="284">
        <f t="shared" si="83"/>
        <v>232</v>
      </c>
    </row>
    <row r="429" spans="1:19">
      <c r="A429" s="1061" t="str">
        <f>清单!D552</f>
        <v>C-4-102</v>
      </c>
      <c r="B429" s="1061">
        <f>清单!F552</f>
        <v>64.099999999999994</v>
      </c>
      <c r="C429" s="285">
        <f t="shared" si="74"/>
        <v>0.97</v>
      </c>
      <c r="D429" s="293"/>
      <c r="E429" s="285">
        <f t="shared" si="75"/>
        <v>1</v>
      </c>
      <c r="F429" s="293"/>
      <c r="G429" s="285">
        <f t="shared" si="76"/>
        <v>1</v>
      </c>
      <c r="H429" s="293"/>
      <c r="I429" s="285">
        <f t="shared" si="77"/>
        <v>1</v>
      </c>
      <c r="J429" s="293"/>
      <c r="K429" s="285">
        <f t="shared" si="78"/>
        <v>1</v>
      </c>
      <c r="L429" s="293"/>
      <c r="M429" s="285">
        <f t="shared" si="79"/>
        <v>1</v>
      </c>
      <c r="N429" s="293"/>
      <c r="O429" s="285">
        <f t="shared" si="80"/>
        <v>1</v>
      </c>
      <c r="P429" s="291" t="s">
        <v>3024</v>
      </c>
      <c r="Q429" s="285">
        <f t="shared" si="81"/>
        <v>0.97</v>
      </c>
      <c r="R429" s="285">
        <f t="shared" si="82"/>
        <v>26240</v>
      </c>
      <c r="S429" s="284">
        <f t="shared" si="83"/>
        <v>168</v>
      </c>
    </row>
    <row r="430" spans="1:19">
      <c r="A430" s="1061" t="str">
        <f>清单!D535</f>
        <v>C-3-701</v>
      </c>
      <c r="B430" s="1061">
        <f>清单!F535</f>
        <v>88.6</v>
      </c>
      <c r="C430" s="285">
        <f t="shared" si="74"/>
        <v>0.97</v>
      </c>
      <c r="D430" s="293"/>
      <c r="E430" s="285">
        <f t="shared" si="75"/>
        <v>1</v>
      </c>
      <c r="F430" s="293"/>
      <c r="G430" s="285">
        <f t="shared" si="76"/>
        <v>1</v>
      </c>
      <c r="H430" s="293"/>
      <c r="I430" s="285">
        <f t="shared" si="77"/>
        <v>1</v>
      </c>
      <c r="J430" s="293"/>
      <c r="K430" s="285">
        <f t="shared" si="78"/>
        <v>1</v>
      </c>
      <c r="L430" s="293"/>
      <c r="M430" s="285">
        <f t="shared" si="79"/>
        <v>1</v>
      </c>
      <c r="N430" s="293"/>
      <c r="O430" s="285">
        <f t="shared" si="80"/>
        <v>1</v>
      </c>
      <c r="P430" s="291" t="s">
        <v>3022</v>
      </c>
      <c r="Q430" s="285">
        <f t="shared" si="81"/>
        <v>1</v>
      </c>
      <c r="R430" s="285">
        <f t="shared" si="82"/>
        <v>27051</v>
      </c>
      <c r="S430" s="284">
        <f t="shared" si="83"/>
        <v>240</v>
      </c>
    </row>
    <row r="431" spans="1:19">
      <c r="A431" s="1061" t="str">
        <f>清单!D554</f>
        <v>C-4-104</v>
      </c>
      <c r="B431" s="1061">
        <f>清单!F554</f>
        <v>88.6</v>
      </c>
      <c r="C431" s="285">
        <f t="shared" si="74"/>
        <v>0.97</v>
      </c>
      <c r="D431" s="293"/>
      <c r="E431" s="285">
        <f t="shared" si="75"/>
        <v>1</v>
      </c>
      <c r="F431" s="293"/>
      <c r="G431" s="285">
        <f t="shared" si="76"/>
        <v>1</v>
      </c>
      <c r="H431" s="293"/>
      <c r="I431" s="285">
        <f t="shared" si="77"/>
        <v>1</v>
      </c>
      <c r="J431" s="293"/>
      <c r="K431" s="285">
        <f t="shared" si="78"/>
        <v>1</v>
      </c>
      <c r="L431" s="293"/>
      <c r="M431" s="285">
        <f t="shared" si="79"/>
        <v>1</v>
      </c>
      <c r="N431" s="293"/>
      <c r="O431" s="285">
        <f t="shared" si="80"/>
        <v>1</v>
      </c>
      <c r="P431" s="291" t="s">
        <v>3024</v>
      </c>
      <c r="Q431" s="285">
        <f t="shared" si="81"/>
        <v>0.97</v>
      </c>
      <c r="R431" s="285">
        <f t="shared" si="82"/>
        <v>26240</v>
      </c>
      <c r="S431" s="284">
        <f t="shared" si="83"/>
        <v>232</v>
      </c>
    </row>
    <row r="432" spans="1:19">
      <c r="A432" s="1061" t="str">
        <f>清单!D555</f>
        <v>C-4-1101</v>
      </c>
      <c r="B432" s="1061">
        <f>清单!F555</f>
        <v>88.6</v>
      </c>
      <c r="C432" s="285">
        <f t="shared" si="74"/>
        <v>0.97</v>
      </c>
      <c r="D432" s="293"/>
      <c r="E432" s="285">
        <f t="shared" si="75"/>
        <v>1</v>
      </c>
      <c r="F432" s="293"/>
      <c r="G432" s="285">
        <f t="shared" si="76"/>
        <v>1</v>
      </c>
      <c r="H432" s="293"/>
      <c r="I432" s="285">
        <f t="shared" si="77"/>
        <v>1</v>
      </c>
      <c r="J432" s="293"/>
      <c r="K432" s="285">
        <f t="shared" si="78"/>
        <v>1</v>
      </c>
      <c r="L432" s="293"/>
      <c r="M432" s="285">
        <f t="shared" si="79"/>
        <v>1</v>
      </c>
      <c r="N432" s="293"/>
      <c r="O432" s="285">
        <f t="shared" si="80"/>
        <v>1</v>
      </c>
      <c r="P432" s="291" t="s">
        <v>3020</v>
      </c>
      <c r="Q432" s="285">
        <f t="shared" si="81"/>
        <v>1.03</v>
      </c>
      <c r="R432" s="285">
        <f t="shared" si="82"/>
        <v>27863</v>
      </c>
      <c r="S432" s="284">
        <f t="shared" si="83"/>
        <v>247</v>
      </c>
    </row>
    <row r="433" spans="1:19">
      <c r="A433" s="1061" t="str">
        <f>清单!D538</f>
        <v>C-3-704</v>
      </c>
      <c r="B433" s="1061">
        <f>清单!F538</f>
        <v>88.6</v>
      </c>
      <c r="C433" s="285">
        <f t="shared" si="74"/>
        <v>0.97</v>
      </c>
      <c r="D433" s="293"/>
      <c r="E433" s="285">
        <f t="shared" si="75"/>
        <v>1</v>
      </c>
      <c r="F433" s="293"/>
      <c r="G433" s="285">
        <f t="shared" si="76"/>
        <v>1</v>
      </c>
      <c r="H433" s="293"/>
      <c r="I433" s="285">
        <f t="shared" si="77"/>
        <v>1</v>
      </c>
      <c r="J433" s="293"/>
      <c r="K433" s="285">
        <f t="shared" si="78"/>
        <v>1</v>
      </c>
      <c r="L433" s="293"/>
      <c r="M433" s="285">
        <f t="shared" si="79"/>
        <v>1</v>
      </c>
      <c r="N433" s="293"/>
      <c r="O433" s="285">
        <f t="shared" si="80"/>
        <v>1</v>
      </c>
      <c r="P433" s="291" t="s">
        <v>3022</v>
      </c>
      <c r="Q433" s="285">
        <f t="shared" si="81"/>
        <v>1</v>
      </c>
      <c r="R433" s="285">
        <f t="shared" si="82"/>
        <v>27051</v>
      </c>
      <c r="S433" s="284">
        <f t="shared" si="83"/>
        <v>240</v>
      </c>
    </row>
    <row r="434" spans="1:19">
      <c r="A434" s="1061" t="str">
        <f>清单!D557</f>
        <v>C-4-1103</v>
      </c>
      <c r="B434" s="1061">
        <f>清单!F557</f>
        <v>64.099999999999994</v>
      </c>
      <c r="C434" s="285">
        <f t="shared" si="74"/>
        <v>0.97</v>
      </c>
      <c r="D434" s="293"/>
      <c r="E434" s="285">
        <f t="shared" si="75"/>
        <v>1</v>
      </c>
      <c r="F434" s="293"/>
      <c r="G434" s="285">
        <f t="shared" si="76"/>
        <v>1</v>
      </c>
      <c r="H434" s="293"/>
      <c r="I434" s="285">
        <f t="shared" si="77"/>
        <v>1</v>
      </c>
      <c r="J434" s="293"/>
      <c r="K434" s="285">
        <f t="shared" si="78"/>
        <v>1</v>
      </c>
      <c r="L434" s="293"/>
      <c r="M434" s="285">
        <f t="shared" si="79"/>
        <v>1</v>
      </c>
      <c r="N434" s="293"/>
      <c r="O434" s="285">
        <f t="shared" si="80"/>
        <v>1</v>
      </c>
      <c r="P434" s="291" t="s">
        <v>3020</v>
      </c>
      <c r="Q434" s="285">
        <f t="shared" si="81"/>
        <v>1.03</v>
      </c>
      <c r="R434" s="285">
        <f t="shared" si="82"/>
        <v>27863</v>
      </c>
      <c r="S434" s="284">
        <f t="shared" si="83"/>
        <v>179</v>
      </c>
    </row>
    <row r="435" spans="1:19">
      <c r="A435" s="1061" t="str">
        <f>清单!D558</f>
        <v>C-4-1104</v>
      </c>
      <c r="B435" s="1061">
        <f>清单!F558</f>
        <v>88.6</v>
      </c>
      <c r="C435" s="285">
        <f t="shared" si="74"/>
        <v>0.97</v>
      </c>
      <c r="D435" s="293"/>
      <c r="E435" s="285">
        <f t="shared" si="75"/>
        <v>1</v>
      </c>
      <c r="F435" s="293"/>
      <c r="G435" s="285">
        <f t="shared" si="76"/>
        <v>1</v>
      </c>
      <c r="H435" s="293"/>
      <c r="I435" s="285">
        <f t="shared" si="77"/>
        <v>1</v>
      </c>
      <c r="J435" s="293"/>
      <c r="K435" s="285">
        <f t="shared" si="78"/>
        <v>1</v>
      </c>
      <c r="L435" s="293"/>
      <c r="M435" s="285">
        <f t="shared" si="79"/>
        <v>1</v>
      </c>
      <c r="N435" s="293"/>
      <c r="O435" s="285">
        <f t="shared" si="80"/>
        <v>1</v>
      </c>
      <c r="P435" s="291" t="s">
        <v>3020</v>
      </c>
      <c r="Q435" s="285">
        <f t="shared" si="81"/>
        <v>1.03</v>
      </c>
      <c r="R435" s="285">
        <f t="shared" si="82"/>
        <v>27863</v>
      </c>
      <c r="S435" s="284">
        <f t="shared" si="83"/>
        <v>247</v>
      </c>
    </row>
    <row r="436" spans="1:19">
      <c r="A436" s="1061" t="str">
        <f>清单!D541</f>
        <v>C-3-803</v>
      </c>
      <c r="B436" s="1061">
        <f>清单!F541</f>
        <v>64.099999999999994</v>
      </c>
      <c r="C436" s="285">
        <f t="shared" si="74"/>
        <v>0.97</v>
      </c>
      <c r="D436" s="293"/>
      <c r="E436" s="285">
        <f t="shared" si="75"/>
        <v>1</v>
      </c>
      <c r="F436" s="293"/>
      <c r="G436" s="285">
        <f t="shared" si="76"/>
        <v>1</v>
      </c>
      <c r="H436" s="293"/>
      <c r="I436" s="285">
        <f t="shared" si="77"/>
        <v>1</v>
      </c>
      <c r="J436" s="293"/>
      <c r="K436" s="285">
        <f t="shared" si="78"/>
        <v>1</v>
      </c>
      <c r="L436" s="293"/>
      <c r="M436" s="285">
        <f t="shared" si="79"/>
        <v>1</v>
      </c>
      <c r="N436" s="293"/>
      <c r="O436" s="285">
        <f t="shared" si="80"/>
        <v>1</v>
      </c>
      <c r="P436" s="291" t="s">
        <v>3022</v>
      </c>
      <c r="Q436" s="285">
        <f t="shared" si="81"/>
        <v>1</v>
      </c>
      <c r="R436" s="285">
        <f t="shared" si="82"/>
        <v>27051</v>
      </c>
      <c r="S436" s="284">
        <f t="shared" si="83"/>
        <v>173</v>
      </c>
    </row>
    <row r="437" spans="1:19">
      <c r="A437" s="1061" t="str">
        <f>清单!D560</f>
        <v>C-4-1202</v>
      </c>
      <c r="B437" s="1061">
        <f>清单!F560</f>
        <v>64.099999999999994</v>
      </c>
      <c r="C437" s="285">
        <f t="shared" si="74"/>
        <v>0.97</v>
      </c>
      <c r="D437" s="293"/>
      <c r="E437" s="285">
        <f t="shared" si="75"/>
        <v>1</v>
      </c>
      <c r="F437" s="293"/>
      <c r="G437" s="285">
        <f t="shared" si="76"/>
        <v>1</v>
      </c>
      <c r="H437" s="293"/>
      <c r="I437" s="285">
        <f t="shared" si="77"/>
        <v>1</v>
      </c>
      <c r="J437" s="293"/>
      <c r="K437" s="285">
        <f t="shared" si="78"/>
        <v>1</v>
      </c>
      <c r="L437" s="293"/>
      <c r="M437" s="285">
        <f t="shared" si="79"/>
        <v>1</v>
      </c>
      <c r="N437" s="293"/>
      <c r="O437" s="285">
        <f t="shared" si="80"/>
        <v>1</v>
      </c>
      <c r="P437" s="291" t="s">
        <v>3020</v>
      </c>
      <c r="Q437" s="285">
        <f t="shared" si="81"/>
        <v>1.03</v>
      </c>
      <c r="R437" s="285">
        <f t="shared" si="82"/>
        <v>27863</v>
      </c>
      <c r="S437" s="284">
        <f t="shared" si="83"/>
        <v>179</v>
      </c>
    </row>
    <row r="438" spans="1:19">
      <c r="A438" s="1061" t="str">
        <f>清单!D561</f>
        <v>C-4-1203</v>
      </c>
      <c r="B438" s="1061">
        <f>清单!F561</f>
        <v>64.099999999999994</v>
      </c>
      <c r="C438" s="285">
        <f t="shared" si="74"/>
        <v>0.97</v>
      </c>
      <c r="D438" s="293"/>
      <c r="E438" s="285">
        <f t="shared" si="75"/>
        <v>1</v>
      </c>
      <c r="F438" s="293"/>
      <c r="G438" s="285">
        <f t="shared" si="76"/>
        <v>1</v>
      </c>
      <c r="H438" s="293"/>
      <c r="I438" s="285">
        <f t="shared" si="77"/>
        <v>1</v>
      </c>
      <c r="J438" s="293"/>
      <c r="K438" s="285">
        <f t="shared" si="78"/>
        <v>1</v>
      </c>
      <c r="L438" s="293"/>
      <c r="M438" s="285">
        <f t="shared" si="79"/>
        <v>1</v>
      </c>
      <c r="N438" s="293"/>
      <c r="O438" s="285">
        <f t="shared" si="80"/>
        <v>1</v>
      </c>
      <c r="P438" s="291" t="s">
        <v>3020</v>
      </c>
      <c r="Q438" s="285">
        <f t="shared" si="81"/>
        <v>1.03</v>
      </c>
      <c r="R438" s="285">
        <f t="shared" si="82"/>
        <v>27863</v>
      </c>
      <c r="S438" s="284">
        <f t="shared" si="83"/>
        <v>179</v>
      </c>
    </row>
    <row r="439" spans="1:19">
      <c r="A439" s="1061" t="str">
        <f>清单!D544</f>
        <v>C-3-902</v>
      </c>
      <c r="B439" s="1061">
        <f>清单!F544</f>
        <v>64.099999999999994</v>
      </c>
      <c r="C439" s="285">
        <f t="shared" si="74"/>
        <v>0.97</v>
      </c>
      <c r="D439" s="293"/>
      <c r="E439" s="285">
        <f t="shared" si="75"/>
        <v>1</v>
      </c>
      <c r="F439" s="293"/>
      <c r="G439" s="285">
        <f t="shared" si="76"/>
        <v>1</v>
      </c>
      <c r="H439" s="293"/>
      <c r="I439" s="285">
        <f t="shared" si="77"/>
        <v>1</v>
      </c>
      <c r="J439" s="293"/>
      <c r="K439" s="285">
        <f t="shared" si="78"/>
        <v>1</v>
      </c>
      <c r="L439" s="293"/>
      <c r="M439" s="285">
        <f t="shared" si="79"/>
        <v>1</v>
      </c>
      <c r="N439" s="293"/>
      <c r="O439" s="285">
        <f t="shared" si="80"/>
        <v>1</v>
      </c>
      <c r="P439" s="291" t="s">
        <v>3022</v>
      </c>
      <c r="Q439" s="285">
        <f t="shared" si="81"/>
        <v>1</v>
      </c>
      <c r="R439" s="285">
        <f t="shared" si="82"/>
        <v>27051</v>
      </c>
      <c r="S439" s="284">
        <f t="shared" si="83"/>
        <v>173</v>
      </c>
    </row>
    <row r="440" spans="1:19">
      <c r="A440" s="1061" t="str">
        <f>清单!D563</f>
        <v>C-4-1301</v>
      </c>
      <c r="B440" s="1061">
        <f>清单!F563</f>
        <v>88.6</v>
      </c>
      <c r="C440" s="285">
        <f t="shared" si="74"/>
        <v>0.97</v>
      </c>
      <c r="D440" s="293"/>
      <c r="E440" s="285">
        <f t="shared" si="75"/>
        <v>1</v>
      </c>
      <c r="F440" s="293"/>
      <c r="G440" s="285">
        <f t="shared" si="76"/>
        <v>1</v>
      </c>
      <c r="H440" s="293"/>
      <c r="I440" s="285">
        <f t="shared" si="77"/>
        <v>1</v>
      </c>
      <c r="J440" s="293"/>
      <c r="K440" s="285">
        <f t="shared" si="78"/>
        <v>1</v>
      </c>
      <c r="L440" s="293"/>
      <c r="M440" s="285">
        <f t="shared" si="79"/>
        <v>1</v>
      </c>
      <c r="N440" s="293"/>
      <c r="O440" s="285">
        <f t="shared" si="80"/>
        <v>1</v>
      </c>
      <c r="P440" s="291" t="s">
        <v>3020</v>
      </c>
      <c r="Q440" s="285">
        <f t="shared" si="81"/>
        <v>1.03</v>
      </c>
      <c r="R440" s="285">
        <f t="shared" si="82"/>
        <v>27863</v>
      </c>
      <c r="S440" s="284">
        <f t="shared" si="83"/>
        <v>247</v>
      </c>
    </row>
    <row r="441" spans="1:19">
      <c r="A441" s="1061" t="str">
        <f>清单!D564</f>
        <v>C-4-1302</v>
      </c>
      <c r="B441" s="1061">
        <f>清单!F564</f>
        <v>64.099999999999994</v>
      </c>
      <c r="C441" s="285">
        <f t="shared" si="74"/>
        <v>0.97</v>
      </c>
      <c r="D441" s="293"/>
      <c r="E441" s="285">
        <f t="shared" si="75"/>
        <v>1</v>
      </c>
      <c r="F441" s="293"/>
      <c r="G441" s="285">
        <f t="shared" si="76"/>
        <v>1</v>
      </c>
      <c r="H441" s="293"/>
      <c r="I441" s="285">
        <f t="shared" si="77"/>
        <v>1</v>
      </c>
      <c r="J441" s="293"/>
      <c r="K441" s="285">
        <f t="shared" si="78"/>
        <v>1</v>
      </c>
      <c r="L441" s="293"/>
      <c r="M441" s="285">
        <f t="shared" si="79"/>
        <v>1</v>
      </c>
      <c r="N441" s="293"/>
      <c r="O441" s="285">
        <f t="shared" si="80"/>
        <v>1</v>
      </c>
      <c r="P441" s="291" t="s">
        <v>3020</v>
      </c>
      <c r="Q441" s="285">
        <f t="shared" si="81"/>
        <v>1.03</v>
      </c>
      <c r="R441" s="285">
        <f t="shared" si="82"/>
        <v>27863</v>
      </c>
      <c r="S441" s="284">
        <f t="shared" si="83"/>
        <v>179</v>
      </c>
    </row>
    <row r="442" spans="1:19">
      <c r="A442" s="1061" t="str">
        <f>清单!D547</f>
        <v>C-4-1001</v>
      </c>
      <c r="B442" s="1061">
        <f>清单!F547</f>
        <v>88.6</v>
      </c>
      <c r="C442" s="285">
        <f t="shared" si="74"/>
        <v>0.97</v>
      </c>
      <c r="D442" s="293"/>
      <c r="E442" s="285">
        <f t="shared" si="75"/>
        <v>1</v>
      </c>
      <c r="F442" s="293"/>
      <c r="G442" s="285">
        <f t="shared" si="76"/>
        <v>1</v>
      </c>
      <c r="H442" s="293"/>
      <c r="I442" s="285">
        <f t="shared" si="77"/>
        <v>1</v>
      </c>
      <c r="J442" s="293"/>
      <c r="K442" s="285">
        <f t="shared" si="78"/>
        <v>1</v>
      </c>
      <c r="L442" s="293"/>
      <c r="M442" s="285">
        <f t="shared" si="79"/>
        <v>1</v>
      </c>
      <c r="N442" s="293"/>
      <c r="O442" s="285">
        <f t="shared" si="80"/>
        <v>1</v>
      </c>
      <c r="P442" s="291" t="s">
        <v>3022</v>
      </c>
      <c r="Q442" s="285">
        <f t="shared" si="81"/>
        <v>1</v>
      </c>
      <c r="R442" s="285">
        <f t="shared" si="82"/>
        <v>27051</v>
      </c>
      <c r="S442" s="284">
        <f t="shared" si="83"/>
        <v>240</v>
      </c>
    </row>
    <row r="443" spans="1:19">
      <c r="A443" s="1061" t="str">
        <f>清单!D566</f>
        <v>C-4-1304</v>
      </c>
      <c r="B443" s="1061">
        <f>清单!F566</f>
        <v>88.6</v>
      </c>
      <c r="C443" s="285">
        <f t="shared" si="74"/>
        <v>0.97</v>
      </c>
      <c r="D443" s="293"/>
      <c r="E443" s="285">
        <f t="shared" si="75"/>
        <v>1</v>
      </c>
      <c r="F443" s="293"/>
      <c r="G443" s="285">
        <f t="shared" si="76"/>
        <v>1</v>
      </c>
      <c r="H443" s="293"/>
      <c r="I443" s="285">
        <f t="shared" si="77"/>
        <v>1</v>
      </c>
      <c r="J443" s="293"/>
      <c r="K443" s="285">
        <f t="shared" si="78"/>
        <v>1</v>
      </c>
      <c r="L443" s="293"/>
      <c r="M443" s="285">
        <f t="shared" si="79"/>
        <v>1</v>
      </c>
      <c r="N443" s="293"/>
      <c r="O443" s="285">
        <f t="shared" si="80"/>
        <v>1</v>
      </c>
      <c r="P443" s="291" t="s">
        <v>3020</v>
      </c>
      <c r="Q443" s="285">
        <f t="shared" si="81"/>
        <v>1.03</v>
      </c>
      <c r="R443" s="285">
        <f t="shared" si="82"/>
        <v>27863</v>
      </c>
      <c r="S443" s="284">
        <f t="shared" si="83"/>
        <v>247</v>
      </c>
    </row>
    <row r="444" spans="1:19">
      <c r="A444" s="1061" t="str">
        <f>清单!D567</f>
        <v>C-4-1401</v>
      </c>
      <c r="B444" s="1061">
        <f>清单!F567</f>
        <v>88.6</v>
      </c>
      <c r="C444" s="285">
        <f t="shared" si="74"/>
        <v>0.97</v>
      </c>
      <c r="D444" s="293"/>
      <c r="E444" s="285">
        <f t="shared" si="75"/>
        <v>1</v>
      </c>
      <c r="F444" s="293"/>
      <c r="G444" s="285">
        <f t="shared" si="76"/>
        <v>1</v>
      </c>
      <c r="H444" s="293"/>
      <c r="I444" s="285">
        <f t="shared" si="77"/>
        <v>1</v>
      </c>
      <c r="J444" s="293"/>
      <c r="K444" s="285">
        <f t="shared" si="78"/>
        <v>1</v>
      </c>
      <c r="L444" s="293"/>
      <c r="M444" s="285">
        <f t="shared" si="79"/>
        <v>1</v>
      </c>
      <c r="N444" s="293"/>
      <c r="O444" s="285">
        <f t="shared" si="80"/>
        <v>1</v>
      </c>
      <c r="P444" s="291" t="s">
        <v>3020</v>
      </c>
      <c r="Q444" s="285">
        <f t="shared" si="81"/>
        <v>1.03</v>
      </c>
      <c r="R444" s="285">
        <f t="shared" si="82"/>
        <v>27863</v>
      </c>
      <c r="S444" s="284">
        <f t="shared" si="83"/>
        <v>247</v>
      </c>
    </row>
    <row r="445" spans="1:19">
      <c r="A445" s="1061" t="str">
        <f>清单!D550</f>
        <v>C-4-1004</v>
      </c>
      <c r="B445" s="1061">
        <f>清单!F550</f>
        <v>88.6</v>
      </c>
      <c r="C445" s="285">
        <f t="shared" si="74"/>
        <v>0.97</v>
      </c>
      <c r="D445" s="293"/>
      <c r="E445" s="285">
        <f t="shared" si="75"/>
        <v>1</v>
      </c>
      <c r="F445" s="293"/>
      <c r="G445" s="285">
        <f t="shared" si="76"/>
        <v>1</v>
      </c>
      <c r="H445" s="293"/>
      <c r="I445" s="285">
        <f t="shared" si="77"/>
        <v>1</v>
      </c>
      <c r="J445" s="293"/>
      <c r="K445" s="285">
        <f t="shared" si="78"/>
        <v>1</v>
      </c>
      <c r="L445" s="293"/>
      <c r="M445" s="285">
        <f t="shared" si="79"/>
        <v>1</v>
      </c>
      <c r="N445" s="293"/>
      <c r="O445" s="285">
        <f t="shared" si="80"/>
        <v>1</v>
      </c>
      <c r="P445" s="291" t="s">
        <v>3022</v>
      </c>
      <c r="Q445" s="285">
        <f t="shared" si="81"/>
        <v>1</v>
      </c>
      <c r="R445" s="285">
        <f t="shared" si="82"/>
        <v>27051</v>
      </c>
      <c r="S445" s="284">
        <f t="shared" si="83"/>
        <v>240</v>
      </c>
    </row>
    <row r="446" spans="1:19">
      <c r="A446" s="1061" t="str">
        <f>清单!D569</f>
        <v>C-4-1403</v>
      </c>
      <c r="B446" s="1061">
        <f>清单!F569</f>
        <v>64.099999999999994</v>
      </c>
      <c r="C446" s="285">
        <f t="shared" si="74"/>
        <v>0.97</v>
      </c>
      <c r="D446" s="293"/>
      <c r="E446" s="285">
        <f t="shared" si="75"/>
        <v>1</v>
      </c>
      <c r="F446" s="293"/>
      <c r="G446" s="285">
        <f t="shared" si="76"/>
        <v>1</v>
      </c>
      <c r="H446" s="293"/>
      <c r="I446" s="285">
        <f t="shared" si="77"/>
        <v>1</v>
      </c>
      <c r="J446" s="293"/>
      <c r="K446" s="285">
        <f t="shared" si="78"/>
        <v>1</v>
      </c>
      <c r="L446" s="293"/>
      <c r="M446" s="285">
        <f t="shared" si="79"/>
        <v>1</v>
      </c>
      <c r="N446" s="293"/>
      <c r="O446" s="285">
        <f t="shared" si="80"/>
        <v>1</v>
      </c>
      <c r="P446" s="291" t="s">
        <v>3020</v>
      </c>
      <c r="Q446" s="285">
        <f t="shared" si="81"/>
        <v>1.03</v>
      </c>
      <c r="R446" s="285">
        <f t="shared" si="82"/>
        <v>27863</v>
      </c>
      <c r="S446" s="284">
        <f t="shared" si="83"/>
        <v>179</v>
      </c>
    </row>
    <row r="447" spans="1:19">
      <c r="A447" s="1061" t="str">
        <f>清单!D570</f>
        <v>C-4-1404</v>
      </c>
      <c r="B447" s="1061">
        <f>清单!F570</f>
        <v>88.6</v>
      </c>
      <c r="C447" s="285">
        <f t="shared" si="74"/>
        <v>0.97</v>
      </c>
      <c r="D447" s="293"/>
      <c r="E447" s="285">
        <f t="shared" si="75"/>
        <v>1</v>
      </c>
      <c r="F447" s="293"/>
      <c r="G447" s="285">
        <f t="shared" si="76"/>
        <v>1</v>
      </c>
      <c r="H447" s="293"/>
      <c r="I447" s="285">
        <f t="shared" si="77"/>
        <v>1</v>
      </c>
      <c r="J447" s="293"/>
      <c r="K447" s="285">
        <f t="shared" si="78"/>
        <v>1</v>
      </c>
      <c r="L447" s="293"/>
      <c r="M447" s="285">
        <f t="shared" si="79"/>
        <v>1</v>
      </c>
      <c r="N447" s="293"/>
      <c r="O447" s="285">
        <f t="shared" si="80"/>
        <v>1</v>
      </c>
      <c r="P447" s="291" t="s">
        <v>3020</v>
      </c>
      <c r="Q447" s="285">
        <f t="shared" si="81"/>
        <v>1.03</v>
      </c>
      <c r="R447" s="285">
        <f t="shared" si="82"/>
        <v>27863</v>
      </c>
      <c r="S447" s="284">
        <f t="shared" si="83"/>
        <v>247</v>
      </c>
    </row>
    <row r="448" spans="1:19">
      <c r="A448" s="1061" t="str">
        <f>清单!D553</f>
        <v>C-4-103</v>
      </c>
      <c r="B448" s="1061">
        <f>清单!F553</f>
        <v>64.099999999999994</v>
      </c>
      <c r="C448" s="285">
        <f t="shared" si="74"/>
        <v>0.97</v>
      </c>
      <c r="D448" s="293"/>
      <c r="E448" s="285">
        <f t="shared" si="75"/>
        <v>1</v>
      </c>
      <c r="F448" s="293"/>
      <c r="G448" s="285">
        <f t="shared" si="76"/>
        <v>1</v>
      </c>
      <c r="H448" s="293"/>
      <c r="I448" s="285">
        <f t="shared" si="77"/>
        <v>1</v>
      </c>
      <c r="J448" s="293"/>
      <c r="K448" s="285">
        <f t="shared" si="78"/>
        <v>1</v>
      </c>
      <c r="L448" s="293"/>
      <c r="M448" s="285">
        <f t="shared" si="79"/>
        <v>1</v>
      </c>
      <c r="N448" s="293"/>
      <c r="O448" s="285">
        <f t="shared" si="80"/>
        <v>1</v>
      </c>
      <c r="P448" s="291" t="s">
        <v>3024</v>
      </c>
      <c r="Q448" s="285">
        <f t="shared" si="81"/>
        <v>0.97</v>
      </c>
      <c r="R448" s="285">
        <f t="shared" si="82"/>
        <v>26240</v>
      </c>
      <c r="S448" s="284">
        <f t="shared" si="83"/>
        <v>168</v>
      </c>
    </row>
    <row r="449" spans="1:19">
      <c r="A449" s="1061" t="str">
        <f>清单!D572</f>
        <v>C-4-1502</v>
      </c>
      <c r="B449" s="1061">
        <f>清单!F572</f>
        <v>64.099999999999994</v>
      </c>
      <c r="C449" s="285">
        <f t="shared" si="74"/>
        <v>0.97</v>
      </c>
      <c r="D449" s="293"/>
      <c r="E449" s="285">
        <f t="shared" si="75"/>
        <v>1</v>
      </c>
      <c r="F449" s="293"/>
      <c r="G449" s="285">
        <f t="shared" si="76"/>
        <v>1</v>
      </c>
      <c r="H449" s="293"/>
      <c r="I449" s="285">
        <f t="shared" si="77"/>
        <v>1</v>
      </c>
      <c r="J449" s="293"/>
      <c r="K449" s="285">
        <f t="shared" si="78"/>
        <v>1</v>
      </c>
      <c r="L449" s="293"/>
      <c r="M449" s="285">
        <f t="shared" si="79"/>
        <v>1</v>
      </c>
      <c r="N449" s="293"/>
      <c r="O449" s="285">
        <f t="shared" si="80"/>
        <v>1</v>
      </c>
      <c r="P449" s="291" t="s">
        <v>3020</v>
      </c>
      <c r="Q449" s="285">
        <f t="shared" si="81"/>
        <v>1.03</v>
      </c>
      <c r="R449" s="285">
        <f t="shared" si="82"/>
        <v>27863</v>
      </c>
      <c r="S449" s="284">
        <f t="shared" si="83"/>
        <v>179</v>
      </c>
    </row>
    <row r="450" spans="1:19">
      <c r="A450" s="1061" t="str">
        <f>清单!D573</f>
        <v>C-4-1503</v>
      </c>
      <c r="B450" s="1061">
        <f>清单!F573</f>
        <v>64.099999999999994</v>
      </c>
      <c r="C450" s="285">
        <f t="shared" si="74"/>
        <v>0.97</v>
      </c>
      <c r="D450" s="293"/>
      <c r="E450" s="285">
        <f t="shared" si="75"/>
        <v>1</v>
      </c>
      <c r="F450" s="293"/>
      <c r="G450" s="285">
        <f t="shared" si="76"/>
        <v>1</v>
      </c>
      <c r="H450" s="293"/>
      <c r="I450" s="285">
        <f t="shared" si="77"/>
        <v>1</v>
      </c>
      <c r="J450" s="293"/>
      <c r="K450" s="285">
        <f t="shared" si="78"/>
        <v>1</v>
      </c>
      <c r="L450" s="293"/>
      <c r="M450" s="285">
        <f t="shared" si="79"/>
        <v>1</v>
      </c>
      <c r="N450" s="293"/>
      <c r="O450" s="285">
        <f t="shared" si="80"/>
        <v>1</v>
      </c>
      <c r="P450" s="291" t="s">
        <v>3020</v>
      </c>
      <c r="Q450" s="285">
        <f t="shared" si="81"/>
        <v>1.03</v>
      </c>
      <c r="R450" s="285">
        <f t="shared" si="82"/>
        <v>27863</v>
      </c>
      <c r="S450" s="284">
        <f t="shared" si="83"/>
        <v>179</v>
      </c>
    </row>
    <row r="451" spans="1:19">
      <c r="A451" s="1061" t="str">
        <f>清单!D556</f>
        <v>C-4-1102</v>
      </c>
      <c r="B451" s="1061">
        <f>清单!F556</f>
        <v>64.099999999999994</v>
      </c>
      <c r="C451" s="285">
        <f t="shared" si="74"/>
        <v>0.97</v>
      </c>
      <c r="D451" s="293"/>
      <c r="E451" s="285">
        <f t="shared" si="75"/>
        <v>1</v>
      </c>
      <c r="F451" s="293"/>
      <c r="G451" s="285">
        <f t="shared" si="76"/>
        <v>1</v>
      </c>
      <c r="H451" s="293"/>
      <c r="I451" s="285">
        <f t="shared" si="77"/>
        <v>1</v>
      </c>
      <c r="J451" s="293"/>
      <c r="K451" s="285">
        <f t="shared" si="78"/>
        <v>1</v>
      </c>
      <c r="L451" s="293"/>
      <c r="M451" s="285">
        <f t="shared" si="79"/>
        <v>1</v>
      </c>
      <c r="N451" s="293"/>
      <c r="O451" s="285">
        <f t="shared" si="80"/>
        <v>1</v>
      </c>
      <c r="P451" s="291" t="s">
        <v>3020</v>
      </c>
      <c r="Q451" s="285">
        <f t="shared" si="81"/>
        <v>1.03</v>
      </c>
      <c r="R451" s="285">
        <f t="shared" si="82"/>
        <v>27863</v>
      </c>
      <c r="S451" s="284">
        <f t="shared" si="83"/>
        <v>179</v>
      </c>
    </row>
    <row r="452" spans="1:19">
      <c r="A452" s="1061" t="str">
        <f>清单!D575</f>
        <v>C-4-201</v>
      </c>
      <c r="B452" s="1061">
        <f>清单!F575</f>
        <v>88.6</v>
      </c>
      <c r="C452" s="285">
        <f t="shared" si="74"/>
        <v>0.97</v>
      </c>
      <c r="D452" s="293"/>
      <c r="E452" s="285">
        <f t="shared" si="75"/>
        <v>1</v>
      </c>
      <c r="F452" s="293"/>
      <c r="G452" s="285">
        <f t="shared" si="76"/>
        <v>1</v>
      </c>
      <c r="H452" s="293"/>
      <c r="I452" s="285">
        <f t="shared" si="77"/>
        <v>1</v>
      </c>
      <c r="J452" s="293"/>
      <c r="K452" s="285">
        <f t="shared" si="78"/>
        <v>1</v>
      </c>
      <c r="L452" s="293"/>
      <c r="M452" s="285">
        <f t="shared" si="79"/>
        <v>1</v>
      </c>
      <c r="N452" s="293"/>
      <c r="O452" s="285">
        <f t="shared" si="80"/>
        <v>1</v>
      </c>
      <c r="P452" s="291" t="s">
        <v>3024</v>
      </c>
      <c r="Q452" s="285">
        <f t="shared" si="81"/>
        <v>0.97</v>
      </c>
      <c r="R452" s="285">
        <f t="shared" si="82"/>
        <v>26240</v>
      </c>
      <c r="S452" s="284">
        <f t="shared" si="83"/>
        <v>232</v>
      </c>
    </row>
    <row r="453" spans="1:19">
      <c r="A453" s="1061" t="str">
        <f>清单!D576</f>
        <v>C-4-202</v>
      </c>
      <c r="B453" s="1061">
        <f>清单!F576</f>
        <v>64.099999999999994</v>
      </c>
      <c r="C453" s="285">
        <f t="shared" si="74"/>
        <v>0.97</v>
      </c>
      <c r="D453" s="293"/>
      <c r="E453" s="285">
        <f t="shared" si="75"/>
        <v>1</v>
      </c>
      <c r="F453" s="293"/>
      <c r="G453" s="285">
        <f t="shared" si="76"/>
        <v>1</v>
      </c>
      <c r="H453" s="293"/>
      <c r="I453" s="285">
        <f t="shared" si="77"/>
        <v>1</v>
      </c>
      <c r="J453" s="293"/>
      <c r="K453" s="285">
        <f t="shared" si="78"/>
        <v>1</v>
      </c>
      <c r="L453" s="293"/>
      <c r="M453" s="285">
        <f t="shared" si="79"/>
        <v>1</v>
      </c>
      <c r="N453" s="293"/>
      <c r="O453" s="285">
        <f t="shared" si="80"/>
        <v>1</v>
      </c>
      <c r="P453" s="291" t="s">
        <v>3024</v>
      </c>
      <c r="Q453" s="285">
        <f t="shared" si="81"/>
        <v>0.97</v>
      </c>
      <c r="R453" s="285">
        <f t="shared" si="82"/>
        <v>26240</v>
      </c>
      <c r="S453" s="284">
        <f t="shared" si="83"/>
        <v>168</v>
      </c>
    </row>
    <row r="454" spans="1:19">
      <c r="A454" s="1061" t="str">
        <f>清单!D559</f>
        <v>C-4-1201</v>
      </c>
      <c r="B454" s="1061">
        <f>清单!F559</f>
        <v>88.6</v>
      </c>
      <c r="C454" s="285">
        <f t="shared" si="74"/>
        <v>0.97</v>
      </c>
      <c r="D454" s="293"/>
      <c r="E454" s="285">
        <f t="shared" si="75"/>
        <v>1</v>
      </c>
      <c r="F454" s="293"/>
      <c r="G454" s="285">
        <f t="shared" si="76"/>
        <v>1</v>
      </c>
      <c r="H454" s="293"/>
      <c r="I454" s="285">
        <f t="shared" si="77"/>
        <v>1</v>
      </c>
      <c r="J454" s="293"/>
      <c r="K454" s="285">
        <f t="shared" si="78"/>
        <v>1</v>
      </c>
      <c r="L454" s="293"/>
      <c r="M454" s="285">
        <f t="shared" si="79"/>
        <v>1</v>
      </c>
      <c r="N454" s="293"/>
      <c r="O454" s="285">
        <f t="shared" si="80"/>
        <v>1</v>
      </c>
      <c r="P454" s="291" t="s">
        <v>3020</v>
      </c>
      <c r="Q454" s="285">
        <f t="shared" si="81"/>
        <v>1.03</v>
      </c>
      <c r="R454" s="285">
        <f t="shared" si="82"/>
        <v>27863</v>
      </c>
      <c r="S454" s="284">
        <f t="shared" si="83"/>
        <v>247</v>
      </c>
    </row>
    <row r="455" spans="1:19">
      <c r="A455" s="1061" t="str">
        <f>清单!D578</f>
        <v>C-4-204</v>
      </c>
      <c r="B455" s="1061">
        <f>清单!F578</f>
        <v>88.6</v>
      </c>
      <c r="C455" s="285">
        <f t="shared" si="74"/>
        <v>0.97</v>
      </c>
      <c r="D455" s="293"/>
      <c r="E455" s="285">
        <f t="shared" si="75"/>
        <v>1</v>
      </c>
      <c r="F455" s="293"/>
      <c r="G455" s="285">
        <f t="shared" si="76"/>
        <v>1</v>
      </c>
      <c r="H455" s="293"/>
      <c r="I455" s="285">
        <f t="shared" si="77"/>
        <v>1</v>
      </c>
      <c r="J455" s="293"/>
      <c r="K455" s="285">
        <f t="shared" si="78"/>
        <v>1</v>
      </c>
      <c r="L455" s="293"/>
      <c r="M455" s="285">
        <f t="shared" si="79"/>
        <v>1</v>
      </c>
      <c r="N455" s="293"/>
      <c r="O455" s="285">
        <f t="shared" si="80"/>
        <v>1</v>
      </c>
      <c r="P455" s="291" t="s">
        <v>3024</v>
      </c>
      <c r="Q455" s="285">
        <f t="shared" si="81"/>
        <v>0.97</v>
      </c>
      <c r="R455" s="285">
        <f t="shared" si="82"/>
        <v>26240</v>
      </c>
      <c r="S455" s="284">
        <f t="shared" si="83"/>
        <v>232</v>
      </c>
    </row>
    <row r="456" spans="1:19">
      <c r="A456" s="1061" t="str">
        <f>清单!D579</f>
        <v>C-4-301</v>
      </c>
      <c r="B456" s="1061">
        <f>清单!F579</f>
        <v>88.6</v>
      </c>
      <c r="C456" s="285">
        <f t="shared" si="74"/>
        <v>0.97</v>
      </c>
      <c r="D456" s="293"/>
      <c r="E456" s="285">
        <f t="shared" si="75"/>
        <v>1</v>
      </c>
      <c r="F456" s="293"/>
      <c r="G456" s="285">
        <f t="shared" si="76"/>
        <v>1</v>
      </c>
      <c r="H456" s="293"/>
      <c r="I456" s="285">
        <f t="shared" si="77"/>
        <v>1</v>
      </c>
      <c r="J456" s="293"/>
      <c r="K456" s="285">
        <f t="shared" si="78"/>
        <v>1</v>
      </c>
      <c r="L456" s="293"/>
      <c r="M456" s="285">
        <f t="shared" si="79"/>
        <v>1</v>
      </c>
      <c r="N456" s="293"/>
      <c r="O456" s="285">
        <f t="shared" si="80"/>
        <v>1</v>
      </c>
      <c r="P456" s="291" t="s">
        <v>3024</v>
      </c>
      <c r="Q456" s="285">
        <f t="shared" si="81"/>
        <v>0.97</v>
      </c>
      <c r="R456" s="285">
        <f t="shared" si="82"/>
        <v>26240</v>
      </c>
      <c r="S456" s="284">
        <f t="shared" si="83"/>
        <v>232</v>
      </c>
    </row>
    <row r="457" spans="1:19">
      <c r="A457" s="1061" t="str">
        <f>清单!D562</f>
        <v>C-4-1204</v>
      </c>
      <c r="B457" s="1061">
        <f>清单!F562</f>
        <v>88.6</v>
      </c>
      <c r="C457" s="285">
        <f t="shared" si="74"/>
        <v>0.97</v>
      </c>
      <c r="D457" s="293"/>
      <c r="E457" s="285">
        <f t="shared" si="75"/>
        <v>1</v>
      </c>
      <c r="F457" s="293"/>
      <c r="G457" s="285">
        <f t="shared" si="76"/>
        <v>1</v>
      </c>
      <c r="H457" s="293"/>
      <c r="I457" s="285">
        <f t="shared" si="77"/>
        <v>1</v>
      </c>
      <c r="J457" s="293"/>
      <c r="K457" s="285">
        <f t="shared" si="78"/>
        <v>1</v>
      </c>
      <c r="L457" s="293"/>
      <c r="M457" s="285">
        <f t="shared" si="79"/>
        <v>1</v>
      </c>
      <c r="N457" s="293"/>
      <c r="O457" s="285">
        <f t="shared" si="80"/>
        <v>1</v>
      </c>
      <c r="P457" s="291" t="s">
        <v>3020</v>
      </c>
      <c r="Q457" s="285">
        <f t="shared" si="81"/>
        <v>1.03</v>
      </c>
      <c r="R457" s="285">
        <f t="shared" si="82"/>
        <v>27863</v>
      </c>
      <c r="S457" s="284">
        <f t="shared" si="83"/>
        <v>247</v>
      </c>
    </row>
    <row r="458" spans="1:19">
      <c r="A458" s="1061" t="str">
        <f>清单!D581</f>
        <v>C-4-303</v>
      </c>
      <c r="B458" s="1061">
        <f>清单!F581</f>
        <v>64.099999999999994</v>
      </c>
      <c r="C458" s="285">
        <f t="shared" si="74"/>
        <v>0.97</v>
      </c>
      <c r="D458" s="293"/>
      <c r="E458" s="285">
        <f t="shared" si="75"/>
        <v>1</v>
      </c>
      <c r="F458" s="293"/>
      <c r="G458" s="285">
        <f t="shared" si="76"/>
        <v>1</v>
      </c>
      <c r="H458" s="293"/>
      <c r="I458" s="285">
        <f t="shared" si="77"/>
        <v>1</v>
      </c>
      <c r="J458" s="293"/>
      <c r="K458" s="285">
        <f t="shared" si="78"/>
        <v>1</v>
      </c>
      <c r="L458" s="293"/>
      <c r="M458" s="285">
        <f t="shared" si="79"/>
        <v>1</v>
      </c>
      <c r="N458" s="293"/>
      <c r="O458" s="285">
        <f t="shared" si="80"/>
        <v>1</v>
      </c>
      <c r="P458" s="291" t="s">
        <v>3024</v>
      </c>
      <c r="Q458" s="285">
        <f t="shared" si="81"/>
        <v>0.97</v>
      </c>
      <c r="R458" s="285">
        <f t="shared" si="82"/>
        <v>26240</v>
      </c>
      <c r="S458" s="284">
        <f t="shared" si="83"/>
        <v>168</v>
      </c>
    </row>
    <row r="459" spans="1:19">
      <c r="A459" s="1061" t="str">
        <f>清单!D582</f>
        <v>C-4-304</v>
      </c>
      <c r="B459" s="1061">
        <f>清单!F582</f>
        <v>88.6</v>
      </c>
      <c r="C459" s="285">
        <f t="shared" si="74"/>
        <v>0.97</v>
      </c>
      <c r="D459" s="293"/>
      <c r="E459" s="285">
        <f t="shared" si="75"/>
        <v>1</v>
      </c>
      <c r="F459" s="293"/>
      <c r="G459" s="285">
        <f t="shared" si="76"/>
        <v>1</v>
      </c>
      <c r="H459" s="293"/>
      <c r="I459" s="285">
        <f t="shared" si="77"/>
        <v>1</v>
      </c>
      <c r="J459" s="293"/>
      <c r="K459" s="285">
        <f t="shared" si="78"/>
        <v>1</v>
      </c>
      <c r="L459" s="293"/>
      <c r="M459" s="285">
        <f t="shared" si="79"/>
        <v>1</v>
      </c>
      <c r="N459" s="293"/>
      <c r="O459" s="285">
        <f t="shared" si="80"/>
        <v>1</v>
      </c>
      <c r="P459" s="291" t="s">
        <v>3024</v>
      </c>
      <c r="Q459" s="285">
        <f t="shared" si="81"/>
        <v>0.97</v>
      </c>
      <c r="R459" s="285">
        <f t="shared" si="82"/>
        <v>26240</v>
      </c>
      <c r="S459" s="284">
        <f t="shared" si="83"/>
        <v>232</v>
      </c>
    </row>
    <row r="460" spans="1:19">
      <c r="A460" s="1061" t="str">
        <f>清单!D565</f>
        <v>C-4-1303</v>
      </c>
      <c r="B460" s="1061">
        <f>清单!F565</f>
        <v>64.099999999999994</v>
      </c>
      <c r="C460" s="285">
        <f t="shared" si="74"/>
        <v>0.97</v>
      </c>
      <c r="D460" s="293"/>
      <c r="E460" s="285">
        <f t="shared" si="75"/>
        <v>1</v>
      </c>
      <c r="F460" s="293"/>
      <c r="G460" s="285">
        <f t="shared" si="76"/>
        <v>1</v>
      </c>
      <c r="H460" s="293"/>
      <c r="I460" s="285">
        <f t="shared" si="77"/>
        <v>1</v>
      </c>
      <c r="J460" s="293"/>
      <c r="K460" s="285">
        <f t="shared" si="78"/>
        <v>1</v>
      </c>
      <c r="L460" s="293"/>
      <c r="M460" s="285">
        <f t="shared" si="79"/>
        <v>1</v>
      </c>
      <c r="N460" s="293"/>
      <c r="O460" s="285">
        <f t="shared" si="80"/>
        <v>1</v>
      </c>
      <c r="P460" s="291" t="s">
        <v>3020</v>
      </c>
      <c r="Q460" s="285">
        <f t="shared" si="81"/>
        <v>1.03</v>
      </c>
      <c r="R460" s="285">
        <f t="shared" si="82"/>
        <v>27863</v>
      </c>
      <c r="S460" s="284">
        <f t="shared" si="83"/>
        <v>179</v>
      </c>
    </row>
    <row r="461" spans="1:19">
      <c r="A461" s="1061" t="str">
        <f>清单!D584</f>
        <v>C-4-402</v>
      </c>
      <c r="B461" s="1061">
        <f>清单!F584</f>
        <v>64.099999999999994</v>
      </c>
      <c r="C461" s="285">
        <f t="shared" si="74"/>
        <v>0.97</v>
      </c>
      <c r="D461" s="293"/>
      <c r="E461" s="285">
        <f t="shared" si="75"/>
        <v>1</v>
      </c>
      <c r="F461" s="293"/>
      <c r="G461" s="285">
        <f t="shared" si="76"/>
        <v>1</v>
      </c>
      <c r="H461" s="293"/>
      <c r="I461" s="285">
        <f t="shared" si="77"/>
        <v>1</v>
      </c>
      <c r="J461" s="293"/>
      <c r="K461" s="285">
        <f t="shared" si="78"/>
        <v>1</v>
      </c>
      <c r="L461" s="293"/>
      <c r="M461" s="285">
        <f t="shared" si="79"/>
        <v>1</v>
      </c>
      <c r="N461" s="293"/>
      <c r="O461" s="285">
        <f t="shared" si="80"/>
        <v>1</v>
      </c>
      <c r="P461" s="291" t="s">
        <v>3024</v>
      </c>
      <c r="Q461" s="285">
        <f t="shared" si="81"/>
        <v>0.97</v>
      </c>
      <c r="R461" s="285">
        <f t="shared" si="82"/>
        <v>26240</v>
      </c>
      <c r="S461" s="284">
        <f t="shared" si="83"/>
        <v>168</v>
      </c>
    </row>
    <row r="462" spans="1:19">
      <c r="A462" s="1061" t="str">
        <f>清单!D585</f>
        <v>C-4-403</v>
      </c>
      <c r="B462" s="1061">
        <f>清单!F585</f>
        <v>64.099999999999994</v>
      </c>
      <c r="C462" s="285">
        <f t="shared" si="74"/>
        <v>0.97</v>
      </c>
      <c r="D462" s="293"/>
      <c r="E462" s="285">
        <f t="shared" si="75"/>
        <v>1</v>
      </c>
      <c r="F462" s="293"/>
      <c r="G462" s="285">
        <f t="shared" si="76"/>
        <v>1</v>
      </c>
      <c r="H462" s="293"/>
      <c r="I462" s="285">
        <f t="shared" si="77"/>
        <v>1</v>
      </c>
      <c r="J462" s="293"/>
      <c r="K462" s="285">
        <f t="shared" si="78"/>
        <v>1</v>
      </c>
      <c r="L462" s="293"/>
      <c r="M462" s="285">
        <f t="shared" si="79"/>
        <v>1</v>
      </c>
      <c r="N462" s="293"/>
      <c r="O462" s="285">
        <f t="shared" si="80"/>
        <v>1</v>
      </c>
      <c r="P462" s="291" t="s">
        <v>3024</v>
      </c>
      <c r="Q462" s="285">
        <f t="shared" si="81"/>
        <v>0.97</v>
      </c>
      <c r="R462" s="285">
        <f t="shared" si="82"/>
        <v>26240</v>
      </c>
      <c r="S462" s="284">
        <f t="shared" si="83"/>
        <v>168</v>
      </c>
    </row>
    <row r="463" spans="1:19">
      <c r="A463" s="1061" t="str">
        <f>清单!D568</f>
        <v>C-4-1402</v>
      </c>
      <c r="B463" s="1061">
        <f>清单!F568</f>
        <v>64.099999999999994</v>
      </c>
      <c r="C463" s="285">
        <f t="shared" si="74"/>
        <v>0.97</v>
      </c>
      <c r="D463" s="293"/>
      <c r="E463" s="285">
        <f t="shared" si="75"/>
        <v>1</v>
      </c>
      <c r="F463" s="293"/>
      <c r="G463" s="285">
        <f t="shared" si="76"/>
        <v>1</v>
      </c>
      <c r="H463" s="293"/>
      <c r="I463" s="285">
        <f t="shared" si="77"/>
        <v>1</v>
      </c>
      <c r="J463" s="293"/>
      <c r="K463" s="285">
        <f t="shared" si="78"/>
        <v>1</v>
      </c>
      <c r="L463" s="293"/>
      <c r="M463" s="285">
        <f t="shared" si="79"/>
        <v>1</v>
      </c>
      <c r="N463" s="293"/>
      <c r="O463" s="285">
        <f t="shared" si="80"/>
        <v>1</v>
      </c>
      <c r="P463" s="291" t="s">
        <v>3020</v>
      </c>
      <c r="Q463" s="285">
        <f t="shared" si="81"/>
        <v>1.03</v>
      </c>
      <c r="R463" s="285">
        <f t="shared" si="82"/>
        <v>27863</v>
      </c>
      <c r="S463" s="284">
        <f t="shared" si="83"/>
        <v>179</v>
      </c>
    </row>
    <row r="464" spans="1:19">
      <c r="A464" s="1061" t="str">
        <f>清单!D587</f>
        <v>C-4-501</v>
      </c>
      <c r="B464" s="1061">
        <f>清单!F587</f>
        <v>88.6</v>
      </c>
      <c r="C464" s="285">
        <f t="shared" si="74"/>
        <v>0.97</v>
      </c>
      <c r="D464" s="293"/>
      <c r="E464" s="285">
        <f t="shared" si="75"/>
        <v>1</v>
      </c>
      <c r="F464" s="293"/>
      <c r="G464" s="285">
        <f t="shared" si="76"/>
        <v>1</v>
      </c>
      <c r="H464" s="293"/>
      <c r="I464" s="285">
        <f t="shared" si="77"/>
        <v>1</v>
      </c>
      <c r="J464" s="293"/>
      <c r="K464" s="285">
        <f t="shared" si="78"/>
        <v>1</v>
      </c>
      <c r="L464" s="293"/>
      <c r="M464" s="285">
        <f t="shared" si="79"/>
        <v>1</v>
      </c>
      <c r="N464" s="293"/>
      <c r="O464" s="285">
        <f t="shared" si="80"/>
        <v>1</v>
      </c>
      <c r="P464" s="291" t="s">
        <v>3024</v>
      </c>
      <c r="Q464" s="285">
        <f t="shared" si="81"/>
        <v>0.97</v>
      </c>
      <c r="R464" s="285">
        <f t="shared" si="82"/>
        <v>26240</v>
      </c>
      <c r="S464" s="284">
        <f t="shared" si="83"/>
        <v>232</v>
      </c>
    </row>
    <row r="465" spans="1:19">
      <c r="A465" s="1061" t="str">
        <f>清单!D588</f>
        <v>C-4-502</v>
      </c>
      <c r="B465" s="1061">
        <f>清单!F588</f>
        <v>64.099999999999994</v>
      </c>
      <c r="C465" s="285">
        <f t="shared" si="74"/>
        <v>0.97</v>
      </c>
      <c r="D465" s="293"/>
      <c r="E465" s="285">
        <f t="shared" si="75"/>
        <v>1</v>
      </c>
      <c r="F465" s="293"/>
      <c r="G465" s="285">
        <f t="shared" si="76"/>
        <v>1</v>
      </c>
      <c r="H465" s="293"/>
      <c r="I465" s="285">
        <f t="shared" si="77"/>
        <v>1</v>
      </c>
      <c r="J465" s="293"/>
      <c r="K465" s="285">
        <f t="shared" si="78"/>
        <v>1</v>
      </c>
      <c r="L465" s="293"/>
      <c r="M465" s="285">
        <f t="shared" si="79"/>
        <v>1</v>
      </c>
      <c r="N465" s="293"/>
      <c r="O465" s="285">
        <f t="shared" si="80"/>
        <v>1</v>
      </c>
      <c r="P465" s="291" t="s">
        <v>3024</v>
      </c>
      <c r="Q465" s="285">
        <f t="shared" si="81"/>
        <v>0.97</v>
      </c>
      <c r="R465" s="285">
        <f t="shared" si="82"/>
        <v>26240</v>
      </c>
      <c r="S465" s="284">
        <f t="shared" si="83"/>
        <v>168</v>
      </c>
    </row>
    <row r="466" spans="1:19">
      <c r="A466" s="1061" t="str">
        <f>清单!D571</f>
        <v>C-4-1501</v>
      </c>
      <c r="B466" s="1061">
        <f>清单!F571</f>
        <v>88.6</v>
      </c>
      <c r="C466" s="285">
        <f t="shared" si="74"/>
        <v>0.97</v>
      </c>
      <c r="D466" s="293"/>
      <c r="E466" s="285">
        <f t="shared" si="75"/>
        <v>1</v>
      </c>
      <c r="F466" s="293"/>
      <c r="G466" s="285">
        <f t="shared" si="76"/>
        <v>1</v>
      </c>
      <c r="H466" s="293"/>
      <c r="I466" s="285">
        <f t="shared" si="77"/>
        <v>1</v>
      </c>
      <c r="J466" s="293"/>
      <c r="K466" s="285">
        <f t="shared" si="78"/>
        <v>1</v>
      </c>
      <c r="L466" s="293"/>
      <c r="M466" s="285">
        <f t="shared" si="79"/>
        <v>1</v>
      </c>
      <c r="N466" s="293"/>
      <c r="O466" s="285">
        <f t="shared" si="80"/>
        <v>1</v>
      </c>
      <c r="P466" s="291" t="s">
        <v>3020</v>
      </c>
      <c r="Q466" s="285">
        <f t="shared" si="81"/>
        <v>1.03</v>
      </c>
      <c r="R466" s="285">
        <f t="shared" si="82"/>
        <v>27863</v>
      </c>
      <c r="S466" s="284">
        <f t="shared" si="83"/>
        <v>247</v>
      </c>
    </row>
    <row r="467" spans="1:19">
      <c r="A467" s="1061" t="str">
        <f>清单!D590</f>
        <v>C-4-504</v>
      </c>
      <c r="B467" s="1061">
        <f>清单!F590</f>
        <v>88.6</v>
      </c>
      <c r="C467" s="285">
        <f t="shared" si="74"/>
        <v>0.97</v>
      </c>
      <c r="D467" s="293"/>
      <c r="E467" s="285">
        <f t="shared" si="75"/>
        <v>1</v>
      </c>
      <c r="F467" s="293"/>
      <c r="G467" s="285">
        <f t="shared" si="76"/>
        <v>1</v>
      </c>
      <c r="H467" s="293"/>
      <c r="I467" s="285">
        <f t="shared" si="77"/>
        <v>1</v>
      </c>
      <c r="J467" s="293"/>
      <c r="K467" s="285">
        <f t="shared" si="78"/>
        <v>1</v>
      </c>
      <c r="L467" s="293"/>
      <c r="M467" s="285">
        <f t="shared" si="79"/>
        <v>1</v>
      </c>
      <c r="N467" s="293"/>
      <c r="O467" s="285">
        <f t="shared" si="80"/>
        <v>1</v>
      </c>
      <c r="P467" s="291" t="s">
        <v>3024</v>
      </c>
      <c r="Q467" s="285">
        <f t="shared" si="81"/>
        <v>0.97</v>
      </c>
      <c r="R467" s="285">
        <f t="shared" si="82"/>
        <v>26240</v>
      </c>
      <c r="S467" s="284">
        <f t="shared" si="83"/>
        <v>232</v>
      </c>
    </row>
    <row r="468" spans="1:19">
      <c r="A468" s="1061" t="str">
        <f>清单!D591</f>
        <v>C-4-601</v>
      </c>
      <c r="B468" s="1061">
        <f>清单!F591</f>
        <v>88.6</v>
      </c>
      <c r="C468" s="285">
        <f t="shared" si="74"/>
        <v>0.97</v>
      </c>
      <c r="D468" s="293"/>
      <c r="E468" s="285">
        <f t="shared" si="75"/>
        <v>1</v>
      </c>
      <c r="F468" s="293"/>
      <c r="G468" s="285">
        <f t="shared" si="76"/>
        <v>1</v>
      </c>
      <c r="H468" s="293"/>
      <c r="I468" s="285">
        <f t="shared" si="77"/>
        <v>1</v>
      </c>
      <c r="J468" s="293"/>
      <c r="K468" s="285">
        <f t="shared" si="78"/>
        <v>1</v>
      </c>
      <c r="L468" s="293"/>
      <c r="M468" s="285">
        <f t="shared" si="79"/>
        <v>1</v>
      </c>
      <c r="N468" s="293"/>
      <c r="O468" s="285">
        <f t="shared" si="80"/>
        <v>1</v>
      </c>
      <c r="P468" s="291" t="s">
        <v>3022</v>
      </c>
      <c r="Q468" s="285">
        <f t="shared" si="81"/>
        <v>1</v>
      </c>
      <c r="R468" s="285">
        <f t="shared" si="82"/>
        <v>27051</v>
      </c>
      <c r="S468" s="284">
        <f t="shared" ref="S468:S497" si="84">ROUND(R468*B468/10000,0)</f>
        <v>240</v>
      </c>
    </row>
    <row r="469" spans="1:19">
      <c r="A469" s="1061" t="str">
        <f>清单!D574</f>
        <v>C-4-1504</v>
      </c>
      <c r="B469" s="1061">
        <f>清单!F574</f>
        <v>88.6</v>
      </c>
      <c r="C469" s="285">
        <f t="shared" si="74"/>
        <v>0.97</v>
      </c>
      <c r="D469" s="293"/>
      <c r="E469" s="285">
        <f t="shared" si="75"/>
        <v>1</v>
      </c>
      <c r="F469" s="293"/>
      <c r="G469" s="285">
        <f t="shared" si="76"/>
        <v>1</v>
      </c>
      <c r="H469" s="293"/>
      <c r="I469" s="285">
        <f t="shared" si="77"/>
        <v>1</v>
      </c>
      <c r="J469" s="293"/>
      <c r="K469" s="285">
        <f t="shared" si="78"/>
        <v>1</v>
      </c>
      <c r="L469" s="293"/>
      <c r="M469" s="285">
        <f t="shared" si="79"/>
        <v>1</v>
      </c>
      <c r="N469" s="293"/>
      <c r="O469" s="285">
        <f t="shared" si="80"/>
        <v>1</v>
      </c>
      <c r="P469" s="291" t="s">
        <v>3020</v>
      </c>
      <c r="Q469" s="285">
        <f t="shared" si="81"/>
        <v>1.03</v>
      </c>
      <c r="R469" s="285">
        <f t="shared" si="82"/>
        <v>27863</v>
      </c>
      <c r="S469" s="284">
        <f t="shared" si="84"/>
        <v>247</v>
      </c>
    </row>
    <row r="470" spans="1:19">
      <c r="A470" s="1061" t="str">
        <f>清单!D593</f>
        <v>C-4-603</v>
      </c>
      <c r="B470" s="1061">
        <f>清单!F593</f>
        <v>64.099999999999994</v>
      </c>
      <c r="C470" s="285">
        <f t="shared" si="74"/>
        <v>0.97</v>
      </c>
      <c r="D470" s="293"/>
      <c r="E470" s="285">
        <f t="shared" si="75"/>
        <v>1</v>
      </c>
      <c r="F470" s="293"/>
      <c r="G470" s="285">
        <f t="shared" si="76"/>
        <v>1</v>
      </c>
      <c r="H470" s="293"/>
      <c r="I470" s="285">
        <f t="shared" si="77"/>
        <v>1</v>
      </c>
      <c r="J470" s="293"/>
      <c r="K470" s="285">
        <f t="shared" si="78"/>
        <v>1</v>
      </c>
      <c r="L470" s="293"/>
      <c r="M470" s="285">
        <f t="shared" si="79"/>
        <v>1</v>
      </c>
      <c r="N470" s="293"/>
      <c r="O470" s="285">
        <f t="shared" si="80"/>
        <v>1</v>
      </c>
      <c r="P470" s="291" t="s">
        <v>3022</v>
      </c>
      <c r="Q470" s="285">
        <f t="shared" si="81"/>
        <v>1</v>
      </c>
      <c r="R470" s="285">
        <f t="shared" si="82"/>
        <v>27051</v>
      </c>
      <c r="S470" s="284">
        <f t="shared" si="84"/>
        <v>173</v>
      </c>
    </row>
    <row r="471" spans="1:19">
      <c r="A471" s="1061" t="str">
        <f>清单!D594</f>
        <v>C-4-604</v>
      </c>
      <c r="B471" s="1061">
        <f>清单!F594</f>
        <v>88.6</v>
      </c>
      <c r="C471" s="285">
        <f t="shared" si="74"/>
        <v>0.97</v>
      </c>
      <c r="D471" s="293"/>
      <c r="E471" s="285">
        <f t="shared" si="75"/>
        <v>1</v>
      </c>
      <c r="F471" s="293"/>
      <c r="G471" s="285">
        <f t="shared" si="76"/>
        <v>1</v>
      </c>
      <c r="H471" s="293"/>
      <c r="I471" s="285">
        <f t="shared" si="77"/>
        <v>1</v>
      </c>
      <c r="J471" s="293"/>
      <c r="K471" s="285">
        <f t="shared" si="78"/>
        <v>1</v>
      </c>
      <c r="L471" s="293"/>
      <c r="M471" s="285">
        <f t="shared" si="79"/>
        <v>1</v>
      </c>
      <c r="N471" s="293"/>
      <c r="O471" s="285">
        <f t="shared" si="80"/>
        <v>1</v>
      </c>
      <c r="P471" s="291" t="s">
        <v>3022</v>
      </c>
      <c r="Q471" s="285">
        <f t="shared" si="81"/>
        <v>1</v>
      </c>
      <c r="R471" s="285">
        <f t="shared" si="82"/>
        <v>27051</v>
      </c>
      <c r="S471" s="284">
        <f t="shared" si="84"/>
        <v>240</v>
      </c>
    </row>
    <row r="472" spans="1:19">
      <c r="A472" s="1061" t="str">
        <f>清单!D577</f>
        <v>C-4-203</v>
      </c>
      <c r="B472" s="1061">
        <f>清单!F577</f>
        <v>64.099999999999994</v>
      </c>
      <c r="C472" s="285">
        <f t="shared" si="74"/>
        <v>0.97</v>
      </c>
      <c r="D472" s="293"/>
      <c r="E472" s="285">
        <f t="shared" si="75"/>
        <v>1</v>
      </c>
      <c r="F472" s="293"/>
      <c r="G472" s="285">
        <f t="shared" si="76"/>
        <v>1</v>
      </c>
      <c r="H472" s="293"/>
      <c r="I472" s="285">
        <f t="shared" si="77"/>
        <v>1</v>
      </c>
      <c r="J472" s="293"/>
      <c r="K472" s="285">
        <f t="shared" si="78"/>
        <v>1</v>
      </c>
      <c r="L472" s="293"/>
      <c r="M472" s="285">
        <f t="shared" si="79"/>
        <v>1</v>
      </c>
      <c r="N472" s="293"/>
      <c r="O472" s="285">
        <f t="shared" si="80"/>
        <v>1</v>
      </c>
      <c r="P472" s="291" t="s">
        <v>3024</v>
      </c>
      <c r="Q472" s="285">
        <f t="shared" si="81"/>
        <v>0.97</v>
      </c>
      <c r="R472" s="285">
        <f t="shared" si="82"/>
        <v>26240</v>
      </c>
      <c r="S472" s="284">
        <f t="shared" si="84"/>
        <v>168</v>
      </c>
    </row>
    <row r="473" spans="1:19">
      <c r="A473" s="1061" t="str">
        <f>清单!D596</f>
        <v>C-4-702</v>
      </c>
      <c r="B473" s="1061">
        <f>清单!F596</f>
        <v>64.099999999999994</v>
      </c>
      <c r="C473" s="285">
        <f t="shared" si="74"/>
        <v>0.97</v>
      </c>
      <c r="D473" s="293"/>
      <c r="E473" s="285">
        <f t="shared" si="75"/>
        <v>1</v>
      </c>
      <c r="F473" s="293"/>
      <c r="G473" s="285">
        <f t="shared" si="76"/>
        <v>1</v>
      </c>
      <c r="H473" s="293"/>
      <c r="I473" s="285">
        <f t="shared" si="77"/>
        <v>1</v>
      </c>
      <c r="J473" s="293"/>
      <c r="K473" s="285">
        <f t="shared" si="78"/>
        <v>1</v>
      </c>
      <c r="L473" s="293"/>
      <c r="M473" s="285">
        <f t="shared" si="79"/>
        <v>1</v>
      </c>
      <c r="N473" s="293"/>
      <c r="O473" s="285">
        <f t="shared" si="80"/>
        <v>1</v>
      </c>
      <c r="P473" s="291" t="s">
        <v>3022</v>
      </c>
      <c r="Q473" s="285">
        <f t="shared" si="81"/>
        <v>1</v>
      </c>
      <c r="R473" s="285">
        <f t="shared" si="82"/>
        <v>27051</v>
      </c>
      <c r="S473" s="284">
        <f t="shared" si="84"/>
        <v>173</v>
      </c>
    </row>
    <row r="474" spans="1:19">
      <c r="A474" s="1061" t="str">
        <f>清单!D597</f>
        <v>C-4-703</v>
      </c>
      <c r="B474" s="1061">
        <f>清单!F597</f>
        <v>64.099999999999994</v>
      </c>
      <c r="C474" s="285">
        <f t="shared" ref="C474:C524" si="85">IF(B474="",1,(LOOKUP(B474,$3:$3,$4:$4)-LOOKUP($B$24,$3:$3,$4:$4)+100)/100)</f>
        <v>0.97</v>
      </c>
      <c r="D474" s="293"/>
      <c r="E474" s="285">
        <f t="shared" ref="E474:E524" si="86">(SUMIF($5:$5,D474,$6:$6)-SUMIF($5:$5,$D$24,$6:$6)+100)/100</f>
        <v>1</v>
      </c>
      <c r="F474" s="293"/>
      <c r="G474" s="285">
        <f t="shared" ref="G474:G524" si="87">(SUMIF($7:$7,F474,$8:$8)-SUMIF($7:$7,$F$24,$8:$8)+100)/100</f>
        <v>1</v>
      </c>
      <c r="H474" s="293"/>
      <c r="I474" s="285">
        <f t="shared" ref="I474:I524" si="88">(SUMIF($9:$9,H474,$10:$10)-SUMIF($9:$9,$H$24,$10:$10)+100)/100</f>
        <v>1</v>
      </c>
      <c r="J474" s="293"/>
      <c r="K474" s="285">
        <f t="shared" ref="K474:K524" si="89">(SUMIF($11:$11,J474,$12:$12)-SUMIF($11:$11,$J$24,$12:$12)+100)/100</f>
        <v>1</v>
      </c>
      <c r="L474" s="293"/>
      <c r="M474" s="285">
        <f t="shared" ref="M474:M524" si="90">(SUMIF($13:$13,L474,$14:$14)-SUMIF($13:$13,$L$24,$14:$14)+100)/100</f>
        <v>1</v>
      </c>
      <c r="N474" s="293"/>
      <c r="O474" s="285">
        <f t="shared" ref="O474:O524" si="91">(SUMIF($15:$15,N474,$16:$16)-SUMIF($15:$15,$N$24,$16:$16)+100)/100</f>
        <v>1</v>
      </c>
      <c r="P474" s="291" t="s">
        <v>3022</v>
      </c>
      <c r="Q474" s="285">
        <f t="shared" ref="Q474:Q524" si="92">(SUMIF($17:$17,P474,$18:$18)-SUMIF($17:$17,$P$24,$18:$18)+100)/100</f>
        <v>1</v>
      </c>
      <c r="R474" s="285">
        <f t="shared" ref="R474:R524" si="93">IF(B474="",0,ROUND($R$24*C474*E474*G474*I474*K474*M474*O474*Q474,0))</f>
        <v>27051</v>
      </c>
      <c r="S474" s="284">
        <f t="shared" si="84"/>
        <v>173</v>
      </c>
    </row>
    <row r="475" spans="1:19">
      <c r="A475" s="1061" t="str">
        <f>清单!D580</f>
        <v>C-4-302</v>
      </c>
      <c r="B475" s="1061">
        <f>清单!F580</f>
        <v>64.099999999999994</v>
      </c>
      <c r="C475" s="285">
        <f t="shared" si="85"/>
        <v>0.97</v>
      </c>
      <c r="D475" s="293"/>
      <c r="E475" s="285">
        <f t="shared" si="86"/>
        <v>1</v>
      </c>
      <c r="F475" s="293"/>
      <c r="G475" s="285">
        <f t="shared" si="87"/>
        <v>1</v>
      </c>
      <c r="H475" s="293"/>
      <c r="I475" s="285">
        <f t="shared" si="88"/>
        <v>1</v>
      </c>
      <c r="J475" s="293"/>
      <c r="K475" s="285">
        <f t="shared" si="89"/>
        <v>1</v>
      </c>
      <c r="L475" s="293"/>
      <c r="M475" s="285">
        <f t="shared" si="90"/>
        <v>1</v>
      </c>
      <c r="N475" s="293"/>
      <c r="O475" s="285">
        <f t="shared" si="91"/>
        <v>1</v>
      </c>
      <c r="P475" s="291" t="s">
        <v>3024</v>
      </c>
      <c r="Q475" s="285">
        <f t="shared" si="92"/>
        <v>0.97</v>
      </c>
      <c r="R475" s="285">
        <f t="shared" si="93"/>
        <v>26240</v>
      </c>
      <c r="S475" s="284">
        <f t="shared" si="84"/>
        <v>168</v>
      </c>
    </row>
    <row r="476" spans="1:19">
      <c r="A476" s="1061" t="str">
        <f>清单!D599</f>
        <v>C-4-801</v>
      </c>
      <c r="B476" s="1061">
        <f>清单!F599</f>
        <v>88.6</v>
      </c>
      <c r="C476" s="285">
        <f t="shared" si="85"/>
        <v>0.97</v>
      </c>
      <c r="D476" s="293"/>
      <c r="E476" s="285">
        <f t="shared" si="86"/>
        <v>1</v>
      </c>
      <c r="F476" s="293"/>
      <c r="G476" s="285">
        <f t="shared" si="87"/>
        <v>1</v>
      </c>
      <c r="H476" s="293"/>
      <c r="I476" s="285">
        <f t="shared" si="88"/>
        <v>1</v>
      </c>
      <c r="J476" s="293"/>
      <c r="K476" s="285">
        <f t="shared" si="89"/>
        <v>1</v>
      </c>
      <c r="L476" s="293"/>
      <c r="M476" s="285">
        <f t="shared" si="90"/>
        <v>1</v>
      </c>
      <c r="N476" s="293"/>
      <c r="O476" s="285">
        <f t="shared" si="91"/>
        <v>1</v>
      </c>
      <c r="P476" s="291" t="s">
        <v>3022</v>
      </c>
      <c r="Q476" s="285">
        <f t="shared" si="92"/>
        <v>1</v>
      </c>
      <c r="R476" s="285">
        <f t="shared" si="93"/>
        <v>27051</v>
      </c>
      <c r="S476" s="284">
        <f t="shared" si="84"/>
        <v>240</v>
      </c>
    </row>
    <row r="477" spans="1:19">
      <c r="A477" s="1061" t="str">
        <f>清单!D600</f>
        <v>C-4-802</v>
      </c>
      <c r="B477" s="1061">
        <f>清单!F600</f>
        <v>64.099999999999994</v>
      </c>
      <c r="C477" s="285">
        <f t="shared" si="85"/>
        <v>0.97</v>
      </c>
      <c r="D477" s="293"/>
      <c r="E477" s="285">
        <f t="shared" si="86"/>
        <v>1</v>
      </c>
      <c r="F477" s="293"/>
      <c r="G477" s="285">
        <f t="shared" si="87"/>
        <v>1</v>
      </c>
      <c r="H477" s="293"/>
      <c r="I477" s="285">
        <f t="shared" si="88"/>
        <v>1</v>
      </c>
      <c r="J477" s="293"/>
      <c r="K477" s="285">
        <f t="shared" si="89"/>
        <v>1</v>
      </c>
      <c r="L477" s="293"/>
      <c r="M477" s="285">
        <f t="shared" si="90"/>
        <v>1</v>
      </c>
      <c r="N477" s="293"/>
      <c r="O477" s="285">
        <f t="shared" si="91"/>
        <v>1</v>
      </c>
      <c r="P477" s="291" t="s">
        <v>3022</v>
      </c>
      <c r="Q477" s="285">
        <f t="shared" si="92"/>
        <v>1</v>
      </c>
      <c r="R477" s="285">
        <f t="shared" si="93"/>
        <v>27051</v>
      </c>
      <c r="S477" s="284">
        <f t="shared" si="84"/>
        <v>173</v>
      </c>
    </row>
    <row r="478" spans="1:19">
      <c r="A478" s="1061" t="str">
        <f>清单!D583</f>
        <v>C-4-401</v>
      </c>
      <c r="B478" s="1061">
        <f>清单!F583</f>
        <v>88.6</v>
      </c>
      <c r="C478" s="285">
        <f t="shared" si="85"/>
        <v>0.97</v>
      </c>
      <c r="D478" s="293"/>
      <c r="E478" s="285">
        <f t="shared" si="86"/>
        <v>1</v>
      </c>
      <c r="F478" s="293"/>
      <c r="G478" s="285">
        <f t="shared" si="87"/>
        <v>1</v>
      </c>
      <c r="H478" s="293"/>
      <c r="I478" s="285">
        <f t="shared" si="88"/>
        <v>1</v>
      </c>
      <c r="J478" s="293"/>
      <c r="K478" s="285">
        <f t="shared" si="89"/>
        <v>1</v>
      </c>
      <c r="L478" s="293"/>
      <c r="M478" s="285">
        <f t="shared" si="90"/>
        <v>1</v>
      </c>
      <c r="N478" s="293"/>
      <c r="O478" s="285">
        <f t="shared" si="91"/>
        <v>1</v>
      </c>
      <c r="P478" s="291" t="s">
        <v>3024</v>
      </c>
      <c r="Q478" s="285">
        <f t="shared" si="92"/>
        <v>0.97</v>
      </c>
      <c r="R478" s="285">
        <f t="shared" si="93"/>
        <v>26240</v>
      </c>
      <c r="S478" s="284">
        <f t="shared" si="84"/>
        <v>232</v>
      </c>
    </row>
    <row r="479" spans="1:19">
      <c r="A479" s="1061" t="str">
        <f>清单!D602</f>
        <v>C-4-804</v>
      </c>
      <c r="B479" s="1061">
        <f>清单!F602</f>
        <v>88.6</v>
      </c>
      <c r="C479" s="285">
        <f t="shared" si="85"/>
        <v>0.97</v>
      </c>
      <c r="D479" s="293"/>
      <c r="E479" s="285">
        <f t="shared" si="86"/>
        <v>1</v>
      </c>
      <c r="F479" s="293"/>
      <c r="G479" s="285">
        <f t="shared" si="87"/>
        <v>1</v>
      </c>
      <c r="H479" s="293"/>
      <c r="I479" s="285">
        <f t="shared" si="88"/>
        <v>1</v>
      </c>
      <c r="J479" s="293"/>
      <c r="K479" s="285">
        <f t="shared" si="89"/>
        <v>1</v>
      </c>
      <c r="L479" s="293"/>
      <c r="M479" s="285">
        <f t="shared" si="90"/>
        <v>1</v>
      </c>
      <c r="N479" s="293"/>
      <c r="O479" s="285">
        <f t="shared" si="91"/>
        <v>1</v>
      </c>
      <c r="P479" s="291" t="s">
        <v>3022</v>
      </c>
      <c r="Q479" s="285">
        <f t="shared" si="92"/>
        <v>1</v>
      </c>
      <c r="R479" s="285">
        <f t="shared" si="93"/>
        <v>27051</v>
      </c>
      <c r="S479" s="284">
        <f t="shared" si="84"/>
        <v>240</v>
      </c>
    </row>
    <row r="480" spans="1:19">
      <c r="A480" s="1061" t="str">
        <f>清单!D603</f>
        <v>C-4-901</v>
      </c>
      <c r="B480" s="1061">
        <f>清单!F603</f>
        <v>88.6</v>
      </c>
      <c r="C480" s="285">
        <f t="shared" si="85"/>
        <v>0.97</v>
      </c>
      <c r="D480" s="293"/>
      <c r="E480" s="285">
        <f t="shared" si="86"/>
        <v>1</v>
      </c>
      <c r="F480" s="293"/>
      <c r="G480" s="285">
        <f t="shared" si="87"/>
        <v>1</v>
      </c>
      <c r="H480" s="293"/>
      <c r="I480" s="285">
        <f t="shared" si="88"/>
        <v>1</v>
      </c>
      <c r="J480" s="293"/>
      <c r="K480" s="285">
        <f t="shared" si="89"/>
        <v>1</v>
      </c>
      <c r="L480" s="293"/>
      <c r="M480" s="285">
        <f t="shared" si="90"/>
        <v>1</v>
      </c>
      <c r="N480" s="293"/>
      <c r="O480" s="285">
        <f t="shared" si="91"/>
        <v>1</v>
      </c>
      <c r="P480" s="291" t="s">
        <v>3022</v>
      </c>
      <c r="Q480" s="285">
        <f t="shared" si="92"/>
        <v>1</v>
      </c>
      <c r="R480" s="285">
        <f t="shared" si="93"/>
        <v>27051</v>
      </c>
      <c r="S480" s="284">
        <f t="shared" si="84"/>
        <v>240</v>
      </c>
    </row>
    <row r="481" spans="1:19">
      <c r="A481" s="1061" t="str">
        <f>清单!D586</f>
        <v>C-4-404</v>
      </c>
      <c r="B481" s="1061">
        <f>清单!F586</f>
        <v>88.6</v>
      </c>
      <c r="C481" s="285">
        <f t="shared" si="85"/>
        <v>0.97</v>
      </c>
      <c r="D481" s="293"/>
      <c r="E481" s="285">
        <f t="shared" si="86"/>
        <v>1</v>
      </c>
      <c r="F481" s="293"/>
      <c r="G481" s="285">
        <f t="shared" si="87"/>
        <v>1</v>
      </c>
      <c r="H481" s="293"/>
      <c r="I481" s="285">
        <f t="shared" si="88"/>
        <v>1</v>
      </c>
      <c r="J481" s="293"/>
      <c r="K481" s="285">
        <f t="shared" si="89"/>
        <v>1</v>
      </c>
      <c r="L481" s="293"/>
      <c r="M481" s="285">
        <f t="shared" si="90"/>
        <v>1</v>
      </c>
      <c r="N481" s="293"/>
      <c r="O481" s="285">
        <f t="shared" si="91"/>
        <v>1</v>
      </c>
      <c r="P481" s="291" t="s">
        <v>3024</v>
      </c>
      <c r="Q481" s="285">
        <f t="shared" si="92"/>
        <v>0.97</v>
      </c>
      <c r="R481" s="285">
        <f t="shared" si="93"/>
        <v>26240</v>
      </c>
      <c r="S481" s="284">
        <f t="shared" si="84"/>
        <v>232</v>
      </c>
    </row>
    <row r="482" spans="1:19">
      <c r="A482" s="1061" t="str">
        <f>清单!D605</f>
        <v>C-4-903</v>
      </c>
      <c r="B482" s="1061">
        <f>清单!F605</f>
        <v>64.099999999999994</v>
      </c>
      <c r="C482" s="285">
        <f t="shared" si="85"/>
        <v>0.97</v>
      </c>
      <c r="D482" s="293"/>
      <c r="E482" s="285">
        <f t="shared" si="86"/>
        <v>1</v>
      </c>
      <c r="F482" s="293"/>
      <c r="G482" s="285">
        <f t="shared" si="87"/>
        <v>1</v>
      </c>
      <c r="H482" s="293"/>
      <c r="I482" s="285">
        <f t="shared" si="88"/>
        <v>1</v>
      </c>
      <c r="J482" s="293"/>
      <c r="K482" s="285">
        <f t="shared" si="89"/>
        <v>1</v>
      </c>
      <c r="L482" s="293"/>
      <c r="M482" s="285">
        <f t="shared" si="90"/>
        <v>1</v>
      </c>
      <c r="N482" s="293"/>
      <c r="O482" s="285">
        <f t="shared" si="91"/>
        <v>1</v>
      </c>
      <c r="P482" s="291" t="s">
        <v>3022</v>
      </c>
      <c r="Q482" s="285">
        <f t="shared" si="92"/>
        <v>1</v>
      </c>
      <c r="R482" s="285">
        <f t="shared" si="93"/>
        <v>27051</v>
      </c>
      <c r="S482" s="284">
        <f t="shared" si="84"/>
        <v>173</v>
      </c>
    </row>
    <row r="483" spans="1:19">
      <c r="A483" s="1061" t="str">
        <f>清单!D606</f>
        <v>C-4-904</v>
      </c>
      <c r="B483" s="1061">
        <f>清单!F606</f>
        <v>88.6</v>
      </c>
      <c r="C483" s="285">
        <f t="shared" si="85"/>
        <v>0.97</v>
      </c>
      <c r="D483" s="293"/>
      <c r="E483" s="285">
        <f t="shared" si="86"/>
        <v>1</v>
      </c>
      <c r="F483" s="293"/>
      <c r="G483" s="285">
        <f t="shared" si="87"/>
        <v>1</v>
      </c>
      <c r="H483" s="293"/>
      <c r="I483" s="285">
        <f t="shared" si="88"/>
        <v>1</v>
      </c>
      <c r="J483" s="293"/>
      <c r="K483" s="285">
        <f t="shared" si="89"/>
        <v>1</v>
      </c>
      <c r="L483" s="293"/>
      <c r="M483" s="285">
        <f t="shared" si="90"/>
        <v>1</v>
      </c>
      <c r="N483" s="293"/>
      <c r="O483" s="285">
        <f t="shared" si="91"/>
        <v>1</v>
      </c>
      <c r="P483" s="291" t="s">
        <v>3022</v>
      </c>
      <c r="Q483" s="285">
        <f t="shared" si="92"/>
        <v>1</v>
      </c>
      <c r="R483" s="285">
        <f t="shared" si="93"/>
        <v>27051</v>
      </c>
      <c r="S483" s="284">
        <f t="shared" si="84"/>
        <v>240</v>
      </c>
    </row>
    <row r="484" spans="1:19">
      <c r="A484" s="1061" t="str">
        <f>清单!D589</f>
        <v>C-4-503</v>
      </c>
      <c r="B484" s="1061">
        <f>清单!F589</f>
        <v>64.099999999999994</v>
      </c>
      <c r="C484" s="285">
        <f t="shared" si="85"/>
        <v>0.97</v>
      </c>
      <c r="D484" s="293"/>
      <c r="E484" s="285">
        <f t="shared" si="86"/>
        <v>1</v>
      </c>
      <c r="F484" s="293"/>
      <c r="G484" s="285">
        <f t="shared" si="87"/>
        <v>1</v>
      </c>
      <c r="H484" s="293"/>
      <c r="I484" s="285">
        <f t="shared" si="88"/>
        <v>1</v>
      </c>
      <c r="J484" s="293"/>
      <c r="K484" s="285">
        <f t="shared" si="89"/>
        <v>1</v>
      </c>
      <c r="L484" s="293"/>
      <c r="M484" s="285">
        <f t="shared" si="90"/>
        <v>1</v>
      </c>
      <c r="N484" s="293"/>
      <c r="O484" s="285">
        <f t="shared" si="91"/>
        <v>1</v>
      </c>
      <c r="P484" s="291" t="s">
        <v>3024</v>
      </c>
      <c r="Q484" s="285">
        <f t="shared" si="92"/>
        <v>0.97</v>
      </c>
      <c r="R484" s="285">
        <f t="shared" si="93"/>
        <v>26240</v>
      </c>
      <c r="S484" s="284">
        <f t="shared" si="84"/>
        <v>168</v>
      </c>
    </row>
    <row r="485" spans="1:19">
      <c r="A485" s="1061" t="str">
        <f>清单!D608</f>
        <v>C-5-1-102</v>
      </c>
      <c r="B485" s="1061">
        <f>清单!F608</f>
        <v>61.24</v>
      </c>
      <c r="C485" s="285">
        <f t="shared" si="85"/>
        <v>0.97</v>
      </c>
      <c r="D485" s="293"/>
      <c r="E485" s="285">
        <f t="shared" si="86"/>
        <v>1</v>
      </c>
      <c r="F485" s="293"/>
      <c r="G485" s="285">
        <f t="shared" si="87"/>
        <v>1</v>
      </c>
      <c r="H485" s="293"/>
      <c r="I485" s="285">
        <f t="shared" si="88"/>
        <v>1</v>
      </c>
      <c r="J485" s="293"/>
      <c r="K485" s="285">
        <f t="shared" si="89"/>
        <v>1</v>
      </c>
      <c r="L485" s="293"/>
      <c r="M485" s="285">
        <f t="shared" si="90"/>
        <v>1</v>
      </c>
      <c r="N485" s="293"/>
      <c r="O485" s="285">
        <f t="shared" si="91"/>
        <v>1</v>
      </c>
      <c r="P485" s="291" t="s">
        <v>3024</v>
      </c>
      <c r="Q485" s="285">
        <f t="shared" si="92"/>
        <v>0.97</v>
      </c>
      <c r="R485" s="285">
        <f t="shared" si="93"/>
        <v>26240</v>
      </c>
      <c r="S485" s="284">
        <f t="shared" si="84"/>
        <v>161</v>
      </c>
    </row>
    <row r="486" spans="1:19">
      <c r="A486" s="1061" t="str">
        <f>清单!D609</f>
        <v>C-5-1-103</v>
      </c>
      <c r="B486" s="1061">
        <f>清单!F609</f>
        <v>88.56</v>
      </c>
      <c r="C486" s="285">
        <f t="shared" si="85"/>
        <v>0.97</v>
      </c>
      <c r="D486" s="293"/>
      <c r="E486" s="285">
        <f t="shared" si="86"/>
        <v>1</v>
      </c>
      <c r="F486" s="293"/>
      <c r="G486" s="285">
        <f t="shared" si="87"/>
        <v>1</v>
      </c>
      <c r="H486" s="293"/>
      <c r="I486" s="285">
        <f t="shared" si="88"/>
        <v>1</v>
      </c>
      <c r="J486" s="293"/>
      <c r="K486" s="285">
        <f t="shared" si="89"/>
        <v>1</v>
      </c>
      <c r="L486" s="293"/>
      <c r="M486" s="285">
        <f t="shared" si="90"/>
        <v>1</v>
      </c>
      <c r="N486" s="293"/>
      <c r="O486" s="285">
        <f t="shared" si="91"/>
        <v>1</v>
      </c>
      <c r="P486" s="291" t="s">
        <v>3024</v>
      </c>
      <c r="Q486" s="285">
        <f t="shared" si="92"/>
        <v>0.97</v>
      </c>
      <c r="R486" s="285">
        <f t="shared" si="93"/>
        <v>26240</v>
      </c>
      <c r="S486" s="284">
        <f t="shared" si="84"/>
        <v>232</v>
      </c>
    </row>
    <row r="487" spans="1:19">
      <c r="A487" s="1061" t="str">
        <f>清单!D592</f>
        <v>C-4-602</v>
      </c>
      <c r="B487" s="1061">
        <f>清单!F592</f>
        <v>64.099999999999994</v>
      </c>
      <c r="C487" s="285">
        <f t="shared" si="85"/>
        <v>0.97</v>
      </c>
      <c r="D487" s="293"/>
      <c r="E487" s="285">
        <f t="shared" si="86"/>
        <v>1</v>
      </c>
      <c r="F487" s="293"/>
      <c r="G487" s="285">
        <f t="shared" si="87"/>
        <v>1</v>
      </c>
      <c r="H487" s="293"/>
      <c r="I487" s="285">
        <f t="shared" si="88"/>
        <v>1</v>
      </c>
      <c r="J487" s="293"/>
      <c r="K487" s="285">
        <f t="shared" si="89"/>
        <v>1</v>
      </c>
      <c r="L487" s="293"/>
      <c r="M487" s="285">
        <f t="shared" si="90"/>
        <v>1</v>
      </c>
      <c r="N487" s="293"/>
      <c r="O487" s="285">
        <f t="shared" si="91"/>
        <v>1</v>
      </c>
      <c r="P487" s="291" t="s">
        <v>3022</v>
      </c>
      <c r="Q487" s="285">
        <f t="shared" si="92"/>
        <v>1</v>
      </c>
      <c r="R487" s="285">
        <f t="shared" si="93"/>
        <v>27051</v>
      </c>
      <c r="S487" s="284">
        <f t="shared" si="84"/>
        <v>173</v>
      </c>
    </row>
    <row r="488" spans="1:19">
      <c r="A488" s="1061" t="str">
        <f>清单!D611</f>
        <v>C-5-1-202</v>
      </c>
      <c r="B488" s="1061">
        <f>清单!F611</f>
        <v>61.24</v>
      </c>
      <c r="C488" s="285">
        <f t="shared" si="85"/>
        <v>0.97</v>
      </c>
      <c r="D488" s="293"/>
      <c r="E488" s="285">
        <f t="shared" si="86"/>
        <v>1</v>
      </c>
      <c r="F488" s="293"/>
      <c r="G488" s="285">
        <f t="shared" si="87"/>
        <v>1</v>
      </c>
      <c r="H488" s="293"/>
      <c r="I488" s="285">
        <f t="shared" si="88"/>
        <v>1</v>
      </c>
      <c r="J488" s="293"/>
      <c r="K488" s="285">
        <f t="shared" si="89"/>
        <v>1</v>
      </c>
      <c r="L488" s="293"/>
      <c r="M488" s="285">
        <f t="shared" si="90"/>
        <v>1</v>
      </c>
      <c r="N488" s="293"/>
      <c r="O488" s="285">
        <f t="shared" si="91"/>
        <v>1</v>
      </c>
      <c r="P488" s="291" t="s">
        <v>3024</v>
      </c>
      <c r="Q488" s="285">
        <f t="shared" si="92"/>
        <v>0.97</v>
      </c>
      <c r="R488" s="285">
        <f t="shared" si="93"/>
        <v>26240</v>
      </c>
      <c r="S488" s="284">
        <f t="shared" si="84"/>
        <v>161</v>
      </c>
    </row>
    <row r="489" spans="1:19">
      <c r="A489" s="1061" t="str">
        <f>清单!D612</f>
        <v>C-5-1-203</v>
      </c>
      <c r="B489" s="1061">
        <f>清单!F612</f>
        <v>88.69</v>
      </c>
      <c r="C489" s="285">
        <f t="shared" si="85"/>
        <v>0.97</v>
      </c>
      <c r="D489" s="293"/>
      <c r="E489" s="285">
        <f t="shared" si="86"/>
        <v>1</v>
      </c>
      <c r="F489" s="293"/>
      <c r="G489" s="285">
        <f t="shared" si="87"/>
        <v>1</v>
      </c>
      <c r="H489" s="293"/>
      <c r="I489" s="285">
        <f t="shared" si="88"/>
        <v>1</v>
      </c>
      <c r="J489" s="293"/>
      <c r="K489" s="285">
        <f t="shared" si="89"/>
        <v>1</v>
      </c>
      <c r="L489" s="293"/>
      <c r="M489" s="285">
        <f t="shared" si="90"/>
        <v>1</v>
      </c>
      <c r="N489" s="293"/>
      <c r="O489" s="285">
        <f t="shared" si="91"/>
        <v>1</v>
      </c>
      <c r="P489" s="291" t="s">
        <v>3024</v>
      </c>
      <c r="Q489" s="285">
        <f t="shared" si="92"/>
        <v>0.97</v>
      </c>
      <c r="R489" s="285">
        <f t="shared" si="93"/>
        <v>26240</v>
      </c>
      <c r="S489" s="284">
        <f t="shared" si="84"/>
        <v>233</v>
      </c>
    </row>
    <row r="490" spans="1:19">
      <c r="A490" s="1061" t="str">
        <f>清单!D595</f>
        <v>C-4-701</v>
      </c>
      <c r="B490" s="1061">
        <f>清单!F595</f>
        <v>88.6</v>
      </c>
      <c r="C490" s="285">
        <f t="shared" si="85"/>
        <v>0.97</v>
      </c>
      <c r="D490" s="293"/>
      <c r="E490" s="285">
        <f t="shared" si="86"/>
        <v>1</v>
      </c>
      <c r="F490" s="293"/>
      <c r="G490" s="285">
        <f t="shared" si="87"/>
        <v>1</v>
      </c>
      <c r="H490" s="293"/>
      <c r="I490" s="285">
        <f t="shared" si="88"/>
        <v>1</v>
      </c>
      <c r="J490" s="293"/>
      <c r="K490" s="285">
        <f t="shared" si="89"/>
        <v>1</v>
      </c>
      <c r="L490" s="293"/>
      <c r="M490" s="285">
        <f t="shared" si="90"/>
        <v>1</v>
      </c>
      <c r="N490" s="293"/>
      <c r="O490" s="285">
        <f t="shared" si="91"/>
        <v>1</v>
      </c>
      <c r="P490" s="291" t="s">
        <v>3022</v>
      </c>
      <c r="Q490" s="285">
        <f t="shared" si="92"/>
        <v>1</v>
      </c>
      <c r="R490" s="285">
        <f t="shared" si="93"/>
        <v>27051</v>
      </c>
      <c r="S490" s="284">
        <f t="shared" si="84"/>
        <v>240</v>
      </c>
    </row>
    <row r="491" spans="1:19">
      <c r="A491" s="1061" t="str">
        <f>清单!D614</f>
        <v>C-5-1-302</v>
      </c>
      <c r="B491" s="1061">
        <f>清单!F614</f>
        <v>61.24</v>
      </c>
      <c r="C491" s="285">
        <f t="shared" si="85"/>
        <v>0.97</v>
      </c>
      <c r="D491" s="293"/>
      <c r="E491" s="285">
        <f t="shared" si="86"/>
        <v>1</v>
      </c>
      <c r="F491" s="293"/>
      <c r="G491" s="285">
        <f t="shared" si="87"/>
        <v>1</v>
      </c>
      <c r="H491" s="293"/>
      <c r="I491" s="285">
        <f t="shared" si="88"/>
        <v>1</v>
      </c>
      <c r="J491" s="293"/>
      <c r="K491" s="285">
        <f t="shared" si="89"/>
        <v>1</v>
      </c>
      <c r="L491" s="293"/>
      <c r="M491" s="285">
        <f t="shared" si="90"/>
        <v>1</v>
      </c>
      <c r="N491" s="293"/>
      <c r="O491" s="285">
        <f t="shared" si="91"/>
        <v>1</v>
      </c>
      <c r="P491" s="291" t="s">
        <v>3024</v>
      </c>
      <c r="Q491" s="285">
        <f t="shared" si="92"/>
        <v>0.97</v>
      </c>
      <c r="R491" s="285">
        <f t="shared" si="93"/>
        <v>26240</v>
      </c>
      <c r="S491" s="284">
        <f t="shared" si="84"/>
        <v>161</v>
      </c>
    </row>
    <row r="492" spans="1:19">
      <c r="A492" s="1061" t="str">
        <f>清单!D615</f>
        <v>C-5-1-303</v>
      </c>
      <c r="B492" s="1061">
        <f>清单!F615</f>
        <v>88.69</v>
      </c>
      <c r="C492" s="285">
        <f t="shared" si="85"/>
        <v>0.97</v>
      </c>
      <c r="D492" s="293"/>
      <c r="E492" s="285">
        <f t="shared" si="86"/>
        <v>1</v>
      </c>
      <c r="F492" s="293"/>
      <c r="G492" s="285">
        <f t="shared" si="87"/>
        <v>1</v>
      </c>
      <c r="H492" s="293"/>
      <c r="I492" s="285">
        <f t="shared" si="88"/>
        <v>1</v>
      </c>
      <c r="J492" s="293"/>
      <c r="K492" s="285">
        <f t="shared" si="89"/>
        <v>1</v>
      </c>
      <c r="L492" s="293"/>
      <c r="M492" s="285">
        <f t="shared" si="90"/>
        <v>1</v>
      </c>
      <c r="N492" s="293"/>
      <c r="O492" s="285">
        <f t="shared" si="91"/>
        <v>1</v>
      </c>
      <c r="P492" s="291" t="s">
        <v>3024</v>
      </c>
      <c r="Q492" s="285">
        <f t="shared" si="92"/>
        <v>0.97</v>
      </c>
      <c r="R492" s="285">
        <f t="shared" si="93"/>
        <v>26240</v>
      </c>
      <c r="S492" s="284">
        <f t="shared" si="84"/>
        <v>233</v>
      </c>
    </row>
    <row r="493" spans="1:19">
      <c r="A493" s="1061" t="str">
        <f>清单!D598</f>
        <v>C-4-704</v>
      </c>
      <c r="B493" s="1061">
        <f>清单!F598</f>
        <v>88.6</v>
      </c>
      <c r="C493" s="285">
        <f t="shared" si="85"/>
        <v>0.97</v>
      </c>
      <c r="D493" s="293"/>
      <c r="E493" s="285">
        <f t="shared" si="86"/>
        <v>1</v>
      </c>
      <c r="F493" s="293"/>
      <c r="G493" s="285">
        <f t="shared" si="87"/>
        <v>1</v>
      </c>
      <c r="H493" s="293"/>
      <c r="I493" s="285">
        <f t="shared" si="88"/>
        <v>1</v>
      </c>
      <c r="J493" s="293"/>
      <c r="K493" s="285">
        <f t="shared" si="89"/>
        <v>1</v>
      </c>
      <c r="L493" s="293"/>
      <c r="M493" s="285">
        <f t="shared" si="90"/>
        <v>1</v>
      </c>
      <c r="N493" s="293"/>
      <c r="O493" s="285">
        <f t="shared" si="91"/>
        <v>1</v>
      </c>
      <c r="P493" s="291" t="s">
        <v>3022</v>
      </c>
      <c r="Q493" s="285">
        <f t="shared" si="92"/>
        <v>1</v>
      </c>
      <c r="R493" s="285">
        <f t="shared" si="93"/>
        <v>27051</v>
      </c>
      <c r="S493" s="284">
        <f t="shared" si="84"/>
        <v>240</v>
      </c>
    </row>
    <row r="494" spans="1:19">
      <c r="A494" s="1061" t="str">
        <f>清单!D617</f>
        <v>C-5-1-402</v>
      </c>
      <c r="B494" s="1061">
        <f>清单!F617</f>
        <v>61.24</v>
      </c>
      <c r="C494" s="285">
        <f t="shared" si="85"/>
        <v>0.97</v>
      </c>
      <c r="D494" s="293"/>
      <c r="E494" s="285">
        <f t="shared" si="86"/>
        <v>1</v>
      </c>
      <c r="F494" s="293"/>
      <c r="G494" s="285">
        <f t="shared" si="87"/>
        <v>1</v>
      </c>
      <c r="H494" s="293"/>
      <c r="I494" s="285">
        <f t="shared" si="88"/>
        <v>1</v>
      </c>
      <c r="J494" s="293"/>
      <c r="K494" s="285">
        <f t="shared" si="89"/>
        <v>1</v>
      </c>
      <c r="L494" s="293"/>
      <c r="M494" s="285">
        <f t="shared" si="90"/>
        <v>1</v>
      </c>
      <c r="N494" s="293"/>
      <c r="O494" s="285">
        <f t="shared" si="91"/>
        <v>1</v>
      </c>
      <c r="P494" s="291" t="s">
        <v>3024</v>
      </c>
      <c r="Q494" s="285">
        <f t="shared" si="92"/>
        <v>0.97</v>
      </c>
      <c r="R494" s="285">
        <f t="shared" si="93"/>
        <v>26240</v>
      </c>
      <c r="S494" s="284">
        <f t="shared" si="84"/>
        <v>161</v>
      </c>
    </row>
    <row r="495" spans="1:19">
      <c r="A495" s="1061" t="str">
        <f>清单!D618</f>
        <v>C-5-1-403</v>
      </c>
      <c r="B495" s="1061">
        <f>清单!F618</f>
        <v>88.69</v>
      </c>
      <c r="C495" s="285">
        <f t="shared" si="85"/>
        <v>0.97</v>
      </c>
      <c r="D495" s="293"/>
      <c r="E495" s="285">
        <f t="shared" si="86"/>
        <v>1</v>
      </c>
      <c r="F495" s="293"/>
      <c r="G495" s="285">
        <f t="shared" si="87"/>
        <v>1</v>
      </c>
      <c r="H495" s="293"/>
      <c r="I495" s="285">
        <f t="shared" si="88"/>
        <v>1</v>
      </c>
      <c r="J495" s="293"/>
      <c r="K495" s="285">
        <f t="shared" si="89"/>
        <v>1</v>
      </c>
      <c r="L495" s="293"/>
      <c r="M495" s="285">
        <f t="shared" si="90"/>
        <v>1</v>
      </c>
      <c r="N495" s="293"/>
      <c r="O495" s="285">
        <f t="shared" si="91"/>
        <v>1</v>
      </c>
      <c r="P495" s="291" t="s">
        <v>3024</v>
      </c>
      <c r="Q495" s="285">
        <f t="shared" si="92"/>
        <v>0.97</v>
      </c>
      <c r="R495" s="285">
        <f t="shared" si="93"/>
        <v>26240</v>
      </c>
      <c r="S495" s="284">
        <f t="shared" si="84"/>
        <v>233</v>
      </c>
    </row>
    <row r="496" spans="1:19">
      <c r="A496" s="1061" t="str">
        <f>清单!D601</f>
        <v>C-4-803</v>
      </c>
      <c r="B496" s="1061">
        <f>清单!F601</f>
        <v>64.099999999999994</v>
      </c>
      <c r="C496" s="285">
        <f t="shared" si="85"/>
        <v>0.97</v>
      </c>
      <c r="D496" s="293"/>
      <c r="E496" s="285">
        <f t="shared" si="86"/>
        <v>1</v>
      </c>
      <c r="F496" s="293"/>
      <c r="G496" s="285">
        <f t="shared" si="87"/>
        <v>1</v>
      </c>
      <c r="H496" s="293"/>
      <c r="I496" s="285">
        <f t="shared" si="88"/>
        <v>1</v>
      </c>
      <c r="J496" s="293"/>
      <c r="K496" s="285">
        <f t="shared" si="89"/>
        <v>1</v>
      </c>
      <c r="L496" s="293"/>
      <c r="M496" s="285">
        <f t="shared" si="90"/>
        <v>1</v>
      </c>
      <c r="N496" s="293"/>
      <c r="O496" s="285">
        <f t="shared" si="91"/>
        <v>1</v>
      </c>
      <c r="P496" s="291" t="s">
        <v>3022</v>
      </c>
      <c r="Q496" s="285">
        <f t="shared" si="92"/>
        <v>1</v>
      </c>
      <c r="R496" s="285">
        <f t="shared" si="93"/>
        <v>27051</v>
      </c>
      <c r="S496" s="284">
        <f t="shared" si="84"/>
        <v>173</v>
      </c>
    </row>
    <row r="497" spans="1:19">
      <c r="A497" s="1061" t="str">
        <f>清单!D620</f>
        <v>C-5-1-502</v>
      </c>
      <c r="B497" s="1061">
        <f>清单!F620</f>
        <v>61.24</v>
      </c>
      <c r="C497" s="285">
        <f t="shared" si="85"/>
        <v>0.97</v>
      </c>
      <c r="D497" s="293"/>
      <c r="E497" s="285">
        <f t="shared" si="86"/>
        <v>1</v>
      </c>
      <c r="F497" s="293"/>
      <c r="G497" s="285">
        <f t="shared" si="87"/>
        <v>1</v>
      </c>
      <c r="H497" s="293"/>
      <c r="I497" s="285">
        <f t="shared" si="88"/>
        <v>1</v>
      </c>
      <c r="J497" s="293"/>
      <c r="K497" s="285">
        <f t="shared" si="89"/>
        <v>1</v>
      </c>
      <c r="L497" s="293"/>
      <c r="M497" s="285">
        <f t="shared" si="90"/>
        <v>1</v>
      </c>
      <c r="N497" s="293"/>
      <c r="O497" s="285">
        <f t="shared" si="91"/>
        <v>1</v>
      </c>
      <c r="P497" s="291" t="s">
        <v>3024</v>
      </c>
      <c r="Q497" s="285">
        <f t="shared" si="92"/>
        <v>0.97</v>
      </c>
      <c r="R497" s="285">
        <f t="shared" si="93"/>
        <v>26240</v>
      </c>
      <c r="S497" s="284">
        <f t="shared" si="84"/>
        <v>161</v>
      </c>
    </row>
    <row r="498" spans="1:19">
      <c r="A498" s="1061" t="str">
        <f>清单!D621</f>
        <v>C-5-1-503</v>
      </c>
      <c r="B498" s="1061">
        <f>清单!F621</f>
        <v>88.69</v>
      </c>
      <c r="C498" s="285">
        <f t="shared" si="85"/>
        <v>0.97</v>
      </c>
      <c r="D498" s="293"/>
      <c r="E498" s="285">
        <f t="shared" si="86"/>
        <v>1</v>
      </c>
      <c r="F498" s="293"/>
      <c r="G498" s="285">
        <f t="shared" si="87"/>
        <v>1</v>
      </c>
      <c r="H498" s="293"/>
      <c r="I498" s="285">
        <f t="shared" si="88"/>
        <v>1</v>
      </c>
      <c r="J498" s="293"/>
      <c r="K498" s="285">
        <f t="shared" si="89"/>
        <v>1</v>
      </c>
      <c r="L498" s="293"/>
      <c r="M498" s="285">
        <f t="shared" si="90"/>
        <v>1</v>
      </c>
      <c r="N498" s="293"/>
      <c r="O498" s="285">
        <f t="shared" si="91"/>
        <v>1</v>
      </c>
      <c r="P498" s="291" t="s">
        <v>3024</v>
      </c>
      <c r="Q498" s="285">
        <f t="shared" si="92"/>
        <v>0.97</v>
      </c>
      <c r="R498" s="285">
        <f t="shared" si="93"/>
        <v>26240</v>
      </c>
      <c r="S498" s="284">
        <f t="shared" ref="S498:S524" si="94">ROUND(R498*B498/10000,0)</f>
        <v>233</v>
      </c>
    </row>
    <row r="499" spans="1:19">
      <c r="A499" s="1061" t="str">
        <f>清单!D604</f>
        <v>C-4-902</v>
      </c>
      <c r="B499" s="1061">
        <f>清单!F604</f>
        <v>64.099999999999994</v>
      </c>
      <c r="C499" s="285">
        <f t="shared" si="85"/>
        <v>0.97</v>
      </c>
      <c r="D499" s="293"/>
      <c r="E499" s="285">
        <f t="shared" si="86"/>
        <v>1</v>
      </c>
      <c r="F499" s="293"/>
      <c r="G499" s="285">
        <f t="shared" si="87"/>
        <v>1</v>
      </c>
      <c r="H499" s="293"/>
      <c r="I499" s="285">
        <f t="shared" si="88"/>
        <v>1</v>
      </c>
      <c r="J499" s="293"/>
      <c r="K499" s="285">
        <f t="shared" si="89"/>
        <v>1</v>
      </c>
      <c r="L499" s="293"/>
      <c r="M499" s="285">
        <f t="shared" si="90"/>
        <v>1</v>
      </c>
      <c r="N499" s="293"/>
      <c r="O499" s="285">
        <f t="shared" si="91"/>
        <v>1</v>
      </c>
      <c r="P499" s="291" t="s">
        <v>3022</v>
      </c>
      <c r="Q499" s="285">
        <f t="shared" si="92"/>
        <v>1</v>
      </c>
      <c r="R499" s="285">
        <f t="shared" si="93"/>
        <v>27051</v>
      </c>
      <c r="S499" s="284">
        <f t="shared" si="94"/>
        <v>173</v>
      </c>
    </row>
    <row r="500" spans="1:19">
      <c r="A500" s="1061" t="str">
        <f>清单!D623</f>
        <v>C-5-1-602</v>
      </c>
      <c r="B500" s="1061">
        <f>清单!F623</f>
        <v>61.24</v>
      </c>
      <c r="C500" s="285">
        <f t="shared" si="85"/>
        <v>0.97</v>
      </c>
      <c r="D500" s="293"/>
      <c r="E500" s="285">
        <f t="shared" si="86"/>
        <v>1</v>
      </c>
      <c r="F500" s="293"/>
      <c r="G500" s="285">
        <f t="shared" si="87"/>
        <v>1</v>
      </c>
      <c r="H500" s="293"/>
      <c r="I500" s="285">
        <f t="shared" si="88"/>
        <v>1</v>
      </c>
      <c r="J500" s="293"/>
      <c r="K500" s="285">
        <f t="shared" si="89"/>
        <v>1</v>
      </c>
      <c r="L500" s="293"/>
      <c r="M500" s="285">
        <f t="shared" si="90"/>
        <v>1</v>
      </c>
      <c r="N500" s="293"/>
      <c r="O500" s="285">
        <f t="shared" si="91"/>
        <v>1</v>
      </c>
      <c r="P500" s="291" t="s">
        <v>3022</v>
      </c>
      <c r="Q500" s="285">
        <f t="shared" si="92"/>
        <v>1</v>
      </c>
      <c r="R500" s="285">
        <f t="shared" si="93"/>
        <v>27051</v>
      </c>
      <c r="S500" s="284">
        <f t="shared" si="94"/>
        <v>166</v>
      </c>
    </row>
    <row r="501" spans="1:19">
      <c r="A501" s="1061" t="str">
        <f>清单!D624</f>
        <v>C-5-1-603</v>
      </c>
      <c r="B501" s="1061">
        <f>清单!F624</f>
        <v>88.69</v>
      </c>
      <c r="C501" s="285">
        <f t="shared" si="85"/>
        <v>0.97</v>
      </c>
      <c r="D501" s="293"/>
      <c r="E501" s="285">
        <f t="shared" si="86"/>
        <v>1</v>
      </c>
      <c r="F501" s="293"/>
      <c r="G501" s="285">
        <f t="shared" si="87"/>
        <v>1</v>
      </c>
      <c r="H501" s="293"/>
      <c r="I501" s="285">
        <f t="shared" si="88"/>
        <v>1</v>
      </c>
      <c r="J501" s="293"/>
      <c r="K501" s="285">
        <f t="shared" si="89"/>
        <v>1</v>
      </c>
      <c r="L501" s="293"/>
      <c r="M501" s="285">
        <f t="shared" si="90"/>
        <v>1</v>
      </c>
      <c r="N501" s="293"/>
      <c r="O501" s="285">
        <f t="shared" si="91"/>
        <v>1</v>
      </c>
      <c r="P501" s="291" t="s">
        <v>3022</v>
      </c>
      <c r="Q501" s="285">
        <f t="shared" si="92"/>
        <v>1</v>
      </c>
      <c r="R501" s="285">
        <f t="shared" si="93"/>
        <v>27051</v>
      </c>
      <c r="S501" s="284">
        <f t="shared" si="94"/>
        <v>240</v>
      </c>
    </row>
    <row r="502" spans="1:19">
      <c r="A502" s="1061" t="str">
        <f>清单!D607</f>
        <v>C-5-1-101</v>
      </c>
      <c r="B502" s="1061">
        <f>清单!F607</f>
        <v>51.33</v>
      </c>
      <c r="C502" s="285">
        <f t="shared" si="85"/>
        <v>1</v>
      </c>
      <c r="D502" s="293"/>
      <c r="E502" s="285">
        <f t="shared" si="86"/>
        <v>1</v>
      </c>
      <c r="F502" s="293"/>
      <c r="G502" s="285">
        <f t="shared" si="87"/>
        <v>1</v>
      </c>
      <c r="H502" s="293"/>
      <c r="I502" s="285">
        <f t="shared" si="88"/>
        <v>1</v>
      </c>
      <c r="J502" s="293"/>
      <c r="K502" s="285">
        <f t="shared" si="89"/>
        <v>1</v>
      </c>
      <c r="L502" s="293"/>
      <c r="M502" s="285">
        <f t="shared" si="90"/>
        <v>1</v>
      </c>
      <c r="N502" s="293"/>
      <c r="O502" s="285">
        <f t="shared" si="91"/>
        <v>1</v>
      </c>
      <c r="P502" s="291" t="s">
        <v>3024</v>
      </c>
      <c r="Q502" s="285">
        <f t="shared" si="92"/>
        <v>0.97</v>
      </c>
      <c r="R502" s="285">
        <f t="shared" si="93"/>
        <v>27051</v>
      </c>
      <c r="S502" s="284">
        <f t="shared" si="94"/>
        <v>139</v>
      </c>
    </row>
    <row r="503" spans="1:19">
      <c r="A503" s="1061" t="str">
        <f>清单!D626</f>
        <v>C-5-1-702</v>
      </c>
      <c r="B503" s="1061">
        <f>清单!F626</f>
        <v>61.24</v>
      </c>
      <c r="C503" s="285">
        <f t="shared" si="85"/>
        <v>0.97</v>
      </c>
      <c r="D503" s="293"/>
      <c r="E503" s="285">
        <f t="shared" si="86"/>
        <v>1</v>
      </c>
      <c r="F503" s="293"/>
      <c r="G503" s="285">
        <f t="shared" si="87"/>
        <v>1</v>
      </c>
      <c r="H503" s="293"/>
      <c r="I503" s="285">
        <f t="shared" si="88"/>
        <v>1</v>
      </c>
      <c r="J503" s="293"/>
      <c r="K503" s="285">
        <f t="shared" si="89"/>
        <v>1</v>
      </c>
      <c r="L503" s="293"/>
      <c r="M503" s="285">
        <f t="shared" si="90"/>
        <v>1</v>
      </c>
      <c r="N503" s="293"/>
      <c r="O503" s="285">
        <f t="shared" si="91"/>
        <v>1</v>
      </c>
      <c r="P503" s="291" t="s">
        <v>3022</v>
      </c>
      <c r="Q503" s="285">
        <f t="shared" si="92"/>
        <v>1</v>
      </c>
      <c r="R503" s="285">
        <f t="shared" si="93"/>
        <v>27051</v>
      </c>
      <c r="S503" s="284">
        <f t="shared" si="94"/>
        <v>166</v>
      </c>
    </row>
    <row r="504" spans="1:19">
      <c r="A504" s="1061" t="str">
        <f>清单!D627</f>
        <v>C-5-1-703</v>
      </c>
      <c r="B504" s="1061">
        <f>清单!F627</f>
        <v>88.69</v>
      </c>
      <c r="C504" s="285">
        <f t="shared" si="85"/>
        <v>0.97</v>
      </c>
      <c r="D504" s="293"/>
      <c r="E504" s="285">
        <f t="shared" si="86"/>
        <v>1</v>
      </c>
      <c r="F504" s="293"/>
      <c r="G504" s="285">
        <f t="shared" si="87"/>
        <v>1</v>
      </c>
      <c r="H504" s="293"/>
      <c r="I504" s="285">
        <f t="shared" si="88"/>
        <v>1</v>
      </c>
      <c r="J504" s="293"/>
      <c r="K504" s="285">
        <f t="shared" si="89"/>
        <v>1</v>
      </c>
      <c r="L504" s="293"/>
      <c r="M504" s="285">
        <f t="shared" si="90"/>
        <v>1</v>
      </c>
      <c r="N504" s="293"/>
      <c r="O504" s="285">
        <f t="shared" si="91"/>
        <v>1</v>
      </c>
      <c r="P504" s="291" t="s">
        <v>3022</v>
      </c>
      <c r="Q504" s="285">
        <f t="shared" si="92"/>
        <v>1</v>
      </c>
      <c r="R504" s="285">
        <f t="shared" si="93"/>
        <v>27051</v>
      </c>
      <c r="S504" s="284">
        <f t="shared" si="94"/>
        <v>240</v>
      </c>
    </row>
    <row r="505" spans="1:19">
      <c r="A505" s="1061" t="str">
        <f>清单!D610</f>
        <v>C-5-1-201</v>
      </c>
      <c r="B505" s="1061">
        <f>清单!F610</f>
        <v>51.62</v>
      </c>
      <c r="C505" s="285">
        <f t="shared" si="85"/>
        <v>1</v>
      </c>
      <c r="D505" s="293"/>
      <c r="E505" s="285">
        <f t="shared" si="86"/>
        <v>1</v>
      </c>
      <c r="F505" s="293"/>
      <c r="G505" s="285">
        <f t="shared" si="87"/>
        <v>1</v>
      </c>
      <c r="H505" s="293"/>
      <c r="I505" s="285">
        <f t="shared" si="88"/>
        <v>1</v>
      </c>
      <c r="J505" s="293"/>
      <c r="K505" s="285">
        <f t="shared" si="89"/>
        <v>1</v>
      </c>
      <c r="L505" s="293"/>
      <c r="M505" s="285">
        <f t="shared" si="90"/>
        <v>1</v>
      </c>
      <c r="N505" s="293"/>
      <c r="O505" s="285">
        <f t="shared" si="91"/>
        <v>1</v>
      </c>
      <c r="P505" s="291" t="s">
        <v>3024</v>
      </c>
      <c r="Q505" s="285">
        <f t="shared" si="92"/>
        <v>0.97</v>
      </c>
      <c r="R505" s="285">
        <f t="shared" si="93"/>
        <v>27051</v>
      </c>
      <c r="S505" s="284">
        <f t="shared" si="94"/>
        <v>140</v>
      </c>
    </row>
    <row r="506" spans="1:19">
      <c r="A506" s="1061" t="str">
        <f>清单!D629</f>
        <v>C-5-1-802</v>
      </c>
      <c r="B506" s="1061">
        <f>清单!F629</f>
        <v>61.24</v>
      </c>
      <c r="C506" s="285">
        <f t="shared" si="85"/>
        <v>0.97</v>
      </c>
      <c r="D506" s="293"/>
      <c r="E506" s="285">
        <f t="shared" si="86"/>
        <v>1</v>
      </c>
      <c r="F506" s="293"/>
      <c r="G506" s="285">
        <f t="shared" si="87"/>
        <v>1</v>
      </c>
      <c r="H506" s="293"/>
      <c r="I506" s="285">
        <f t="shared" si="88"/>
        <v>1</v>
      </c>
      <c r="J506" s="293"/>
      <c r="K506" s="285">
        <f t="shared" si="89"/>
        <v>1</v>
      </c>
      <c r="L506" s="293"/>
      <c r="M506" s="285">
        <f t="shared" si="90"/>
        <v>1</v>
      </c>
      <c r="N506" s="293"/>
      <c r="O506" s="285">
        <f t="shared" si="91"/>
        <v>1</v>
      </c>
      <c r="P506" s="291" t="s">
        <v>3022</v>
      </c>
      <c r="Q506" s="285">
        <f t="shared" si="92"/>
        <v>1</v>
      </c>
      <c r="R506" s="285">
        <f t="shared" si="93"/>
        <v>27051</v>
      </c>
      <c r="S506" s="284">
        <f t="shared" si="94"/>
        <v>166</v>
      </c>
    </row>
    <row r="507" spans="1:19">
      <c r="A507" s="1061" t="str">
        <f>清单!D630</f>
        <v>C-5-1-803</v>
      </c>
      <c r="B507" s="1061">
        <f>清单!F630</f>
        <v>88.69</v>
      </c>
      <c r="C507" s="285">
        <f t="shared" si="85"/>
        <v>0.97</v>
      </c>
      <c r="D507" s="293"/>
      <c r="E507" s="285">
        <f t="shared" si="86"/>
        <v>1</v>
      </c>
      <c r="F507" s="293"/>
      <c r="G507" s="285">
        <f t="shared" si="87"/>
        <v>1</v>
      </c>
      <c r="H507" s="293"/>
      <c r="I507" s="285">
        <f t="shared" si="88"/>
        <v>1</v>
      </c>
      <c r="J507" s="293"/>
      <c r="K507" s="285">
        <f t="shared" si="89"/>
        <v>1</v>
      </c>
      <c r="L507" s="293"/>
      <c r="M507" s="285">
        <f t="shared" si="90"/>
        <v>1</v>
      </c>
      <c r="N507" s="293"/>
      <c r="O507" s="285">
        <f t="shared" si="91"/>
        <v>1</v>
      </c>
      <c r="P507" s="291" t="s">
        <v>3022</v>
      </c>
      <c r="Q507" s="285">
        <f t="shared" si="92"/>
        <v>1</v>
      </c>
      <c r="R507" s="285">
        <f t="shared" si="93"/>
        <v>27051</v>
      </c>
      <c r="S507" s="284">
        <f t="shared" si="94"/>
        <v>240</v>
      </c>
    </row>
    <row r="508" spans="1:19">
      <c r="A508" s="1061" t="str">
        <f>清单!D613</f>
        <v>C-5-1-301</v>
      </c>
      <c r="B508" s="1061">
        <f>清单!F613</f>
        <v>51.62</v>
      </c>
      <c r="C508" s="285">
        <f t="shared" si="85"/>
        <v>1</v>
      </c>
      <c r="D508" s="293"/>
      <c r="E508" s="285">
        <f t="shared" si="86"/>
        <v>1</v>
      </c>
      <c r="F508" s="293"/>
      <c r="G508" s="285">
        <f t="shared" si="87"/>
        <v>1</v>
      </c>
      <c r="H508" s="293"/>
      <c r="I508" s="285">
        <f t="shared" si="88"/>
        <v>1</v>
      </c>
      <c r="J508" s="293"/>
      <c r="K508" s="285">
        <f t="shared" si="89"/>
        <v>1</v>
      </c>
      <c r="L508" s="293"/>
      <c r="M508" s="285">
        <f t="shared" si="90"/>
        <v>1</v>
      </c>
      <c r="N508" s="293"/>
      <c r="O508" s="285">
        <f t="shared" si="91"/>
        <v>1</v>
      </c>
      <c r="P508" s="291" t="s">
        <v>3024</v>
      </c>
      <c r="Q508" s="285">
        <f t="shared" si="92"/>
        <v>0.97</v>
      </c>
      <c r="R508" s="285">
        <f t="shared" si="93"/>
        <v>27051</v>
      </c>
      <c r="S508" s="284">
        <f t="shared" si="94"/>
        <v>140</v>
      </c>
    </row>
    <row r="509" spans="1:19">
      <c r="A509" s="1061" t="str">
        <f>清单!D632</f>
        <v>C-5-1-902</v>
      </c>
      <c r="B509" s="1061">
        <f>清单!F632</f>
        <v>61.24</v>
      </c>
      <c r="C509" s="285">
        <f t="shared" si="85"/>
        <v>0.97</v>
      </c>
      <c r="D509" s="293"/>
      <c r="E509" s="285">
        <f t="shared" si="86"/>
        <v>1</v>
      </c>
      <c r="F509" s="293"/>
      <c r="G509" s="285">
        <f t="shared" si="87"/>
        <v>1</v>
      </c>
      <c r="H509" s="293"/>
      <c r="I509" s="285">
        <f t="shared" si="88"/>
        <v>1</v>
      </c>
      <c r="J509" s="293"/>
      <c r="K509" s="285">
        <f t="shared" si="89"/>
        <v>1</v>
      </c>
      <c r="L509" s="293"/>
      <c r="M509" s="285">
        <f t="shared" si="90"/>
        <v>1</v>
      </c>
      <c r="N509" s="293"/>
      <c r="O509" s="285">
        <f t="shared" si="91"/>
        <v>1</v>
      </c>
      <c r="P509" s="291" t="s">
        <v>3022</v>
      </c>
      <c r="Q509" s="285">
        <f t="shared" si="92"/>
        <v>1</v>
      </c>
      <c r="R509" s="285">
        <f t="shared" si="93"/>
        <v>27051</v>
      </c>
      <c r="S509" s="284">
        <f t="shared" si="94"/>
        <v>166</v>
      </c>
    </row>
    <row r="510" spans="1:19">
      <c r="A510" s="1061" t="str">
        <f>清单!D633</f>
        <v>C-5-1-903</v>
      </c>
      <c r="B510" s="1061">
        <f>清单!F633</f>
        <v>88.69</v>
      </c>
      <c r="C510" s="285">
        <f t="shared" si="85"/>
        <v>0.97</v>
      </c>
      <c r="D510" s="293"/>
      <c r="E510" s="285">
        <f t="shared" si="86"/>
        <v>1</v>
      </c>
      <c r="F510" s="293"/>
      <c r="G510" s="285">
        <f t="shared" si="87"/>
        <v>1</v>
      </c>
      <c r="H510" s="293"/>
      <c r="I510" s="285">
        <f t="shared" si="88"/>
        <v>1</v>
      </c>
      <c r="J510" s="293"/>
      <c r="K510" s="285">
        <f t="shared" si="89"/>
        <v>1</v>
      </c>
      <c r="L510" s="293"/>
      <c r="M510" s="285">
        <f t="shared" si="90"/>
        <v>1</v>
      </c>
      <c r="N510" s="293"/>
      <c r="O510" s="285">
        <f t="shared" si="91"/>
        <v>1</v>
      </c>
      <c r="P510" s="291" t="s">
        <v>3022</v>
      </c>
      <c r="Q510" s="285">
        <f t="shared" si="92"/>
        <v>1</v>
      </c>
      <c r="R510" s="285">
        <f t="shared" si="93"/>
        <v>27051</v>
      </c>
      <c r="S510" s="284">
        <f t="shared" si="94"/>
        <v>240</v>
      </c>
    </row>
    <row r="511" spans="1:19">
      <c r="A511" s="1061" t="str">
        <f>清单!D616</f>
        <v>C-5-1-401</v>
      </c>
      <c r="B511" s="1061">
        <f>清单!F616</f>
        <v>51.62</v>
      </c>
      <c r="C511" s="285">
        <f t="shared" si="85"/>
        <v>1</v>
      </c>
      <c r="D511" s="293"/>
      <c r="E511" s="285">
        <f t="shared" si="86"/>
        <v>1</v>
      </c>
      <c r="F511" s="293"/>
      <c r="G511" s="285">
        <f t="shared" si="87"/>
        <v>1</v>
      </c>
      <c r="H511" s="293"/>
      <c r="I511" s="285">
        <f t="shared" si="88"/>
        <v>1</v>
      </c>
      <c r="J511" s="293"/>
      <c r="K511" s="285">
        <f t="shared" si="89"/>
        <v>1</v>
      </c>
      <c r="L511" s="293"/>
      <c r="M511" s="285">
        <f t="shared" si="90"/>
        <v>1</v>
      </c>
      <c r="N511" s="293"/>
      <c r="O511" s="285">
        <f t="shared" si="91"/>
        <v>1</v>
      </c>
      <c r="P511" s="291" t="s">
        <v>3024</v>
      </c>
      <c r="Q511" s="285">
        <f t="shared" si="92"/>
        <v>0.97</v>
      </c>
      <c r="R511" s="285">
        <f t="shared" si="93"/>
        <v>27051</v>
      </c>
      <c r="S511" s="284">
        <f t="shared" si="94"/>
        <v>140</v>
      </c>
    </row>
    <row r="512" spans="1:19">
      <c r="A512" s="1061" t="str">
        <f>清单!D635</f>
        <v>C-5-2-102</v>
      </c>
      <c r="B512" s="1061">
        <f>清单!F635</f>
        <v>88.69</v>
      </c>
      <c r="C512" s="285">
        <f t="shared" si="85"/>
        <v>0.97</v>
      </c>
      <c r="D512" s="293"/>
      <c r="E512" s="285">
        <f t="shared" si="86"/>
        <v>1</v>
      </c>
      <c r="F512" s="293"/>
      <c r="G512" s="285">
        <f t="shared" si="87"/>
        <v>1</v>
      </c>
      <c r="H512" s="293"/>
      <c r="I512" s="285">
        <f t="shared" si="88"/>
        <v>1</v>
      </c>
      <c r="J512" s="293"/>
      <c r="K512" s="285">
        <f t="shared" si="89"/>
        <v>1</v>
      </c>
      <c r="L512" s="293"/>
      <c r="M512" s="285">
        <f t="shared" si="90"/>
        <v>1</v>
      </c>
      <c r="N512" s="293"/>
      <c r="O512" s="285">
        <f t="shared" si="91"/>
        <v>1</v>
      </c>
      <c r="P512" s="291" t="s">
        <v>3024</v>
      </c>
      <c r="Q512" s="285">
        <f t="shared" si="92"/>
        <v>0.97</v>
      </c>
      <c r="R512" s="285">
        <f t="shared" si="93"/>
        <v>26240</v>
      </c>
      <c r="S512" s="284">
        <f t="shared" si="94"/>
        <v>233</v>
      </c>
    </row>
    <row r="513" spans="1:19">
      <c r="A513" s="1061" t="str">
        <f>清单!D636</f>
        <v>C-5-2-201</v>
      </c>
      <c r="B513" s="1061">
        <f>清单!F636</f>
        <v>88.69</v>
      </c>
      <c r="C513" s="285">
        <f t="shared" si="85"/>
        <v>0.97</v>
      </c>
      <c r="D513" s="293"/>
      <c r="E513" s="285">
        <f t="shared" si="86"/>
        <v>1</v>
      </c>
      <c r="F513" s="293"/>
      <c r="G513" s="285">
        <f t="shared" si="87"/>
        <v>1</v>
      </c>
      <c r="H513" s="293"/>
      <c r="I513" s="285">
        <f t="shared" si="88"/>
        <v>1</v>
      </c>
      <c r="J513" s="293"/>
      <c r="K513" s="285">
        <f t="shared" si="89"/>
        <v>1</v>
      </c>
      <c r="L513" s="293"/>
      <c r="M513" s="285">
        <f t="shared" si="90"/>
        <v>1</v>
      </c>
      <c r="N513" s="293"/>
      <c r="O513" s="285">
        <f t="shared" si="91"/>
        <v>1</v>
      </c>
      <c r="P513" s="291" t="s">
        <v>3024</v>
      </c>
      <c r="Q513" s="285">
        <f t="shared" si="92"/>
        <v>0.97</v>
      </c>
      <c r="R513" s="285">
        <f t="shared" si="93"/>
        <v>26240</v>
      </c>
      <c r="S513" s="284">
        <f t="shared" si="94"/>
        <v>233</v>
      </c>
    </row>
    <row r="514" spans="1:19">
      <c r="A514" s="1061" t="str">
        <f>清单!D619</f>
        <v>C-5-1-501</v>
      </c>
      <c r="B514" s="1061">
        <f>清单!F619</f>
        <v>51.62</v>
      </c>
      <c r="C514" s="285">
        <f t="shared" si="85"/>
        <v>1</v>
      </c>
      <c r="D514" s="293"/>
      <c r="E514" s="285">
        <f t="shared" si="86"/>
        <v>1</v>
      </c>
      <c r="F514" s="293"/>
      <c r="G514" s="285">
        <f t="shared" si="87"/>
        <v>1</v>
      </c>
      <c r="H514" s="293"/>
      <c r="I514" s="285">
        <f t="shared" si="88"/>
        <v>1</v>
      </c>
      <c r="J514" s="293"/>
      <c r="K514" s="285">
        <f t="shared" si="89"/>
        <v>1</v>
      </c>
      <c r="L514" s="293"/>
      <c r="M514" s="285">
        <f t="shared" si="90"/>
        <v>1</v>
      </c>
      <c r="N514" s="293"/>
      <c r="O514" s="285">
        <f t="shared" si="91"/>
        <v>1</v>
      </c>
      <c r="P514" s="291" t="s">
        <v>3024</v>
      </c>
      <c r="Q514" s="285">
        <f t="shared" si="92"/>
        <v>0.97</v>
      </c>
      <c r="R514" s="285">
        <f t="shared" si="93"/>
        <v>27051</v>
      </c>
      <c r="S514" s="284">
        <f t="shared" si="94"/>
        <v>140</v>
      </c>
    </row>
    <row r="515" spans="1:19">
      <c r="A515" s="1061" t="str">
        <f>清单!D638</f>
        <v>C-5-2-301</v>
      </c>
      <c r="B515" s="1061">
        <f>清单!F638</f>
        <v>88.69</v>
      </c>
      <c r="C515" s="285">
        <f t="shared" si="85"/>
        <v>0.97</v>
      </c>
      <c r="D515" s="293"/>
      <c r="E515" s="285">
        <f t="shared" si="86"/>
        <v>1</v>
      </c>
      <c r="F515" s="293"/>
      <c r="G515" s="285">
        <f t="shared" si="87"/>
        <v>1</v>
      </c>
      <c r="H515" s="293"/>
      <c r="I515" s="285">
        <f t="shared" si="88"/>
        <v>1</v>
      </c>
      <c r="J515" s="293"/>
      <c r="K515" s="285">
        <f t="shared" si="89"/>
        <v>1</v>
      </c>
      <c r="L515" s="293"/>
      <c r="M515" s="285">
        <f t="shared" si="90"/>
        <v>1</v>
      </c>
      <c r="N515" s="293"/>
      <c r="O515" s="285">
        <f t="shared" si="91"/>
        <v>1</v>
      </c>
      <c r="P515" s="291" t="s">
        <v>3024</v>
      </c>
      <c r="Q515" s="285">
        <f t="shared" si="92"/>
        <v>0.97</v>
      </c>
      <c r="R515" s="285">
        <f t="shared" si="93"/>
        <v>26240</v>
      </c>
      <c r="S515" s="284">
        <f t="shared" si="94"/>
        <v>233</v>
      </c>
    </row>
    <row r="516" spans="1:19">
      <c r="A516" s="1061" t="str">
        <f>清单!D639</f>
        <v>C-5-2-302</v>
      </c>
      <c r="B516" s="1061">
        <f>清单!F639</f>
        <v>88.69</v>
      </c>
      <c r="C516" s="285">
        <f t="shared" si="85"/>
        <v>0.97</v>
      </c>
      <c r="D516" s="293"/>
      <c r="E516" s="285">
        <f t="shared" si="86"/>
        <v>1</v>
      </c>
      <c r="F516" s="293"/>
      <c r="G516" s="285">
        <f t="shared" si="87"/>
        <v>1</v>
      </c>
      <c r="H516" s="293"/>
      <c r="I516" s="285">
        <f t="shared" si="88"/>
        <v>1</v>
      </c>
      <c r="J516" s="293"/>
      <c r="K516" s="285">
        <f t="shared" si="89"/>
        <v>1</v>
      </c>
      <c r="L516" s="293"/>
      <c r="M516" s="285">
        <f t="shared" si="90"/>
        <v>1</v>
      </c>
      <c r="N516" s="293"/>
      <c r="O516" s="285">
        <f t="shared" si="91"/>
        <v>1</v>
      </c>
      <c r="P516" s="291" t="s">
        <v>3024</v>
      </c>
      <c r="Q516" s="285">
        <f t="shared" si="92"/>
        <v>0.97</v>
      </c>
      <c r="R516" s="285">
        <f t="shared" si="93"/>
        <v>26240</v>
      </c>
      <c r="S516" s="284">
        <f t="shared" si="94"/>
        <v>233</v>
      </c>
    </row>
    <row r="517" spans="1:19">
      <c r="A517" s="1061" t="str">
        <f>清单!D622</f>
        <v>C-5-1-601</v>
      </c>
      <c r="B517" s="1061">
        <f>清单!F622</f>
        <v>51.62</v>
      </c>
      <c r="C517" s="285">
        <f t="shared" si="85"/>
        <v>1</v>
      </c>
      <c r="D517" s="293"/>
      <c r="E517" s="285">
        <f t="shared" si="86"/>
        <v>1</v>
      </c>
      <c r="F517" s="293"/>
      <c r="G517" s="285">
        <f t="shared" si="87"/>
        <v>1</v>
      </c>
      <c r="H517" s="293"/>
      <c r="I517" s="285">
        <f t="shared" si="88"/>
        <v>1</v>
      </c>
      <c r="J517" s="293"/>
      <c r="K517" s="285">
        <f t="shared" si="89"/>
        <v>1</v>
      </c>
      <c r="L517" s="293"/>
      <c r="M517" s="285">
        <f t="shared" si="90"/>
        <v>1</v>
      </c>
      <c r="N517" s="293"/>
      <c r="O517" s="285">
        <f t="shared" si="91"/>
        <v>1</v>
      </c>
      <c r="P517" s="291" t="s">
        <v>3022</v>
      </c>
      <c r="Q517" s="285">
        <f t="shared" si="92"/>
        <v>1</v>
      </c>
      <c r="R517" s="285">
        <f t="shared" si="93"/>
        <v>27888</v>
      </c>
      <c r="S517" s="284">
        <f t="shared" si="94"/>
        <v>144</v>
      </c>
    </row>
    <row r="518" spans="1:19">
      <c r="A518" s="1061" t="str">
        <f>清单!D641</f>
        <v>C-5-2-402</v>
      </c>
      <c r="B518" s="1061">
        <f>清单!F641</f>
        <v>88.69</v>
      </c>
      <c r="C518" s="285">
        <f t="shared" si="85"/>
        <v>0.97</v>
      </c>
      <c r="D518" s="293"/>
      <c r="E518" s="285">
        <f t="shared" si="86"/>
        <v>1</v>
      </c>
      <c r="F518" s="293"/>
      <c r="G518" s="285">
        <f t="shared" si="87"/>
        <v>1</v>
      </c>
      <c r="H518" s="293"/>
      <c r="I518" s="285">
        <f t="shared" si="88"/>
        <v>1</v>
      </c>
      <c r="J518" s="293"/>
      <c r="K518" s="285">
        <f t="shared" si="89"/>
        <v>1</v>
      </c>
      <c r="L518" s="293"/>
      <c r="M518" s="285">
        <f t="shared" si="90"/>
        <v>1</v>
      </c>
      <c r="N518" s="293"/>
      <c r="O518" s="285">
        <f t="shared" si="91"/>
        <v>1</v>
      </c>
      <c r="P518" s="291" t="s">
        <v>3024</v>
      </c>
      <c r="Q518" s="285">
        <f t="shared" si="92"/>
        <v>0.97</v>
      </c>
      <c r="R518" s="285">
        <f t="shared" si="93"/>
        <v>26240</v>
      </c>
      <c r="S518" s="284">
        <f t="shared" si="94"/>
        <v>233</v>
      </c>
    </row>
    <row r="519" spans="1:19">
      <c r="A519" s="1061" t="str">
        <f>清单!D642</f>
        <v>C-5-2-501</v>
      </c>
      <c r="B519" s="1061">
        <f>清单!F642</f>
        <v>88.69</v>
      </c>
      <c r="C519" s="285">
        <f t="shared" si="85"/>
        <v>0.97</v>
      </c>
      <c r="D519" s="293"/>
      <c r="E519" s="285">
        <f t="shared" si="86"/>
        <v>1</v>
      </c>
      <c r="F519" s="293"/>
      <c r="G519" s="285">
        <f t="shared" si="87"/>
        <v>1</v>
      </c>
      <c r="H519" s="293"/>
      <c r="I519" s="285">
        <f t="shared" si="88"/>
        <v>1</v>
      </c>
      <c r="J519" s="293"/>
      <c r="K519" s="285">
        <f t="shared" si="89"/>
        <v>1</v>
      </c>
      <c r="L519" s="293"/>
      <c r="M519" s="285">
        <f t="shared" si="90"/>
        <v>1</v>
      </c>
      <c r="N519" s="293"/>
      <c r="O519" s="285">
        <f t="shared" si="91"/>
        <v>1</v>
      </c>
      <c r="P519" s="291" t="s">
        <v>3024</v>
      </c>
      <c r="Q519" s="285">
        <f t="shared" si="92"/>
        <v>0.97</v>
      </c>
      <c r="R519" s="285">
        <f t="shared" si="93"/>
        <v>26240</v>
      </c>
      <c r="S519" s="284">
        <f t="shared" si="94"/>
        <v>233</v>
      </c>
    </row>
    <row r="520" spans="1:19">
      <c r="A520" s="1061" t="str">
        <f>清单!D625</f>
        <v>C-5-1-701</v>
      </c>
      <c r="B520" s="1061">
        <f>清单!F625</f>
        <v>51.62</v>
      </c>
      <c r="C520" s="285">
        <f t="shared" si="85"/>
        <v>1</v>
      </c>
      <c r="D520" s="293"/>
      <c r="E520" s="285">
        <f t="shared" si="86"/>
        <v>1</v>
      </c>
      <c r="F520" s="293"/>
      <c r="G520" s="285">
        <f t="shared" si="87"/>
        <v>1</v>
      </c>
      <c r="H520" s="293"/>
      <c r="I520" s="285">
        <f t="shared" si="88"/>
        <v>1</v>
      </c>
      <c r="J520" s="293"/>
      <c r="K520" s="285">
        <f t="shared" si="89"/>
        <v>1</v>
      </c>
      <c r="L520" s="293"/>
      <c r="M520" s="285">
        <f t="shared" si="90"/>
        <v>1</v>
      </c>
      <c r="N520" s="293"/>
      <c r="O520" s="285">
        <f t="shared" si="91"/>
        <v>1</v>
      </c>
      <c r="P520" s="291" t="s">
        <v>3022</v>
      </c>
      <c r="Q520" s="285">
        <f t="shared" si="92"/>
        <v>1</v>
      </c>
      <c r="R520" s="285">
        <f t="shared" si="93"/>
        <v>27888</v>
      </c>
      <c r="S520" s="284">
        <f t="shared" si="94"/>
        <v>144</v>
      </c>
    </row>
    <row r="521" spans="1:19">
      <c r="A521" s="1061" t="str">
        <f>清单!D644</f>
        <v>C-5-2-601</v>
      </c>
      <c r="B521" s="1061">
        <f>清单!F644</f>
        <v>88.69</v>
      </c>
      <c r="C521" s="285">
        <f t="shared" si="85"/>
        <v>0.97</v>
      </c>
      <c r="D521" s="293"/>
      <c r="E521" s="285">
        <f t="shared" si="86"/>
        <v>1</v>
      </c>
      <c r="F521" s="293"/>
      <c r="G521" s="285">
        <f t="shared" si="87"/>
        <v>1</v>
      </c>
      <c r="H521" s="293"/>
      <c r="I521" s="285">
        <f t="shared" si="88"/>
        <v>1</v>
      </c>
      <c r="J521" s="293"/>
      <c r="K521" s="285">
        <f t="shared" si="89"/>
        <v>1</v>
      </c>
      <c r="L521" s="293"/>
      <c r="M521" s="285">
        <f t="shared" si="90"/>
        <v>1</v>
      </c>
      <c r="N521" s="293"/>
      <c r="O521" s="285">
        <f t="shared" si="91"/>
        <v>1</v>
      </c>
      <c r="P521" s="291" t="s">
        <v>3022</v>
      </c>
      <c r="Q521" s="285">
        <f t="shared" si="92"/>
        <v>1</v>
      </c>
      <c r="R521" s="285">
        <f t="shared" si="93"/>
        <v>27051</v>
      </c>
      <c r="S521" s="284">
        <f t="shared" si="94"/>
        <v>240</v>
      </c>
    </row>
    <row r="522" spans="1:19">
      <c r="A522" s="1061" t="str">
        <f>清单!D645</f>
        <v>C-5-2-602</v>
      </c>
      <c r="B522" s="1061">
        <f>清单!F645</f>
        <v>88.69</v>
      </c>
      <c r="C522" s="285">
        <f t="shared" si="85"/>
        <v>0.97</v>
      </c>
      <c r="D522" s="293"/>
      <c r="E522" s="285">
        <f t="shared" si="86"/>
        <v>1</v>
      </c>
      <c r="F522" s="293"/>
      <c r="G522" s="285">
        <f t="shared" si="87"/>
        <v>1</v>
      </c>
      <c r="H522" s="293"/>
      <c r="I522" s="285">
        <f t="shared" si="88"/>
        <v>1</v>
      </c>
      <c r="J522" s="293"/>
      <c r="K522" s="285">
        <f t="shared" si="89"/>
        <v>1</v>
      </c>
      <c r="L522" s="293"/>
      <c r="M522" s="285">
        <f t="shared" si="90"/>
        <v>1</v>
      </c>
      <c r="N522" s="293"/>
      <c r="O522" s="285">
        <f t="shared" si="91"/>
        <v>1</v>
      </c>
      <c r="P522" s="291" t="s">
        <v>3022</v>
      </c>
      <c r="Q522" s="285">
        <f t="shared" si="92"/>
        <v>1</v>
      </c>
      <c r="R522" s="285">
        <f t="shared" si="93"/>
        <v>27051</v>
      </c>
      <c r="S522" s="284">
        <f t="shared" si="94"/>
        <v>240</v>
      </c>
    </row>
    <row r="523" spans="1:19">
      <c r="A523" s="1061" t="str">
        <f>清单!D628</f>
        <v>C-5-1-801</v>
      </c>
      <c r="B523" s="1061">
        <f>清单!F628</f>
        <v>51.62</v>
      </c>
      <c r="C523" s="285">
        <f t="shared" si="85"/>
        <v>1</v>
      </c>
      <c r="D523" s="293"/>
      <c r="E523" s="285">
        <f t="shared" si="86"/>
        <v>1</v>
      </c>
      <c r="F523" s="293"/>
      <c r="G523" s="285">
        <f t="shared" si="87"/>
        <v>1</v>
      </c>
      <c r="H523" s="293"/>
      <c r="I523" s="285">
        <f t="shared" si="88"/>
        <v>1</v>
      </c>
      <c r="J523" s="293"/>
      <c r="K523" s="285">
        <f t="shared" si="89"/>
        <v>1</v>
      </c>
      <c r="L523" s="293"/>
      <c r="M523" s="285">
        <f t="shared" si="90"/>
        <v>1</v>
      </c>
      <c r="N523" s="293"/>
      <c r="O523" s="285">
        <f t="shared" si="91"/>
        <v>1</v>
      </c>
      <c r="P523" s="291" t="s">
        <v>3022</v>
      </c>
      <c r="Q523" s="285">
        <f t="shared" si="92"/>
        <v>1</v>
      </c>
      <c r="R523" s="285">
        <f t="shared" si="93"/>
        <v>27888</v>
      </c>
      <c r="S523" s="284">
        <f t="shared" si="94"/>
        <v>144</v>
      </c>
    </row>
    <row r="524" spans="1:19">
      <c r="A524" s="1061" t="str">
        <f>清单!D647</f>
        <v>C-5-2-702</v>
      </c>
      <c r="B524" s="1061">
        <f>清单!F647</f>
        <v>88.69</v>
      </c>
      <c r="C524" s="285">
        <f t="shared" si="85"/>
        <v>0.97</v>
      </c>
      <c r="D524" s="293"/>
      <c r="E524" s="285">
        <f t="shared" si="86"/>
        <v>1</v>
      </c>
      <c r="F524" s="293"/>
      <c r="G524" s="285">
        <f t="shared" si="87"/>
        <v>1</v>
      </c>
      <c r="H524" s="293"/>
      <c r="I524" s="285">
        <f t="shared" si="88"/>
        <v>1</v>
      </c>
      <c r="J524" s="293"/>
      <c r="K524" s="285">
        <f t="shared" si="89"/>
        <v>1</v>
      </c>
      <c r="L524" s="293"/>
      <c r="M524" s="285">
        <f t="shared" si="90"/>
        <v>1</v>
      </c>
      <c r="N524" s="293"/>
      <c r="O524" s="285">
        <f t="shared" si="91"/>
        <v>1</v>
      </c>
      <c r="P524" s="291" t="s">
        <v>3022</v>
      </c>
      <c r="Q524" s="285">
        <f t="shared" si="92"/>
        <v>1</v>
      </c>
      <c r="R524" s="285">
        <f t="shared" si="93"/>
        <v>27051</v>
      </c>
      <c r="S524" s="284">
        <f t="shared" si="94"/>
        <v>240</v>
      </c>
    </row>
    <row r="525" spans="1:19">
      <c r="A525" s="1061" t="str">
        <f>清单!D648</f>
        <v>C-5-2-801</v>
      </c>
      <c r="B525" s="1061">
        <f>清单!F648</f>
        <v>88.69</v>
      </c>
      <c r="C525" s="3093">
        <f t="shared" ref="C525:C577" si="95">IF(B525="",1,(LOOKUP(B525,$3:$3,$4:$4)-LOOKUP($B$24,$3:$3,$4:$4)+100)/100)</f>
        <v>0.97</v>
      </c>
      <c r="D525" s="293"/>
      <c r="E525" s="3093">
        <f t="shared" ref="E525:E577" si="96">(SUMIF($5:$5,D525,$6:$6)-SUMIF($5:$5,$D$24,$6:$6)+100)/100</f>
        <v>1</v>
      </c>
      <c r="F525" s="293"/>
      <c r="G525" s="3093">
        <f t="shared" ref="G525:G577" si="97">(SUMIF($7:$7,F525,$8:$8)-SUMIF($7:$7,$F$24,$8:$8)+100)/100</f>
        <v>1</v>
      </c>
      <c r="H525" s="293"/>
      <c r="I525" s="3093">
        <f t="shared" ref="I525:I577" si="98">(SUMIF($9:$9,H525,$10:$10)-SUMIF($9:$9,$H$24,$10:$10)+100)/100</f>
        <v>1</v>
      </c>
      <c r="J525" s="293"/>
      <c r="K525" s="3093">
        <f t="shared" ref="K525:K577" si="99">(SUMIF($11:$11,J525,$12:$12)-SUMIF($11:$11,$J$24,$12:$12)+100)/100</f>
        <v>1</v>
      </c>
      <c r="L525" s="293"/>
      <c r="M525" s="3093">
        <f t="shared" ref="M525:M577" si="100">(SUMIF($13:$13,L525,$14:$14)-SUMIF($13:$13,$L$24,$14:$14)+100)/100</f>
        <v>1</v>
      </c>
      <c r="N525" s="293"/>
      <c r="O525" s="3093">
        <f t="shared" ref="O525:O577" si="101">(SUMIF($15:$15,N525,$16:$16)-SUMIF($15:$15,$N$24,$16:$16)+100)/100</f>
        <v>1</v>
      </c>
      <c r="P525" s="291" t="s">
        <v>3022</v>
      </c>
      <c r="Q525" s="3093">
        <f t="shared" ref="Q525:Q577" si="102">(SUMIF($17:$17,P525,$18:$18)-SUMIF($17:$17,$P$24,$18:$18)+100)/100</f>
        <v>1</v>
      </c>
      <c r="R525" s="3093">
        <f t="shared" ref="R525:R577" si="103">IF(B525="",0,ROUND($R$24*C525*E525*G525*I525*K525*M525*O525*Q525,0))</f>
        <v>27051</v>
      </c>
      <c r="S525" s="1651">
        <f t="shared" ref="S525:S577" si="104">ROUND(R525*B525/10000,0)</f>
        <v>240</v>
      </c>
    </row>
    <row r="526" spans="1:19">
      <c r="A526" s="1061" t="str">
        <f>清单!D631</f>
        <v>C-5-1-901</v>
      </c>
      <c r="B526" s="1061">
        <f>清单!F631</f>
        <v>51.62</v>
      </c>
      <c r="C526" s="3093">
        <f t="shared" si="95"/>
        <v>1</v>
      </c>
      <c r="D526" s="293"/>
      <c r="E526" s="3093">
        <f t="shared" si="96"/>
        <v>1</v>
      </c>
      <c r="F526" s="293"/>
      <c r="G526" s="3093">
        <f t="shared" si="97"/>
        <v>1</v>
      </c>
      <c r="H526" s="293"/>
      <c r="I526" s="3093">
        <f t="shared" si="98"/>
        <v>1</v>
      </c>
      <c r="J526" s="293"/>
      <c r="K526" s="3093">
        <f t="shared" si="99"/>
        <v>1</v>
      </c>
      <c r="L526" s="293"/>
      <c r="M526" s="3093">
        <f t="shared" si="100"/>
        <v>1</v>
      </c>
      <c r="N526" s="293"/>
      <c r="O526" s="3093">
        <f t="shared" si="101"/>
        <v>1</v>
      </c>
      <c r="P526" s="291" t="s">
        <v>3022</v>
      </c>
      <c r="Q526" s="3093">
        <f t="shared" si="102"/>
        <v>1</v>
      </c>
      <c r="R526" s="3093">
        <f t="shared" si="103"/>
        <v>27888</v>
      </c>
      <c r="S526" s="1651">
        <f t="shared" si="104"/>
        <v>144</v>
      </c>
    </row>
    <row r="527" spans="1:19">
      <c r="A527" s="1061" t="str">
        <f>清单!D650</f>
        <v>C-5-2-901</v>
      </c>
      <c r="B527" s="1061">
        <f>清单!F650</f>
        <v>88.69</v>
      </c>
      <c r="C527" s="3093">
        <f t="shared" si="95"/>
        <v>0.97</v>
      </c>
      <c r="D527" s="293"/>
      <c r="E527" s="3093">
        <f t="shared" si="96"/>
        <v>1</v>
      </c>
      <c r="F527" s="293"/>
      <c r="G527" s="3093">
        <f t="shared" si="97"/>
        <v>1</v>
      </c>
      <c r="H527" s="293"/>
      <c r="I527" s="3093">
        <f t="shared" si="98"/>
        <v>1</v>
      </c>
      <c r="J527" s="293"/>
      <c r="K527" s="3093">
        <f t="shared" si="99"/>
        <v>1</v>
      </c>
      <c r="L527" s="293"/>
      <c r="M527" s="3093">
        <f t="shared" si="100"/>
        <v>1</v>
      </c>
      <c r="N527" s="293"/>
      <c r="O527" s="3093">
        <f t="shared" si="101"/>
        <v>1</v>
      </c>
      <c r="P527" s="291" t="s">
        <v>3022</v>
      </c>
      <c r="Q527" s="3093">
        <f t="shared" si="102"/>
        <v>1</v>
      </c>
      <c r="R527" s="3093">
        <f t="shared" si="103"/>
        <v>27051</v>
      </c>
      <c r="S527" s="1651">
        <f t="shared" si="104"/>
        <v>240</v>
      </c>
    </row>
    <row r="528" spans="1:19">
      <c r="A528" s="1061" t="str">
        <f>清单!D651</f>
        <v>C-5-2-902</v>
      </c>
      <c r="B528" s="1061">
        <f>清单!F651</f>
        <v>88.69</v>
      </c>
      <c r="C528" s="3093">
        <f t="shared" si="95"/>
        <v>0.97</v>
      </c>
      <c r="D528" s="293"/>
      <c r="E528" s="3093">
        <f t="shared" si="96"/>
        <v>1</v>
      </c>
      <c r="F528" s="293"/>
      <c r="G528" s="3093">
        <f t="shared" si="97"/>
        <v>1</v>
      </c>
      <c r="H528" s="293"/>
      <c r="I528" s="3093">
        <f t="shared" si="98"/>
        <v>1</v>
      </c>
      <c r="J528" s="293"/>
      <c r="K528" s="3093">
        <f t="shared" si="99"/>
        <v>1</v>
      </c>
      <c r="L528" s="293"/>
      <c r="M528" s="3093">
        <f t="shared" si="100"/>
        <v>1</v>
      </c>
      <c r="N528" s="293"/>
      <c r="O528" s="3093">
        <f t="shared" si="101"/>
        <v>1</v>
      </c>
      <c r="P528" s="291" t="s">
        <v>3022</v>
      </c>
      <c r="Q528" s="3093">
        <f t="shared" si="102"/>
        <v>1</v>
      </c>
      <c r="R528" s="3093">
        <f t="shared" si="103"/>
        <v>27051</v>
      </c>
      <c r="S528" s="1651">
        <f t="shared" si="104"/>
        <v>240</v>
      </c>
    </row>
    <row r="529" spans="1:19">
      <c r="A529" s="1061" t="str">
        <f>清单!D634</f>
        <v>C-5-2-101</v>
      </c>
      <c r="B529" s="1061">
        <f>清单!F634</f>
        <v>88.56</v>
      </c>
      <c r="C529" s="3093">
        <f t="shared" si="95"/>
        <v>0.97</v>
      </c>
      <c r="D529" s="293"/>
      <c r="E529" s="3093">
        <f t="shared" si="96"/>
        <v>1</v>
      </c>
      <c r="F529" s="293"/>
      <c r="G529" s="3093">
        <f t="shared" si="97"/>
        <v>1</v>
      </c>
      <c r="H529" s="293"/>
      <c r="I529" s="3093">
        <f t="shared" si="98"/>
        <v>1</v>
      </c>
      <c r="J529" s="293"/>
      <c r="K529" s="3093">
        <f t="shared" si="99"/>
        <v>1</v>
      </c>
      <c r="L529" s="293"/>
      <c r="M529" s="3093">
        <f t="shared" si="100"/>
        <v>1</v>
      </c>
      <c r="N529" s="293"/>
      <c r="O529" s="3093">
        <f t="shared" si="101"/>
        <v>1</v>
      </c>
      <c r="P529" s="291" t="s">
        <v>3024</v>
      </c>
      <c r="Q529" s="3093">
        <f t="shared" si="102"/>
        <v>0.97</v>
      </c>
      <c r="R529" s="3093">
        <f t="shared" si="103"/>
        <v>26240</v>
      </c>
      <c r="S529" s="1651">
        <f t="shared" si="104"/>
        <v>232</v>
      </c>
    </row>
    <row r="530" spans="1:19">
      <c r="A530" s="1061" t="str">
        <f>清单!D653</f>
        <v>C-5-3-1002</v>
      </c>
      <c r="B530" s="1061">
        <f>清单!F653</f>
        <v>88.69</v>
      </c>
      <c r="C530" s="3093">
        <f t="shared" si="95"/>
        <v>0.97</v>
      </c>
      <c r="D530" s="293"/>
      <c r="E530" s="3093">
        <f t="shared" si="96"/>
        <v>1</v>
      </c>
      <c r="F530" s="293"/>
      <c r="G530" s="3093">
        <f t="shared" si="97"/>
        <v>1</v>
      </c>
      <c r="H530" s="293"/>
      <c r="I530" s="3093">
        <f t="shared" si="98"/>
        <v>1</v>
      </c>
      <c r="J530" s="293"/>
      <c r="K530" s="3093">
        <f t="shared" si="99"/>
        <v>1</v>
      </c>
      <c r="L530" s="293"/>
      <c r="M530" s="3093">
        <f t="shared" si="100"/>
        <v>1</v>
      </c>
      <c r="N530" s="293"/>
      <c r="O530" s="3093">
        <f t="shared" si="101"/>
        <v>1</v>
      </c>
      <c r="P530" s="291" t="s">
        <v>3022</v>
      </c>
      <c r="Q530" s="3093">
        <f t="shared" si="102"/>
        <v>1</v>
      </c>
      <c r="R530" s="3093">
        <f t="shared" si="103"/>
        <v>27051</v>
      </c>
      <c r="S530" s="1651">
        <f t="shared" si="104"/>
        <v>240</v>
      </c>
    </row>
    <row r="531" spans="1:19">
      <c r="A531" s="1061" t="str">
        <f>清单!D654</f>
        <v>C-5-3-101</v>
      </c>
      <c r="B531" s="1061">
        <f>清单!F654</f>
        <v>88.69</v>
      </c>
      <c r="C531" s="3093">
        <f t="shared" si="95"/>
        <v>0.97</v>
      </c>
      <c r="D531" s="293"/>
      <c r="E531" s="3093">
        <f t="shared" si="96"/>
        <v>1</v>
      </c>
      <c r="F531" s="293"/>
      <c r="G531" s="3093">
        <f t="shared" si="97"/>
        <v>1</v>
      </c>
      <c r="H531" s="293"/>
      <c r="I531" s="3093">
        <f t="shared" si="98"/>
        <v>1</v>
      </c>
      <c r="J531" s="293"/>
      <c r="K531" s="3093">
        <f t="shared" si="99"/>
        <v>1</v>
      </c>
      <c r="L531" s="293"/>
      <c r="M531" s="3093">
        <f t="shared" si="100"/>
        <v>1</v>
      </c>
      <c r="N531" s="293"/>
      <c r="O531" s="3093">
        <f t="shared" si="101"/>
        <v>1</v>
      </c>
      <c r="P531" s="291" t="s">
        <v>3024</v>
      </c>
      <c r="Q531" s="3093">
        <f t="shared" si="102"/>
        <v>0.97</v>
      </c>
      <c r="R531" s="3093">
        <f t="shared" si="103"/>
        <v>26240</v>
      </c>
      <c r="S531" s="1651">
        <f t="shared" si="104"/>
        <v>233</v>
      </c>
    </row>
    <row r="532" spans="1:19">
      <c r="A532" s="1061" t="str">
        <f>清单!D637</f>
        <v>C-5-2-202</v>
      </c>
      <c r="B532" s="1061">
        <f>清单!F637</f>
        <v>88.69</v>
      </c>
      <c r="C532" s="3093">
        <f t="shared" si="95"/>
        <v>0.97</v>
      </c>
      <c r="D532" s="293"/>
      <c r="E532" s="3093">
        <f t="shared" si="96"/>
        <v>1</v>
      </c>
      <c r="F532" s="293"/>
      <c r="G532" s="3093">
        <f t="shared" si="97"/>
        <v>1</v>
      </c>
      <c r="H532" s="293"/>
      <c r="I532" s="3093">
        <f t="shared" si="98"/>
        <v>1</v>
      </c>
      <c r="J532" s="293"/>
      <c r="K532" s="3093">
        <f t="shared" si="99"/>
        <v>1</v>
      </c>
      <c r="L532" s="293"/>
      <c r="M532" s="3093">
        <f t="shared" si="100"/>
        <v>1</v>
      </c>
      <c r="N532" s="293"/>
      <c r="O532" s="3093">
        <f t="shared" si="101"/>
        <v>1</v>
      </c>
      <c r="P532" s="291" t="s">
        <v>3024</v>
      </c>
      <c r="Q532" s="3093">
        <f t="shared" si="102"/>
        <v>0.97</v>
      </c>
      <c r="R532" s="3093">
        <f t="shared" si="103"/>
        <v>26240</v>
      </c>
      <c r="S532" s="1651">
        <f t="shared" si="104"/>
        <v>233</v>
      </c>
    </row>
    <row r="533" spans="1:19">
      <c r="A533" s="1061" t="str">
        <f>清单!D656</f>
        <v>C-5-3-201</v>
      </c>
      <c r="B533" s="1061">
        <f>清单!F656</f>
        <v>88.69</v>
      </c>
      <c r="C533" s="3093">
        <f t="shared" si="95"/>
        <v>0.97</v>
      </c>
      <c r="D533" s="293"/>
      <c r="E533" s="3093">
        <f t="shared" si="96"/>
        <v>1</v>
      </c>
      <c r="F533" s="293"/>
      <c r="G533" s="3093">
        <f t="shared" si="97"/>
        <v>1</v>
      </c>
      <c r="H533" s="293"/>
      <c r="I533" s="3093">
        <f t="shared" si="98"/>
        <v>1</v>
      </c>
      <c r="J533" s="293"/>
      <c r="K533" s="3093">
        <f t="shared" si="99"/>
        <v>1</v>
      </c>
      <c r="L533" s="293"/>
      <c r="M533" s="3093">
        <f t="shared" si="100"/>
        <v>1</v>
      </c>
      <c r="N533" s="293"/>
      <c r="O533" s="3093">
        <f t="shared" si="101"/>
        <v>1</v>
      </c>
      <c r="P533" s="291" t="s">
        <v>3024</v>
      </c>
      <c r="Q533" s="3093">
        <f t="shared" si="102"/>
        <v>0.97</v>
      </c>
      <c r="R533" s="3093">
        <f t="shared" si="103"/>
        <v>26240</v>
      </c>
      <c r="S533" s="1651">
        <f t="shared" si="104"/>
        <v>233</v>
      </c>
    </row>
    <row r="534" spans="1:19">
      <c r="A534" s="1061" t="str">
        <f>清单!D657</f>
        <v>C-5-3-202</v>
      </c>
      <c r="B534" s="1061">
        <f>清单!F657</f>
        <v>88.69</v>
      </c>
      <c r="C534" s="3093">
        <f t="shared" si="95"/>
        <v>0.97</v>
      </c>
      <c r="D534" s="293"/>
      <c r="E534" s="3093">
        <f t="shared" si="96"/>
        <v>1</v>
      </c>
      <c r="F534" s="293"/>
      <c r="G534" s="3093">
        <f t="shared" si="97"/>
        <v>1</v>
      </c>
      <c r="H534" s="293"/>
      <c r="I534" s="3093">
        <f t="shared" si="98"/>
        <v>1</v>
      </c>
      <c r="J534" s="293"/>
      <c r="K534" s="3093">
        <f t="shared" si="99"/>
        <v>1</v>
      </c>
      <c r="L534" s="293"/>
      <c r="M534" s="3093">
        <f t="shared" si="100"/>
        <v>1</v>
      </c>
      <c r="N534" s="293"/>
      <c r="O534" s="3093">
        <f t="shared" si="101"/>
        <v>1</v>
      </c>
      <c r="P534" s="291" t="s">
        <v>3024</v>
      </c>
      <c r="Q534" s="3093">
        <f t="shared" si="102"/>
        <v>0.97</v>
      </c>
      <c r="R534" s="3093">
        <f t="shared" si="103"/>
        <v>26240</v>
      </c>
      <c r="S534" s="1651">
        <f t="shared" si="104"/>
        <v>233</v>
      </c>
    </row>
    <row r="535" spans="1:19">
      <c r="A535" s="1061" t="str">
        <f>清单!D640</f>
        <v>C-5-2-401</v>
      </c>
      <c r="B535" s="1061">
        <f>清单!F640</f>
        <v>88.69</v>
      </c>
      <c r="C535" s="3093">
        <f t="shared" si="95"/>
        <v>0.97</v>
      </c>
      <c r="D535" s="293"/>
      <c r="E535" s="3093">
        <f t="shared" si="96"/>
        <v>1</v>
      </c>
      <c r="F535" s="293"/>
      <c r="G535" s="3093">
        <f t="shared" si="97"/>
        <v>1</v>
      </c>
      <c r="H535" s="293"/>
      <c r="I535" s="3093">
        <f t="shared" si="98"/>
        <v>1</v>
      </c>
      <c r="J535" s="293"/>
      <c r="K535" s="3093">
        <f t="shared" si="99"/>
        <v>1</v>
      </c>
      <c r="L535" s="293"/>
      <c r="M535" s="3093">
        <f t="shared" si="100"/>
        <v>1</v>
      </c>
      <c r="N535" s="293"/>
      <c r="O535" s="3093">
        <f t="shared" si="101"/>
        <v>1</v>
      </c>
      <c r="P535" s="291" t="s">
        <v>3024</v>
      </c>
      <c r="Q535" s="3093">
        <f t="shared" si="102"/>
        <v>0.97</v>
      </c>
      <c r="R535" s="3093">
        <f t="shared" si="103"/>
        <v>26240</v>
      </c>
      <c r="S535" s="1651">
        <f t="shared" si="104"/>
        <v>233</v>
      </c>
    </row>
    <row r="536" spans="1:19">
      <c r="A536" s="1061" t="str">
        <f>清单!D659</f>
        <v>C-5-3-302</v>
      </c>
      <c r="B536" s="1061">
        <f>清单!F659</f>
        <v>88.69</v>
      </c>
      <c r="C536" s="3093">
        <f t="shared" si="95"/>
        <v>0.97</v>
      </c>
      <c r="D536" s="293"/>
      <c r="E536" s="3093">
        <f t="shared" si="96"/>
        <v>1</v>
      </c>
      <c r="F536" s="293"/>
      <c r="G536" s="3093">
        <f t="shared" si="97"/>
        <v>1</v>
      </c>
      <c r="H536" s="293"/>
      <c r="I536" s="3093">
        <f t="shared" si="98"/>
        <v>1</v>
      </c>
      <c r="J536" s="293"/>
      <c r="K536" s="3093">
        <f t="shared" si="99"/>
        <v>1</v>
      </c>
      <c r="L536" s="293"/>
      <c r="M536" s="3093">
        <f t="shared" si="100"/>
        <v>1</v>
      </c>
      <c r="N536" s="293"/>
      <c r="O536" s="3093">
        <f t="shared" si="101"/>
        <v>1</v>
      </c>
      <c r="P536" s="291" t="s">
        <v>3024</v>
      </c>
      <c r="Q536" s="3093">
        <f t="shared" si="102"/>
        <v>0.97</v>
      </c>
      <c r="R536" s="3093">
        <f t="shared" si="103"/>
        <v>26240</v>
      </c>
      <c r="S536" s="1651">
        <f t="shared" si="104"/>
        <v>233</v>
      </c>
    </row>
    <row r="537" spans="1:19">
      <c r="A537" s="1061" t="str">
        <f>清单!D660</f>
        <v>C-5-3-401</v>
      </c>
      <c r="B537" s="1061">
        <f>清单!F660</f>
        <v>88.69</v>
      </c>
      <c r="C537" s="3093">
        <f t="shared" si="95"/>
        <v>0.97</v>
      </c>
      <c r="D537" s="293"/>
      <c r="E537" s="3093">
        <f t="shared" si="96"/>
        <v>1</v>
      </c>
      <c r="F537" s="293"/>
      <c r="G537" s="3093">
        <f t="shared" si="97"/>
        <v>1</v>
      </c>
      <c r="H537" s="293"/>
      <c r="I537" s="3093">
        <f t="shared" si="98"/>
        <v>1</v>
      </c>
      <c r="J537" s="293"/>
      <c r="K537" s="3093">
        <f t="shared" si="99"/>
        <v>1</v>
      </c>
      <c r="L537" s="293"/>
      <c r="M537" s="3093">
        <f t="shared" si="100"/>
        <v>1</v>
      </c>
      <c r="N537" s="293"/>
      <c r="O537" s="3093">
        <f t="shared" si="101"/>
        <v>1</v>
      </c>
      <c r="P537" s="291" t="s">
        <v>3024</v>
      </c>
      <c r="Q537" s="3093">
        <f t="shared" si="102"/>
        <v>0.97</v>
      </c>
      <c r="R537" s="3093">
        <f t="shared" si="103"/>
        <v>26240</v>
      </c>
      <c r="S537" s="1651">
        <f t="shared" si="104"/>
        <v>233</v>
      </c>
    </row>
    <row r="538" spans="1:19">
      <c r="A538" s="1061" t="str">
        <f>清单!D643</f>
        <v>C-5-2-502</v>
      </c>
      <c r="B538" s="1061">
        <f>清单!F643</f>
        <v>88.69</v>
      </c>
      <c r="C538" s="3093">
        <f t="shared" si="95"/>
        <v>0.97</v>
      </c>
      <c r="D538" s="293"/>
      <c r="E538" s="3093">
        <f t="shared" si="96"/>
        <v>1</v>
      </c>
      <c r="F538" s="293"/>
      <c r="G538" s="3093">
        <f t="shared" si="97"/>
        <v>1</v>
      </c>
      <c r="H538" s="293"/>
      <c r="I538" s="3093">
        <f t="shared" si="98"/>
        <v>1</v>
      </c>
      <c r="J538" s="293"/>
      <c r="K538" s="3093">
        <f t="shared" si="99"/>
        <v>1</v>
      </c>
      <c r="L538" s="293"/>
      <c r="M538" s="3093">
        <f t="shared" si="100"/>
        <v>1</v>
      </c>
      <c r="N538" s="293"/>
      <c r="O538" s="3093">
        <f t="shared" si="101"/>
        <v>1</v>
      </c>
      <c r="P538" s="291" t="s">
        <v>3024</v>
      </c>
      <c r="Q538" s="3093">
        <f t="shared" si="102"/>
        <v>0.97</v>
      </c>
      <c r="R538" s="3093">
        <f t="shared" si="103"/>
        <v>26240</v>
      </c>
      <c r="S538" s="1651">
        <f t="shared" si="104"/>
        <v>233</v>
      </c>
    </row>
    <row r="539" spans="1:19">
      <c r="A539" s="1061" t="str">
        <f>清单!D662</f>
        <v>C-5-3-501</v>
      </c>
      <c r="B539" s="1061">
        <f>清单!F662</f>
        <v>88.69</v>
      </c>
      <c r="C539" s="3093">
        <f t="shared" si="95"/>
        <v>0.97</v>
      </c>
      <c r="D539" s="293"/>
      <c r="E539" s="3093">
        <f t="shared" si="96"/>
        <v>1</v>
      </c>
      <c r="F539" s="293"/>
      <c r="G539" s="3093">
        <f t="shared" si="97"/>
        <v>1</v>
      </c>
      <c r="H539" s="293"/>
      <c r="I539" s="3093">
        <f t="shared" si="98"/>
        <v>1</v>
      </c>
      <c r="J539" s="293"/>
      <c r="K539" s="3093">
        <f t="shared" si="99"/>
        <v>1</v>
      </c>
      <c r="L539" s="293"/>
      <c r="M539" s="3093">
        <f t="shared" si="100"/>
        <v>1</v>
      </c>
      <c r="N539" s="293"/>
      <c r="O539" s="3093">
        <f t="shared" si="101"/>
        <v>1</v>
      </c>
      <c r="P539" s="291" t="s">
        <v>3024</v>
      </c>
      <c r="Q539" s="3093">
        <f t="shared" si="102"/>
        <v>0.97</v>
      </c>
      <c r="R539" s="3093">
        <f t="shared" si="103"/>
        <v>26240</v>
      </c>
      <c r="S539" s="1651">
        <f t="shared" si="104"/>
        <v>233</v>
      </c>
    </row>
    <row r="540" spans="1:19">
      <c r="A540" s="1061" t="str">
        <f>清单!D663</f>
        <v>C-5-3-502</v>
      </c>
      <c r="B540" s="1061">
        <f>清单!F663</f>
        <v>88.69</v>
      </c>
      <c r="C540" s="3093">
        <f t="shared" si="95"/>
        <v>0.97</v>
      </c>
      <c r="D540" s="293"/>
      <c r="E540" s="3093">
        <f t="shared" si="96"/>
        <v>1</v>
      </c>
      <c r="F540" s="293"/>
      <c r="G540" s="3093">
        <f t="shared" si="97"/>
        <v>1</v>
      </c>
      <c r="H540" s="293"/>
      <c r="I540" s="3093">
        <f t="shared" si="98"/>
        <v>1</v>
      </c>
      <c r="J540" s="293"/>
      <c r="K540" s="3093">
        <f t="shared" si="99"/>
        <v>1</v>
      </c>
      <c r="L540" s="293"/>
      <c r="M540" s="3093">
        <f t="shared" si="100"/>
        <v>1</v>
      </c>
      <c r="N540" s="293"/>
      <c r="O540" s="3093">
        <f t="shared" si="101"/>
        <v>1</v>
      </c>
      <c r="P540" s="291" t="s">
        <v>3024</v>
      </c>
      <c r="Q540" s="3093">
        <f t="shared" si="102"/>
        <v>0.97</v>
      </c>
      <c r="R540" s="3093">
        <f t="shared" si="103"/>
        <v>26240</v>
      </c>
      <c r="S540" s="1651">
        <f t="shared" si="104"/>
        <v>233</v>
      </c>
    </row>
    <row r="541" spans="1:19">
      <c r="A541" s="1061" t="str">
        <f>清单!D646</f>
        <v>C-5-2-701</v>
      </c>
      <c r="B541" s="1061">
        <f>清单!F646</f>
        <v>88.69</v>
      </c>
      <c r="C541" s="3093">
        <f t="shared" si="95"/>
        <v>0.97</v>
      </c>
      <c r="D541" s="293"/>
      <c r="E541" s="3093">
        <f t="shared" si="96"/>
        <v>1</v>
      </c>
      <c r="F541" s="293"/>
      <c r="G541" s="3093">
        <f t="shared" si="97"/>
        <v>1</v>
      </c>
      <c r="H541" s="293"/>
      <c r="I541" s="3093">
        <f t="shared" si="98"/>
        <v>1</v>
      </c>
      <c r="J541" s="293"/>
      <c r="K541" s="3093">
        <f t="shared" si="99"/>
        <v>1</v>
      </c>
      <c r="L541" s="293"/>
      <c r="M541" s="3093">
        <f t="shared" si="100"/>
        <v>1</v>
      </c>
      <c r="N541" s="293"/>
      <c r="O541" s="3093">
        <f t="shared" si="101"/>
        <v>1</v>
      </c>
      <c r="P541" s="291" t="s">
        <v>3022</v>
      </c>
      <c r="Q541" s="3093">
        <f t="shared" si="102"/>
        <v>1</v>
      </c>
      <c r="R541" s="3093">
        <f t="shared" si="103"/>
        <v>27051</v>
      </c>
      <c r="S541" s="1651">
        <f t="shared" si="104"/>
        <v>240</v>
      </c>
    </row>
    <row r="542" spans="1:19">
      <c r="A542" s="1061" t="str">
        <f>清单!D665</f>
        <v>C-5-3-602</v>
      </c>
      <c r="B542" s="1061">
        <f>清单!F665</f>
        <v>88.69</v>
      </c>
      <c r="C542" s="3093">
        <f t="shared" si="95"/>
        <v>0.97</v>
      </c>
      <c r="D542" s="293"/>
      <c r="E542" s="3093">
        <f t="shared" si="96"/>
        <v>1</v>
      </c>
      <c r="F542" s="293"/>
      <c r="G542" s="3093">
        <f t="shared" si="97"/>
        <v>1</v>
      </c>
      <c r="H542" s="293"/>
      <c r="I542" s="3093">
        <f t="shared" si="98"/>
        <v>1</v>
      </c>
      <c r="J542" s="293"/>
      <c r="K542" s="3093">
        <f t="shared" si="99"/>
        <v>1</v>
      </c>
      <c r="L542" s="293"/>
      <c r="M542" s="3093">
        <f t="shared" si="100"/>
        <v>1</v>
      </c>
      <c r="N542" s="293"/>
      <c r="O542" s="3093">
        <f t="shared" si="101"/>
        <v>1</v>
      </c>
      <c r="P542" s="291" t="s">
        <v>3022</v>
      </c>
      <c r="Q542" s="3093">
        <f t="shared" si="102"/>
        <v>1</v>
      </c>
      <c r="R542" s="3093">
        <f t="shared" si="103"/>
        <v>27051</v>
      </c>
      <c r="S542" s="1651">
        <f t="shared" si="104"/>
        <v>240</v>
      </c>
    </row>
    <row r="543" spans="1:19">
      <c r="A543" s="1061" t="str">
        <f>清单!D666</f>
        <v>C-5-3-701</v>
      </c>
      <c r="B543" s="1061">
        <f>清单!F666</f>
        <v>88.69</v>
      </c>
      <c r="C543" s="3093">
        <f t="shared" si="95"/>
        <v>0.97</v>
      </c>
      <c r="D543" s="293"/>
      <c r="E543" s="3093">
        <f t="shared" si="96"/>
        <v>1</v>
      </c>
      <c r="F543" s="293"/>
      <c r="G543" s="3093">
        <f t="shared" si="97"/>
        <v>1</v>
      </c>
      <c r="H543" s="293"/>
      <c r="I543" s="3093">
        <f t="shared" si="98"/>
        <v>1</v>
      </c>
      <c r="J543" s="293"/>
      <c r="K543" s="3093">
        <f t="shared" si="99"/>
        <v>1</v>
      </c>
      <c r="L543" s="293"/>
      <c r="M543" s="3093">
        <f t="shared" si="100"/>
        <v>1</v>
      </c>
      <c r="N543" s="293"/>
      <c r="O543" s="3093">
        <f t="shared" si="101"/>
        <v>1</v>
      </c>
      <c r="P543" s="291" t="s">
        <v>3022</v>
      </c>
      <c r="Q543" s="3093">
        <f t="shared" si="102"/>
        <v>1</v>
      </c>
      <c r="R543" s="3093">
        <f t="shared" si="103"/>
        <v>27051</v>
      </c>
      <c r="S543" s="1651">
        <f t="shared" si="104"/>
        <v>240</v>
      </c>
    </row>
    <row r="544" spans="1:19">
      <c r="A544" s="1061" t="str">
        <f>清单!D649</f>
        <v>C-5-2-802</v>
      </c>
      <c r="B544" s="1061">
        <f>清单!F649</f>
        <v>88.69</v>
      </c>
      <c r="C544" s="3093">
        <f t="shared" si="95"/>
        <v>0.97</v>
      </c>
      <c r="D544" s="293"/>
      <c r="E544" s="3093">
        <f t="shared" si="96"/>
        <v>1</v>
      </c>
      <c r="F544" s="293"/>
      <c r="G544" s="3093">
        <f t="shared" si="97"/>
        <v>1</v>
      </c>
      <c r="H544" s="293"/>
      <c r="I544" s="3093">
        <f t="shared" si="98"/>
        <v>1</v>
      </c>
      <c r="J544" s="293"/>
      <c r="K544" s="3093">
        <f t="shared" si="99"/>
        <v>1</v>
      </c>
      <c r="L544" s="293"/>
      <c r="M544" s="3093">
        <f t="shared" si="100"/>
        <v>1</v>
      </c>
      <c r="N544" s="293"/>
      <c r="O544" s="3093">
        <f t="shared" si="101"/>
        <v>1</v>
      </c>
      <c r="P544" s="291" t="s">
        <v>3022</v>
      </c>
      <c r="Q544" s="3093">
        <f t="shared" si="102"/>
        <v>1</v>
      </c>
      <c r="R544" s="3093">
        <f t="shared" si="103"/>
        <v>27051</v>
      </c>
      <c r="S544" s="1651">
        <f t="shared" si="104"/>
        <v>240</v>
      </c>
    </row>
    <row r="545" spans="1:19">
      <c r="A545" s="1061" t="str">
        <f>清单!D668</f>
        <v>C-5-3-801</v>
      </c>
      <c r="B545" s="1061">
        <f>清单!F668</f>
        <v>88.69</v>
      </c>
      <c r="C545" s="3093">
        <f t="shared" si="95"/>
        <v>0.97</v>
      </c>
      <c r="D545" s="293"/>
      <c r="E545" s="3093">
        <f t="shared" si="96"/>
        <v>1</v>
      </c>
      <c r="F545" s="293"/>
      <c r="G545" s="3093">
        <f t="shared" si="97"/>
        <v>1</v>
      </c>
      <c r="H545" s="293"/>
      <c r="I545" s="3093">
        <f t="shared" si="98"/>
        <v>1</v>
      </c>
      <c r="J545" s="293"/>
      <c r="K545" s="3093">
        <f t="shared" si="99"/>
        <v>1</v>
      </c>
      <c r="L545" s="293"/>
      <c r="M545" s="3093">
        <f t="shared" si="100"/>
        <v>1</v>
      </c>
      <c r="N545" s="293"/>
      <c r="O545" s="3093">
        <f t="shared" si="101"/>
        <v>1</v>
      </c>
      <c r="P545" s="291" t="s">
        <v>3022</v>
      </c>
      <c r="Q545" s="3093">
        <f t="shared" si="102"/>
        <v>1</v>
      </c>
      <c r="R545" s="3093">
        <f t="shared" si="103"/>
        <v>27051</v>
      </c>
      <c r="S545" s="1651">
        <f t="shared" si="104"/>
        <v>240</v>
      </c>
    </row>
    <row r="546" spans="1:19">
      <c r="A546" s="1061" t="str">
        <f>清单!D669</f>
        <v>C-5-3-802</v>
      </c>
      <c r="B546" s="1061">
        <f>清单!F669</f>
        <v>88.69</v>
      </c>
      <c r="C546" s="3093">
        <f t="shared" si="95"/>
        <v>0.97</v>
      </c>
      <c r="D546" s="293"/>
      <c r="E546" s="3093">
        <f t="shared" si="96"/>
        <v>1</v>
      </c>
      <c r="F546" s="293"/>
      <c r="G546" s="3093">
        <f t="shared" si="97"/>
        <v>1</v>
      </c>
      <c r="H546" s="293"/>
      <c r="I546" s="3093">
        <f t="shared" si="98"/>
        <v>1</v>
      </c>
      <c r="J546" s="293"/>
      <c r="K546" s="3093">
        <f t="shared" si="99"/>
        <v>1</v>
      </c>
      <c r="L546" s="293"/>
      <c r="M546" s="3093">
        <f t="shared" si="100"/>
        <v>1</v>
      </c>
      <c r="N546" s="293"/>
      <c r="O546" s="3093">
        <f t="shared" si="101"/>
        <v>1</v>
      </c>
      <c r="P546" s="291" t="s">
        <v>3022</v>
      </c>
      <c r="Q546" s="3093">
        <f t="shared" si="102"/>
        <v>1</v>
      </c>
      <c r="R546" s="3093">
        <f t="shared" si="103"/>
        <v>27051</v>
      </c>
      <c r="S546" s="1651">
        <f t="shared" si="104"/>
        <v>240</v>
      </c>
    </row>
    <row r="547" spans="1:19">
      <c r="A547" s="1061" t="str">
        <f>清单!D652</f>
        <v>C-5-3-1001</v>
      </c>
      <c r="B547" s="1061">
        <f>清单!F652</f>
        <v>89.04</v>
      </c>
      <c r="C547" s="3093">
        <f t="shared" si="95"/>
        <v>0.97</v>
      </c>
      <c r="D547" s="293"/>
      <c r="E547" s="3093">
        <f t="shared" si="96"/>
        <v>1</v>
      </c>
      <c r="F547" s="293"/>
      <c r="G547" s="3093">
        <f t="shared" si="97"/>
        <v>1</v>
      </c>
      <c r="H547" s="293"/>
      <c r="I547" s="3093">
        <f t="shared" si="98"/>
        <v>1</v>
      </c>
      <c r="J547" s="293"/>
      <c r="K547" s="3093">
        <f t="shared" si="99"/>
        <v>1</v>
      </c>
      <c r="L547" s="293"/>
      <c r="M547" s="3093">
        <f t="shared" si="100"/>
        <v>1</v>
      </c>
      <c r="N547" s="293"/>
      <c r="O547" s="3093">
        <f t="shared" si="101"/>
        <v>1</v>
      </c>
      <c r="P547" s="291" t="s">
        <v>3022</v>
      </c>
      <c r="Q547" s="3093">
        <f t="shared" si="102"/>
        <v>1</v>
      </c>
      <c r="R547" s="3093">
        <f t="shared" si="103"/>
        <v>27051</v>
      </c>
      <c r="S547" s="1651">
        <f t="shared" si="104"/>
        <v>241</v>
      </c>
    </row>
    <row r="548" spans="1:19">
      <c r="A548" s="1061" t="str">
        <f>清单!D671</f>
        <v>C-5-3-902</v>
      </c>
      <c r="B548" s="1061">
        <f>清单!F671</f>
        <v>88.69</v>
      </c>
      <c r="C548" s="3093">
        <f t="shared" si="95"/>
        <v>0.97</v>
      </c>
      <c r="D548" s="293"/>
      <c r="E548" s="3093">
        <f t="shared" si="96"/>
        <v>1</v>
      </c>
      <c r="F548" s="293"/>
      <c r="G548" s="3093">
        <f t="shared" si="97"/>
        <v>1</v>
      </c>
      <c r="H548" s="293"/>
      <c r="I548" s="3093">
        <f t="shared" si="98"/>
        <v>1</v>
      </c>
      <c r="J548" s="293"/>
      <c r="K548" s="3093">
        <f t="shared" si="99"/>
        <v>1</v>
      </c>
      <c r="L548" s="293"/>
      <c r="M548" s="3093">
        <f t="shared" si="100"/>
        <v>1</v>
      </c>
      <c r="N548" s="293"/>
      <c r="O548" s="3093">
        <f t="shared" si="101"/>
        <v>1</v>
      </c>
      <c r="P548" s="291" t="s">
        <v>3022</v>
      </c>
      <c r="Q548" s="3093">
        <f t="shared" si="102"/>
        <v>1</v>
      </c>
      <c r="R548" s="3093">
        <f t="shared" si="103"/>
        <v>27051</v>
      </c>
      <c r="S548" s="1651">
        <f t="shared" si="104"/>
        <v>240</v>
      </c>
    </row>
    <row r="549" spans="1:19">
      <c r="A549" s="1061" t="str">
        <f>清单!D672</f>
        <v>C-5-4-1001</v>
      </c>
      <c r="B549" s="1061">
        <f>清单!F672</f>
        <v>88.69</v>
      </c>
      <c r="C549" s="3093">
        <f t="shared" si="95"/>
        <v>0.97</v>
      </c>
      <c r="D549" s="293"/>
      <c r="E549" s="3093">
        <f t="shared" si="96"/>
        <v>1</v>
      </c>
      <c r="F549" s="293"/>
      <c r="G549" s="3093">
        <f t="shared" si="97"/>
        <v>1</v>
      </c>
      <c r="H549" s="293"/>
      <c r="I549" s="3093">
        <f t="shared" si="98"/>
        <v>1</v>
      </c>
      <c r="J549" s="293"/>
      <c r="K549" s="3093">
        <f t="shared" si="99"/>
        <v>1</v>
      </c>
      <c r="L549" s="293"/>
      <c r="M549" s="3093">
        <f t="shared" si="100"/>
        <v>1</v>
      </c>
      <c r="N549" s="293"/>
      <c r="O549" s="3093">
        <f t="shared" si="101"/>
        <v>1</v>
      </c>
      <c r="P549" s="291" t="s">
        <v>3022</v>
      </c>
      <c r="Q549" s="3093">
        <f t="shared" si="102"/>
        <v>1</v>
      </c>
      <c r="R549" s="3093">
        <f t="shared" si="103"/>
        <v>27051</v>
      </c>
      <c r="S549" s="1651">
        <f t="shared" si="104"/>
        <v>240</v>
      </c>
    </row>
    <row r="550" spans="1:19">
      <c r="A550" s="1061" t="str">
        <f>清单!D655</f>
        <v>C-5-3-102</v>
      </c>
      <c r="B550" s="1061">
        <f>清单!F655</f>
        <v>88.56</v>
      </c>
      <c r="C550" s="3093">
        <f t="shared" si="95"/>
        <v>0.97</v>
      </c>
      <c r="D550" s="293"/>
      <c r="E550" s="3093">
        <f t="shared" si="96"/>
        <v>1</v>
      </c>
      <c r="F550" s="293"/>
      <c r="G550" s="3093">
        <f t="shared" si="97"/>
        <v>1</v>
      </c>
      <c r="H550" s="293"/>
      <c r="I550" s="3093">
        <f t="shared" si="98"/>
        <v>1</v>
      </c>
      <c r="J550" s="293"/>
      <c r="K550" s="3093">
        <f t="shared" si="99"/>
        <v>1</v>
      </c>
      <c r="L550" s="293"/>
      <c r="M550" s="3093">
        <f t="shared" si="100"/>
        <v>1</v>
      </c>
      <c r="N550" s="293"/>
      <c r="O550" s="3093">
        <f t="shared" si="101"/>
        <v>1</v>
      </c>
      <c r="P550" s="291" t="s">
        <v>3024</v>
      </c>
      <c r="Q550" s="3093">
        <f t="shared" si="102"/>
        <v>0.97</v>
      </c>
      <c r="R550" s="3093">
        <f t="shared" si="103"/>
        <v>26240</v>
      </c>
      <c r="S550" s="1651">
        <f t="shared" si="104"/>
        <v>232</v>
      </c>
    </row>
    <row r="551" spans="1:19">
      <c r="A551" s="1061" t="str">
        <f>清单!D674</f>
        <v>C-5-4-1003</v>
      </c>
      <c r="B551" s="1061">
        <f>清单!F674</f>
        <v>51.62</v>
      </c>
      <c r="C551" s="3093">
        <f t="shared" si="95"/>
        <v>1</v>
      </c>
      <c r="D551" s="293"/>
      <c r="E551" s="3093">
        <f t="shared" si="96"/>
        <v>1</v>
      </c>
      <c r="F551" s="293"/>
      <c r="G551" s="3093">
        <f t="shared" si="97"/>
        <v>1</v>
      </c>
      <c r="H551" s="293"/>
      <c r="I551" s="3093">
        <f t="shared" si="98"/>
        <v>1</v>
      </c>
      <c r="J551" s="293"/>
      <c r="K551" s="3093">
        <f t="shared" si="99"/>
        <v>1</v>
      </c>
      <c r="L551" s="293"/>
      <c r="M551" s="3093">
        <f t="shared" si="100"/>
        <v>1</v>
      </c>
      <c r="N551" s="293"/>
      <c r="O551" s="3093">
        <f t="shared" si="101"/>
        <v>1</v>
      </c>
      <c r="P551" s="291" t="s">
        <v>3022</v>
      </c>
      <c r="Q551" s="3093">
        <f t="shared" si="102"/>
        <v>1</v>
      </c>
      <c r="R551" s="3093">
        <f t="shared" si="103"/>
        <v>27888</v>
      </c>
      <c r="S551" s="1651">
        <f t="shared" si="104"/>
        <v>144</v>
      </c>
    </row>
    <row r="552" spans="1:19">
      <c r="A552" s="1061" t="str">
        <f>清单!D675</f>
        <v>C-5-4-101</v>
      </c>
      <c r="B552" s="1061">
        <f>清单!F675</f>
        <v>88.56</v>
      </c>
      <c r="C552" s="3093">
        <f t="shared" si="95"/>
        <v>0.97</v>
      </c>
      <c r="D552" s="293"/>
      <c r="E552" s="3093">
        <f t="shared" si="96"/>
        <v>1</v>
      </c>
      <c r="F552" s="293"/>
      <c r="G552" s="3093">
        <f t="shared" si="97"/>
        <v>1</v>
      </c>
      <c r="H552" s="293"/>
      <c r="I552" s="3093">
        <f t="shared" si="98"/>
        <v>1</v>
      </c>
      <c r="J552" s="293"/>
      <c r="K552" s="3093">
        <f t="shared" si="99"/>
        <v>1</v>
      </c>
      <c r="L552" s="293"/>
      <c r="M552" s="3093">
        <f t="shared" si="100"/>
        <v>1</v>
      </c>
      <c r="N552" s="293"/>
      <c r="O552" s="3093">
        <f t="shared" si="101"/>
        <v>1</v>
      </c>
      <c r="P552" s="291" t="s">
        <v>3024</v>
      </c>
      <c r="Q552" s="3093">
        <f t="shared" si="102"/>
        <v>0.97</v>
      </c>
      <c r="R552" s="3093">
        <f t="shared" si="103"/>
        <v>26240</v>
      </c>
      <c r="S552" s="1651">
        <f t="shared" si="104"/>
        <v>232</v>
      </c>
    </row>
    <row r="553" spans="1:19">
      <c r="A553" s="1061" t="str">
        <f>清单!D658</f>
        <v>C-5-3-301</v>
      </c>
      <c r="B553" s="1061">
        <f>清单!F658</f>
        <v>88.69</v>
      </c>
      <c r="C553" s="3093">
        <f t="shared" si="95"/>
        <v>0.97</v>
      </c>
      <c r="D553" s="293"/>
      <c r="E553" s="3093">
        <f t="shared" si="96"/>
        <v>1</v>
      </c>
      <c r="F553" s="293"/>
      <c r="G553" s="3093">
        <f t="shared" si="97"/>
        <v>1</v>
      </c>
      <c r="H553" s="293"/>
      <c r="I553" s="3093">
        <f t="shared" si="98"/>
        <v>1</v>
      </c>
      <c r="J553" s="293"/>
      <c r="K553" s="3093">
        <f t="shared" si="99"/>
        <v>1</v>
      </c>
      <c r="L553" s="293"/>
      <c r="M553" s="3093">
        <f t="shared" si="100"/>
        <v>1</v>
      </c>
      <c r="N553" s="293"/>
      <c r="O553" s="3093">
        <f t="shared" si="101"/>
        <v>1</v>
      </c>
      <c r="P553" s="291" t="s">
        <v>3024</v>
      </c>
      <c r="Q553" s="3093">
        <f t="shared" si="102"/>
        <v>0.97</v>
      </c>
      <c r="R553" s="3093">
        <f t="shared" si="103"/>
        <v>26240</v>
      </c>
      <c r="S553" s="1651">
        <f t="shared" si="104"/>
        <v>233</v>
      </c>
    </row>
    <row r="554" spans="1:19">
      <c r="A554" s="1061" t="str">
        <f>清单!D677</f>
        <v>C-5-4-103</v>
      </c>
      <c r="B554" s="1061">
        <f>清单!F677</f>
        <v>51.33</v>
      </c>
      <c r="C554" s="3093">
        <f t="shared" si="95"/>
        <v>1</v>
      </c>
      <c r="D554" s="293"/>
      <c r="E554" s="3093">
        <f t="shared" si="96"/>
        <v>1</v>
      </c>
      <c r="F554" s="293"/>
      <c r="G554" s="3093">
        <f t="shared" si="97"/>
        <v>1</v>
      </c>
      <c r="H554" s="293"/>
      <c r="I554" s="3093">
        <f t="shared" si="98"/>
        <v>1</v>
      </c>
      <c r="J554" s="293"/>
      <c r="K554" s="3093">
        <f t="shared" si="99"/>
        <v>1</v>
      </c>
      <c r="L554" s="293"/>
      <c r="M554" s="3093">
        <f t="shared" si="100"/>
        <v>1</v>
      </c>
      <c r="N554" s="293"/>
      <c r="O554" s="3093">
        <f t="shared" si="101"/>
        <v>1</v>
      </c>
      <c r="P554" s="291" t="s">
        <v>3024</v>
      </c>
      <c r="Q554" s="3093">
        <f t="shared" si="102"/>
        <v>0.97</v>
      </c>
      <c r="R554" s="3093">
        <f t="shared" si="103"/>
        <v>27051</v>
      </c>
      <c r="S554" s="1651">
        <f t="shared" si="104"/>
        <v>139</v>
      </c>
    </row>
    <row r="555" spans="1:19">
      <c r="A555" s="1061" t="str">
        <f>清单!D678</f>
        <v>C-5-4-201</v>
      </c>
      <c r="B555" s="1061">
        <f>清单!F678</f>
        <v>88.69</v>
      </c>
      <c r="C555" s="3093">
        <f t="shared" si="95"/>
        <v>0.97</v>
      </c>
      <c r="D555" s="293"/>
      <c r="E555" s="3093">
        <f t="shared" si="96"/>
        <v>1</v>
      </c>
      <c r="F555" s="293"/>
      <c r="G555" s="3093">
        <f t="shared" si="97"/>
        <v>1</v>
      </c>
      <c r="H555" s="293"/>
      <c r="I555" s="3093">
        <f t="shared" si="98"/>
        <v>1</v>
      </c>
      <c r="J555" s="293"/>
      <c r="K555" s="3093">
        <f t="shared" si="99"/>
        <v>1</v>
      </c>
      <c r="L555" s="293"/>
      <c r="M555" s="3093">
        <f t="shared" si="100"/>
        <v>1</v>
      </c>
      <c r="N555" s="293"/>
      <c r="O555" s="3093">
        <f t="shared" si="101"/>
        <v>1</v>
      </c>
      <c r="P555" s="291" t="s">
        <v>3024</v>
      </c>
      <c r="Q555" s="3093">
        <f t="shared" si="102"/>
        <v>0.97</v>
      </c>
      <c r="R555" s="3093">
        <f t="shared" si="103"/>
        <v>26240</v>
      </c>
      <c r="S555" s="1651">
        <f t="shared" si="104"/>
        <v>233</v>
      </c>
    </row>
    <row r="556" spans="1:19">
      <c r="A556" s="1061" t="str">
        <f>清单!D661</f>
        <v>C-5-3-402</v>
      </c>
      <c r="B556" s="1061">
        <f>清单!F661</f>
        <v>88.69</v>
      </c>
      <c r="C556" s="3093">
        <f t="shared" si="95"/>
        <v>0.97</v>
      </c>
      <c r="D556" s="293"/>
      <c r="E556" s="3093">
        <f t="shared" si="96"/>
        <v>1</v>
      </c>
      <c r="F556" s="293"/>
      <c r="G556" s="3093">
        <f t="shared" si="97"/>
        <v>1</v>
      </c>
      <c r="H556" s="293"/>
      <c r="I556" s="3093">
        <f t="shared" si="98"/>
        <v>1</v>
      </c>
      <c r="J556" s="293"/>
      <c r="K556" s="3093">
        <f t="shared" si="99"/>
        <v>1</v>
      </c>
      <c r="L556" s="293"/>
      <c r="M556" s="3093">
        <f t="shared" si="100"/>
        <v>1</v>
      </c>
      <c r="N556" s="293"/>
      <c r="O556" s="3093">
        <f t="shared" si="101"/>
        <v>1</v>
      </c>
      <c r="P556" s="291" t="s">
        <v>3024</v>
      </c>
      <c r="Q556" s="3093">
        <f t="shared" si="102"/>
        <v>0.97</v>
      </c>
      <c r="R556" s="3093">
        <f t="shared" si="103"/>
        <v>26240</v>
      </c>
      <c r="S556" s="1651">
        <f t="shared" si="104"/>
        <v>233</v>
      </c>
    </row>
    <row r="557" spans="1:19">
      <c r="A557" s="1061" t="str">
        <f>清单!D680</f>
        <v>C-5-4-203</v>
      </c>
      <c r="B557" s="1061">
        <f>清单!F680</f>
        <v>51.62</v>
      </c>
      <c r="C557" s="3093">
        <f t="shared" si="95"/>
        <v>1</v>
      </c>
      <c r="D557" s="293"/>
      <c r="E557" s="3093">
        <f t="shared" si="96"/>
        <v>1</v>
      </c>
      <c r="F557" s="293"/>
      <c r="G557" s="3093">
        <f t="shared" si="97"/>
        <v>1</v>
      </c>
      <c r="H557" s="293"/>
      <c r="I557" s="3093">
        <f t="shared" si="98"/>
        <v>1</v>
      </c>
      <c r="J557" s="293"/>
      <c r="K557" s="3093">
        <f t="shared" si="99"/>
        <v>1</v>
      </c>
      <c r="L557" s="293"/>
      <c r="M557" s="3093">
        <f t="shared" si="100"/>
        <v>1</v>
      </c>
      <c r="N557" s="293"/>
      <c r="O557" s="3093">
        <f t="shared" si="101"/>
        <v>1</v>
      </c>
      <c r="P557" s="291" t="s">
        <v>3024</v>
      </c>
      <c r="Q557" s="3093">
        <f t="shared" si="102"/>
        <v>0.97</v>
      </c>
      <c r="R557" s="3093">
        <f t="shared" si="103"/>
        <v>27051</v>
      </c>
      <c r="S557" s="1651">
        <f t="shared" si="104"/>
        <v>140</v>
      </c>
    </row>
    <row r="558" spans="1:19">
      <c r="A558" s="1061" t="str">
        <f>清单!D681</f>
        <v>C-5-4-301</v>
      </c>
      <c r="B558" s="1061">
        <f>清单!F681</f>
        <v>88.69</v>
      </c>
      <c r="C558" s="3093">
        <f t="shared" si="95"/>
        <v>0.97</v>
      </c>
      <c r="D558" s="293"/>
      <c r="E558" s="3093">
        <f t="shared" si="96"/>
        <v>1</v>
      </c>
      <c r="F558" s="293"/>
      <c r="G558" s="3093">
        <f t="shared" si="97"/>
        <v>1</v>
      </c>
      <c r="H558" s="293"/>
      <c r="I558" s="3093">
        <f t="shared" si="98"/>
        <v>1</v>
      </c>
      <c r="J558" s="293"/>
      <c r="K558" s="3093">
        <f t="shared" si="99"/>
        <v>1</v>
      </c>
      <c r="L558" s="293"/>
      <c r="M558" s="3093">
        <f t="shared" si="100"/>
        <v>1</v>
      </c>
      <c r="N558" s="293"/>
      <c r="O558" s="3093">
        <f t="shared" si="101"/>
        <v>1</v>
      </c>
      <c r="P558" s="291" t="s">
        <v>3024</v>
      </c>
      <c r="Q558" s="3093">
        <f t="shared" si="102"/>
        <v>0.97</v>
      </c>
      <c r="R558" s="3093">
        <f t="shared" si="103"/>
        <v>26240</v>
      </c>
      <c r="S558" s="1651">
        <f t="shared" si="104"/>
        <v>233</v>
      </c>
    </row>
    <row r="559" spans="1:19">
      <c r="A559" s="1061" t="str">
        <f>清单!D664</f>
        <v>C-5-3-601</v>
      </c>
      <c r="B559" s="1061">
        <f>清单!F664</f>
        <v>88.69</v>
      </c>
      <c r="C559" s="3093">
        <f t="shared" si="95"/>
        <v>0.97</v>
      </c>
      <c r="D559" s="293"/>
      <c r="E559" s="3093">
        <f t="shared" si="96"/>
        <v>1</v>
      </c>
      <c r="F559" s="293"/>
      <c r="G559" s="3093">
        <f t="shared" si="97"/>
        <v>1</v>
      </c>
      <c r="H559" s="293"/>
      <c r="I559" s="3093">
        <f t="shared" si="98"/>
        <v>1</v>
      </c>
      <c r="J559" s="293"/>
      <c r="K559" s="3093">
        <f t="shared" si="99"/>
        <v>1</v>
      </c>
      <c r="L559" s="293"/>
      <c r="M559" s="3093">
        <f t="shared" si="100"/>
        <v>1</v>
      </c>
      <c r="N559" s="293"/>
      <c r="O559" s="3093">
        <f t="shared" si="101"/>
        <v>1</v>
      </c>
      <c r="P559" s="291" t="s">
        <v>3024</v>
      </c>
      <c r="Q559" s="3093">
        <f t="shared" si="102"/>
        <v>0.97</v>
      </c>
      <c r="R559" s="3093">
        <f t="shared" si="103"/>
        <v>26240</v>
      </c>
      <c r="S559" s="1651">
        <f t="shared" si="104"/>
        <v>233</v>
      </c>
    </row>
    <row r="560" spans="1:19">
      <c r="A560" s="1061" t="str">
        <f>清单!D683</f>
        <v>C-5-4-303</v>
      </c>
      <c r="B560" s="1061">
        <f>清单!F683</f>
        <v>51.62</v>
      </c>
      <c r="C560" s="3093">
        <f t="shared" si="95"/>
        <v>1</v>
      </c>
      <c r="D560" s="293"/>
      <c r="E560" s="3093">
        <f t="shared" si="96"/>
        <v>1</v>
      </c>
      <c r="F560" s="293"/>
      <c r="G560" s="3093">
        <f t="shared" si="97"/>
        <v>1</v>
      </c>
      <c r="H560" s="293"/>
      <c r="I560" s="3093">
        <f t="shared" si="98"/>
        <v>1</v>
      </c>
      <c r="J560" s="293"/>
      <c r="K560" s="3093">
        <f t="shared" si="99"/>
        <v>1</v>
      </c>
      <c r="L560" s="293"/>
      <c r="M560" s="3093">
        <f t="shared" si="100"/>
        <v>1</v>
      </c>
      <c r="N560" s="293"/>
      <c r="O560" s="3093">
        <f t="shared" si="101"/>
        <v>1</v>
      </c>
      <c r="P560" s="291" t="s">
        <v>3022</v>
      </c>
      <c r="Q560" s="3093">
        <f t="shared" si="102"/>
        <v>1</v>
      </c>
      <c r="R560" s="3093">
        <f t="shared" si="103"/>
        <v>27888</v>
      </c>
      <c r="S560" s="1651">
        <f t="shared" si="104"/>
        <v>144</v>
      </c>
    </row>
    <row r="561" spans="1:19">
      <c r="A561" s="1061" t="str">
        <f>清单!D684</f>
        <v>C-5-4-401</v>
      </c>
      <c r="B561" s="1061">
        <f>清单!F684</f>
        <v>88.69</v>
      </c>
      <c r="C561" s="3093">
        <f t="shared" si="95"/>
        <v>0.97</v>
      </c>
      <c r="D561" s="293"/>
      <c r="E561" s="3093">
        <f t="shared" si="96"/>
        <v>1</v>
      </c>
      <c r="F561" s="293"/>
      <c r="G561" s="3093">
        <f t="shared" si="97"/>
        <v>1</v>
      </c>
      <c r="H561" s="293"/>
      <c r="I561" s="3093">
        <f t="shared" si="98"/>
        <v>1</v>
      </c>
      <c r="J561" s="293"/>
      <c r="K561" s="3093">
        <f t="shared" si="99"/>
        <v>1</v>
      </c>
      <c r="L561" s="293"/>
      <c r="M561" s="3093">
        <f t="shared" si="100"/>
        <v>1</v>
      </c>
      <c r="N561" s="293"/>
      <c r="O561" s="3093">
        <f t="shared" si="101"/>
        <v>1</v>
      </c>
      <c r="P561" s="291" t="s">
        <v>3024</v>
      </c>
      <c r="Q561" s="3093">
        <f t="shared" si="102"/>
        <v>0.97</v>
      </c>
      <c r="R561" s="3093">
        <f t="shared" si="103"/>
        <v>26240</v>
      </c>
      <c r="S561" s="1651">
        <f t="shared" si="104"/>
        <v>233</v>
      </c>
    </row>
    <row r="562" spans="1:19">
      <c r="A562" s="1061" t="str">
        <f>清单!D667</f>
        <v>C-5-3-702</v>
      </c>
      <c r="B562" s="1061">
        <f>清单!F667</f>
        <v>88.69</v>
      </c>
      <c r="C562" s="3093">
        <f t="shared" si="95"/>
        <v>0.97</v>
      </c>
      <c r="D562" s="293"/>
      <c r="E562" s="3093">
        <f t="shared" si="96"/>
        <v>1</v>
      </c>
      <c r="F562" s="293"/>
      <c r="G562" s="3093">
        <f t="shared" si="97"/>
        <v>1</v>
      </c>
      <c r="H562" s="293"/>
      <c r="I562" s="3093">
        <f t="shared" si="98"/>
        <v>1</v>
      </c>
      <c r="J562" s="293"/>
      <c r="K562" s="3093">
        <f t="shared" si="99"/>
        <v>1</v>
      </c>
      <c r="L562" s="293"/>
      <c r="M562" s="3093">
        <f t="shared" si="100"/>
        <v>1</v>
      </c>
      <c r="N562" s="293"/>
      <c r="O562" s="3093">
        <f t="shared" si="101"/>
        <v>1</v>
      </c>
      <c r="P562" s="291" t="s">
        <v>3024</v>
      </c>
      <c r="Q562" s="3093">
        <f t="shared" si="102"/>
        <v>0.97</v>
      </c>
      <c r="R562" s="3093">
        <f t="shared" si="103"/>
        <v>26240</v>
      </c>
      <c r="S562" s="1651">
        <f t="shared" si="104"/>
        <v>233</v>
      </c>
    </row>
    <row r="563" spans="1:19">
      <c r="A563" s="1061" t="str">
        <f>清单!D686</f>
        <v>C-5-4-403</v>
      </c>
      <c r="B563" s="1061">
        <f>清单!F686</f>
        <v>51.62</v>
      </c>
      <c r="C563" s="3093">
        <f t="shared" si="95"/>
        <v>1</v>
      </c>
      <c r="D563" s="293"/>
      <c r="E563" s="3093">
        <f t="shared" si="96"/>
        <v>1</v>
      </c>
      <c r="F563" s="293"/>
      <c r="G563" s="3093">
        <f t="shared" si="97"/>
        <v>1</v>
      </c>
      <c r="H563" s="293"/>
      <c r="I563" s="3093">
        <f t="shared" si="98"/>
        <v>1</v>
      </c>
      <c r="J563" s="293"/>
      <c r="K563" s="3093">
        <f t="shared" si="99"/>
        <v>1</v>
      </c>
      <c r="L563" s="293"/>
      <c r="M563" s="3093">
        <f t="shared" si="100"/>
        <v>1</v>
      </c>
      <c r="N563" s="293"/>
      <c r="O563" s="3093">
        <f t="shared" si="101"/>
        <v>1</v>
      </c>
      <c r="P563" s="291" t="s">
        <v>3022</v>
      </c>
      <c r="Q563" s="3093">
        <f t="shared" si="102"/>
        <v>1</v>
      </c>
      <c r="R563" s="3093">
        <f t="shared" si="103"/>
        <v>27888</v>
      </c>
      <c r="S563" s="1651">
        <f t="shared" si="104"/>
        <v>144</v>
      </c>
    </row>
    <row r="564" spans="1:19">
      <c r="A564" s="1061" t="str">
        <f>清单!D687</f>
        <v>C-5-4-501</v>
      </c>
      <c r="B564" s="1061">
        <f>清单!F687</f>
        <v>88.69</v>
      </c>
      <c r="C564" s="3093">
        <f t="shared" si="95"/>
        <v>0.97</v>
      </c>
      <c r="D564" s="293"/>
      <c r="E564" s="3093">
        <f t="shared" si="96"/>
        <v>1</v>
      </c>
      <c r="F564" s="293"/>
      <c r="G564" s="3093">
        <f t="shared" si="97"/>
        <v>1</v>
      </c>
      <c r="H564" s="293"/>
      <c r="I564" s="3093">
        <f t="shared" si="98"/>
        <v>1</v>
      </c>
      <c r="J564" s="293"/>
      <c r="K564" s="3093">
        <f t="shared" si="99"/>
        <v>1</v>
      </c>
      <c r="L564" s="293"/>
      <c r="M564" s="3093">
        <f t="shared" si="100"/>
        <v>1</v>
      </c>
      <c r="N564" s="293"/>
      <c r="O564" s="3093">
        <f t="shared" si="101"/>
        <v>1</v>
      </c>
      <c r="P564" s="291" t="s">
        <v>3024</v>
      </c>
      <c r="Q564" s="3093">
        <f t="shared" si="102"/>
        <v>0.97</v>
      </c>
      <c r="R564" s="3093">
        <f t="shared" si="103"/>
        <v>26240</v>
      </c>
      <c r="S564" s="1651">
        <f t="shared" si="104"/>
        <v>233</v>
      </c>
    </row>
    <row r="565" spans="1:19">
      <c r="A565" s="1061" t="str">
        <f>清单!D670</f>
        <v>C-5-3-901</v>
      </c>
      <c r="B565" s="1061">
        <f>清单!F670</f>
        <v>88.69</v>
      </c>
      <c r="C565" s="3093">
        <f t="shared" si="95"/>
        <v>0.97</v>
      </c>
      <c r="D565" s="293"/>
      <c r="E565" s="3093">
        <f t="shared" si="96"/>
        <v>1</v>
      </c>
      <c r="F565" s="293"/>
      <c r="G565" s="3093">
        <f t="shared" si="97"/>
        <v>1</v>
      </c>
      <c r="H565" s="293"/>
      <c r="I565" s="3093">
        <f t="shared" si="98"/>
        <v>1</v>
      </c>
      <c r="J565" s="293"/>
      <c r="K565" s="3093">
        <f t="shared" si="99"/>
        <v>1</v>
      </c>
      <c r="L565" s="293"/>
      <c r="M565" s="3093">
        <f t="shared" si="100"/>
        <v>1</v>
      </c>
      <c r="N565" s="293"/>
      <c r="O565" s="3093">
        <f t="shared" si="101"/>
        <v>1</v>
      </c>
      <c r="P565" s="291" t="s">
        <v>3024</v>
      </c>
      <c r="Q565" s="3093">
        <f t="shared" si="102"/>
        <v>0.97</v>
      </c>
      <c r="R565" s="3093">
        <f t="shared" si="103"/>
        <v>26240</v>
      </c>
      <c r="S565" s="1651">
        <f t="shared" si="104"/>
        <v>233</v>
      </c>
    </row>
    <row r="566" spans="1:19">
      <c r="A566" s="1061" t="str">
        <f>清单!D689</f>
        <v>C-5-4-503</v>
      </c>
      <c r="B566" s="1061">
        <f>清单!F689</f>
        <v>51.62</v>
      </c>
      <c r="C566" s="3093">
        <f t="shared" si="95"/>
        <v>1</v>
      </c>
      <c r="D566" s="293"/>
      <c r="E566" s="3093">
        <f t="shared" si="96"/>
        <v>1</v>
      </c>
      <c r="F566" s="293"/>
      <c r="G566" s="3093">
        <f t="shared" si="97"/>
        <v>1</v>
      </c>
      <c r="H566" s="293"/>
      <c r="I566" s="3093">
        <f t="shared" si="98"/>
        <v>1</v>
      </c>
      <c r="J566" s="293"/>
      <c r="K566" s="3093">
        <f t="shared" si="99"/>
        <v>1</v>
      </c>
      <c r="L566" s="293"/>
      <c r="M566" s="3093">
        <f t="shared" si="100"/>
        <v>1</v>
      </c>
      <c r="N566" s="293"/>
      <c r="O566" s="3093">
        <f t="shared" si="101"/>
        <v>1</v>
      </c>
      <c r="P566" s="291" t="s">
        <v>3022</v>
      </c>
      <c r="Q566" s="3093">
        <f t="shared" si="102"/>
        <v>1</v>
      </c>
      <c r="R566" s="3093">
        <f t="shared" si="103"/>
        <v>27888</v>
      </c>
      <c r="S566" s="1651">
        <f t="shared" si="104"/>
        <v>144</v>
      </c>
    </row>
    <row r="567" spans="1:19">
      <c r="A567" s="1061" t="str">
        <f>清单!D690</f>
        <v>C-5-4-601</v>
      </c>
      <c r="B567" s="1061">
        <f>清单!F690</f>
        <v>88.69</v>
      </c>
      <c r="C567" s="3093">
        <f t="shared" si="95"/>
        <v>0.97</v>
      </c>
      <c r="D567" s="293"/>
      <c r="E567" s="3093">
        <f t="shared" si="96"/>
        <v>1</v>
      </c>
      <c r="F567" s="293"/>
      <c r="G567" s="3093">
        <f t="shared" si="97"/>
        <v>1</v>
      </c>
      <c r="H567" s="293"/>
      <c r="I567" s="3093">
        <f t="shared" si="98"/>
        <v>1</v>
      </c>
      <c r="J567" s="293"/>
      <c r="K567" s="3093">
        <f t="shared" si="99"/>
        <v>1</v>
      </c>
      <c r="L567" s="293"/>
      <c r="M567" s="3093">
        <f t="shared" si="100"/>
        <v>1</v>
      </c>
      <c r="N567" s="293"/>
      <c r="O567" s="3093">
        <f t="shared" si="101"/>
        <v>1</v>
      </c>
      <c r="P567" s="291" t="s">
        <v>3024</v>
      </c>
      <c r="Q567" s="3093">
        <f t="shared" si="102"/>
        <v>0.97</v>
      </c>
      <c r="R567" s="3093">
        <f t="shared" si="103"/>
        <v>26240</v>
      </c>
      <c r="S567" s="1651">
        <f t="shared" si="104"/>
        <v>233</v>
      </c>
    </row>
    <row r="568" spans="1:19">
      <c r="A568" s="1061" t="str">
        <f>清单!D673</f>
        <v>C-5-4-1002</v>
      </c>
      <c r="B568" s="1061">
        <f>清单!F673</f>
        <v>61.24</v>
      </c>
      <c r="C568" s="3093">
        <f t="shared" si="95"/>
        <v>0.97</v>
      </c>
      <c r="D568" s="293"/>
      <c r="E568" s="3093">
        <f t="shared" si="96"/>
        <v>1</v>
      </c>
      <c r="F568" s="293"/>
      <c r="G568" s="3093">
        <f t="shared" si="97"/>
        <v>1</v>
      </c>
      <c r="H568" s="293"/>
      <c r="I568" s="3093">
        <f t="shared" si="98"/>
        <v>1</v>
      </c>
      <c r="J568" s="293"/>
      <c r="K568" s="3093">
        <f t="shared" si="99"/>
        <v>1</v>
      </c>
      <c r="L568" s="293"/>
      <c r="M568" s="3093">
        <f t="shared" si="100"/>
        <v>1</v>
      </c>
      <c r="N568" s="293"/>
      <c r="O568" s="3093">
        <f t="shared" si="101"/>
        <v>1</v>
      </c>
      <c r="P568" s="291" t="s">
        <v>3022</v>
      </c>
      <c r="Q568" s="3093">
        <f t="shared" si="102"/>
        <v>1</v>
      </c>
      <c r="R568" s="3093">
        <f t="shared" si="103"/>
        <v>27051</v>
      </c>
      <c r="S568" s="1651">
        <f t="shared" si="104"/>
        <v>166</v>
      </c>
    </row>
    <row r="569" spans="1:19">
      <c r="A569" s="1061" t="str">
        <f>清单!D692</f>
        <v>C-5-4-603</v>
      </c>
      <c r="B569" s="1061">
        <f>清单!F692</f>
        <v>51.62</v>
      </c>
      <c r="C569" s="3093">
        <f t="shared" si="95"/>
        <v>1</v>
      </c>
      <c r="D569" s="293"/>
      <c r="E569" s="3093">
        <f t="shared" si="96"/>
        <v>1</v>
      </c>
      <c r="F569" s="293"/>
      <c r="G569" s="3093">
        <f t="shared" si="97"/>
        <v>1</v>
      </c>
      <c r="H569" s="293"/>
      <c r="I569" s="3093">
        <f t="shared" si="98"/>
        <v>1</v>
      </c>
      <c r="J569" s="293"/>
      <c r="K569" s="3093">
        <f t="shared" si="99"/>
        <v>1</v>
      </c>
      <c r="L569" s="293"/>
      <c r="M569" s="3093">
        <f t="shared" si="100"/>
        <v>1</v>
      </c>
      <c r="N569" s="293"/>
      <c r="O569" s="3093">
        <f t="shared" si="101"/>
        <v>1</v>
      </c>
      <c r="P569" s="291" t="s">
        <v>3022</v>
      </c>
      <c r="Q569" s="3093">
        <f t="shared" si="102"/>
        <v>1</v>
      </c>
      <c r="R569" s="3093">
        <f t="shared" si="103"/>
        <v>27888</v>
      </c>
      <c r="S569" s="1651">
        <f t="shared" si="104"/>
        <v>144</v>
      </c>
    </row>
    <row r="570" spans="1:19">
      <c r="A570" s="1061" t="str">
        <f>清单!D693</f>
        <v>C-5-4-701</v>
      </c>
      <c r="B570" s="1061">
        <f>清单!F693</f>
        <v>88.69</v>
      </c>
      <c r="C570" s="3093">
        <f t="shared" si="95"/>
        <v>0.97</v>
      </c>
      <c r="D570" s="293"/>
      <c r="E570" s="3093">
        <f t="shared" si="96"/>
        <v>1</v>
      </c>
      <c r="F570" s="293"/>
      <c r="G570" s="3093">
        <f t="shared" si="97"/>
        <v>1</v>
      </c>
      <c r="H570" s="293"/>
      <c r="I570" s="3093">
        <f t="shared" si="98"/>
        <v>1</v>
      </c>
      <c r="J570" s="293"/>
      <c r="K570" s="3093">
        <f t="shared" si="99"/>
        <v>1</v>
      </c>
      <c r="L570" s="293"/>
      <c r="M570" s="3093">
        <f t="shared" si="100"/>
        <v>1</v>
      </c>
      <c r="N570" s="293"/>
      <c r="O570" s="3093">
        <f t="shared" si="101"/>
        <v>1</v>
      </c>
      <c r="P570" s="291" t="s">
        <v>3022</v>
      </c>
      <c r="Q570" s="3093">
        <f t="shared" si="102"/>
        <v>1</v>
      </c>
      <c r="R570" s="3093">
        <f t="shared" si="103"/>
        <v>27051</v>
      </c>
      <c r="S570" s="1651">
        <f t="shared" si="104"/>
        <v>240</v>
      </c>
    </row>
    <row r="571" spans="1:19">
      <c r="A571" s="1061" t="str">
        <f>清单!D676</f>
        <v>C-5-4-102</v>
      </c>
      <c r="B571" s="1061">
        <f>清单!F676</f>
        <v>61.24</v>
      </c>
      <c r="C571" s="3093">
        <f t="shared" si="95"/>
        <v>0.97</v>
      </c>
      <c r="D571" s="293"/>
      <c r="E571" s="3093">
        <f t="shared" si="96"/>
        <v>1</v>
      </c>
      <c r="F571" s="293"/>
      <c r="G571" s="3093">
        <f t="shared" si="97"/>
        <v>1</v>
      </c>
      <c r="H571" s="293"/>
      <c r="I571" s="3093">
        <f t="shared" si="98"/>
        <v>1</v>
      </c>
      <c r="J571" s="293"/>
      <c r="K571" s="3093">
        <f t="shared" si="99"/>
        <v>1</v>
      </c>
      <c r="L571" s="293"/>
      <c r="M571" s="3093">
        <f t="shared" si="100"/>
        <v>1</v>
      </c>
      <c r="N571" s="293"/>
      <c r="O571" s="3093">
        <f t="shared" si="101"/>
        <v>1</v>
      </c>
      <c r="P571" s="291" t="s">
        <v>3024</v>
      </c>
      <c r="Q571" s="3093">
        <f t="shared" si="102"/>
        <v>0.97</v>
      </c>
      <c r="R571" s="3093">
        <f t="shared" si="103"/>
        <v>26240</v>
      </c>
      <c r="S571" s="1651">
        <f t="shared" si="104"/>
        <v>161</v>
      </c>
    </row>
    <row r="572" spans="1:19">
      <c r="A572" s="1061" t="str">
        <f>清单!D695</f>
        <v>C-5-4-703</v>
      </c>
      <c r="B572" s="1061">
        <f>清单!F695</f>
        <v>51.62</v>
      </c>
      <c r="C572" s="3093">
        <f t="shared" si="95"/>
        <v>1</v>
      </c>
      <c r="D572" s="293"/>
      <c r="E572" s="3093">
        <f t="shared" si="96"/>
        <v>1</v>
      </c>
      <c r="F572" s="293"/>
      <c r="G572" s="3093">
        <f t="shared" si="97"/>
        <v>1</v>
      </c>
      <c r="H572" s="293"/>
      <c r="I572" s="3093">
        <f t="shared" si="98"/>
        <v>1</v>
      </c>
      <c r="J572" s="293"/>
      <c r="K572" s="3093">
        <f t="shared" si="99"/>
        <v>1</v>
      </c>
      <c r="L572" s="293"/>
      <c r="M572" s="3093">
        <f t="shared" si="100"/>
        <v>1</v>
      </c>
      <c r="N572" s="293"/>
      <c r="O572" s="3093">
        <f t="shared" si="101"/>
        <v>1</v>
      </c>
      <c r="P572" s="291" t="s">
        <v>3022</v>
      </c>
      <c r="Q572" s="3093">
        <f t="shared" si="102"/>
        <v>1</v>
      </c>
      <c r="R572" s="3093">
        <f t="shared" si="103"/>
        <v>27888</v>
      </c>
      <c r="S572" s="1651">
        <f t="shared" si="104"/>
        <v>144</v>
      </c>
    </row>
    <row r="573" spans="1:19">
      <c r="A573" s="1061" t="str">
        <f>清单!D696</f>
        <v>C-5-4-801</v>
      </c>
      <c r="B573" s="1061">
        <f>清单!F696</f>
        <v>88.69</v>
      </c>
      <c r="C573" s="3093">
        <f t="shared" si="95"/>
        <v>0.97</v>
      </c>
      <c r="D573" s="293"/>
      <c r="E573" s="3093">
        <f t="shared" si="96"/>
        <v>1</v>
      </c>
      <c r="F573" s="293"/>
      <c r="G573" s="3093">
        <f t="shared" si="97"/>
        <v>1</v>
      </c>
      <c r="H573" s="293"/>
      <c r="I573" s="3093">
        <f t="shared" si="98"/>
        <v>1</v>
      </c>
      <c r="J573" s="293"/>
      <c r="K573" s="3093">
        <f t="shared" si="99"/>
        <v>1</v>
      </c>
      <c r="L573" s="293"/>
      <c r="M573" s="3093">
        <f t="shared" si="100"/>
        <v>1</v>
      </c>
      <c r="N573" s="293"/>
      <c r="O573" s="3093">
        <f t="shared" si="101"/>
        <v>1</v>
      </c>
      <c r="P573" s="291" t="s">
        <v>3022</v>
      </c>
      <c r="Q573" s="3093">
        <f t="shared" si="102"/>
        <v>1</v>
      </c>
      <c r="R573" s="3093">
        <f t="shared" si="103"/>
        <v>27051</v>
      </c>
      <c r="S573" s="1651">
        <f t="shared" si="104"/>
        <v>240</v>
      </c>
    </row>
    <row r="574" spans="1:19">
      <c r="A574" s="1061" t="str">
        <f>清单!D679</f>
        <v>C-5-4-202</v>
      </c>
      <c r="B574" s="1061">
        <f>清单!F679</f>
        <v>61.24</v>
      </c>
      <c r="C574" s="3093">
        <f t="shared" si="95"/>
        <v>0.97</v>
      </c>
      <c r="D574" s="293"/>
      <c r="E574" s="3093">
        <f t="shared" si="96"/>
        <v>1</v>
      </c>
      <c r="F574" s="293"/>
      <c r="G574" s="3093">
        <f t="shared" si="97"/>
        <v>1</v>
      </c>
      <c r="H574" s="293"/>
      <c r="I574" s="3093">
        <f t="shared" si="98"/>
        <v>1</v>
      </c>
      <c r="J574" s="293"/>
      <c r="K574" s="3093">
        <f t="shared" si="99"/>
        <v>1</v>
      </c>
      <c r="L574" s="293"/>
      <c r="M574" s="3093">
        <f t="shared" si="100"/>
        <v>1</v>
      </c>
      <c r="N574" s="293"/>
      <c r="O574" s="3093">
        <f t="shared" si="101"/>
        <v>1</v>
      </c>
      <c r="P574" s="291" t="s">
        <v>3024</v>
      </c>
      <c r="Q574" s="3093">
        <f t="shared" si="102"/>
        <v>0.97</v>
      </c>
      <c r="R574" s="3093">
        <f t="shared" si="103"/>
        <v>26240</v>
      </c>
      <c r="S574" s="1651">
        <f t="shared" si="104"/>
        <v>161</v>
      </c>
    </row>
    <row r="575" spans="1:19">
      <c r="A575" s="1061" t="str">
        <f>清单!D698</f>
        <v>C-5-4-803</v>
      </c>
      <c r="B575" s="1061">
        <f>清单!F698</f>
        <v>51.62</v>
      </c>
      <c r="C575" s="3093">
        <f t="shared" si="95"/>
        <v>1</v>
      </c>
      <c r="D575" s="293"/>
      <c r="E575" s="3093">
        <f t="shared" si="96"/>
        <v>1</v>
      </c>
      <c r="F575" s="293"/>
      <c r="G575" s="3093">
        <f t="shared" si="97"/>
        <v>1</v>
      </c>
      <c r="H575" s="293"/>
      <c r="I575" s="3093">
        <f t="shared" si="98"/>
        <v>1</v>
      </c>
      <c r="J575" s="293"/>
      <c r="K575" s="3093">
        <f t="shared" si="99"/>
        <v>1</v>
      </c>
      <c r="L575" s="293"/>
      <c r="M575" s="3093">
        <f t="shared" si="100"/>
        <v>1</v>
      </c>
      <c r="N575" s="293"/>
      <c r="O575" s="3093">
        <f t="shared" si="101"/>
        <v>1</v>
      </c>
      <c r="P575" s="291" t="s">
        <v>3022</v>
      </c>
      <c r="Q575" s="3093">
        <f t="shared" si="102"/>
        <v>1</v>
      </c>
      <c r="R575" s="3093">
        <f t="shared" si="103"/>
        <v>27888</v>
      </c>
      <c r="S575" s="1651">
        <f t="shared" si="104"/>
        <v>144</v>
      </c>
    </row>
    <row r="576" spans="1:19">
      <c r="A576" s="1061" t="str">
        <f>清单!D699</f>
        <v>C-5-4-901</v>
      </c>
      <c r="B576" s="1061">
        <f>清单!F699</f>
        <v>88.69</v>
      </c>
      <c r="C576" s="3093">
        <f t="shared" si="95"/>
        <v>0.97</v>
      </c>
      <c r="D576" s="293"/>
      <c r="E576" s="3093">
        <f t="shared" si="96"/>
        <v>1</v>
      </c>
      <c r="F576" s="293"/>
      <c r="G576" s="3093">
        <f t="shared" si="97"/>
        <v>1</v>
      </c>
      <c r="H576" s="293"/>
      <c r="I576" s="3093">
        <f t="shared" si="98"/>
        <v>1</v>
      </c>
      <c r="J576" s="293"/>
      <c r="K576" s="3093">
        <f t="shared" si="99"/>
        <v>1</v>
      </c>
      <c r="L576" s="293"/>
      <c r="M576" s="3093">
        <f t="shared" si="100"/>
        <v>1</v>
      </c>
      <c r="N576" s="293"/>
      <c r="O576" s="3093">
        <f t="shared" si="101"/>
        <v>1</v>
      </c>
      <c r="P576" s="291" t="s">
        <v>3022</v>
      </c>
      <c r="Q576" s="3093">
        <f t="shared" si="102"/>
        <v>1</v>
      </c>
      <c r="R576" s="3093">
        <f t="shared" si="103"/>
        <v>27051</v>
      </c>
      <c r="S576" s="1651">
        <f t="shared" si="104"/>
        <v>240</v>
      </c>
    </row>
    <row r="577" spans="1:19">
      <c r="A577" s="1061" t="str">
        <f>清单!D682</f>
        <v>C-5-4-302</v>
      </c>
      <c r="B577" s="1061">
        <f>清单!F682</f>
        <v>61.24</v>
      </c>
      <c r="C577" s="3093">
        <f t="shared" si="95"/>
        <v>0.97</v>
      </c>
      <c r="D577" s="293"/>
      <c r="E577" s="3093">
        <f t="shared" si="96"/>
        <v>1</v>
      </c>
      <c r="F577" s="293"/>
      <c r="G577" s="3093">
        <f t="shared" si="97"/>
        <v>1</v>
      </c>
      <c r="H577" s="293"/>
      <c r="I577" s="3093">
        <f t="shared" si="98"/>
        <v>1</v>
      </c>
      <c r="J577" s="293"/>
      <c r="K577" s="3093">
        <f t="shared" si="99"/>
        <v>1</v>
      </c>
      <c r="L577" s="293"/>
      <c r="M577" s="3093">
        <f t="shared" si="100"/>
        <v>1</v>
      </c>
      <c r="N577" s="293"/>
      <c r="O577" s="3093">
        <f t="shared" si="101"/>
        <v>1</v>
      </c>
      <c r="P577" s="291" t="s">
        <v>3024</v>
      </c>
      <c r="Q577" s="3093">
        <f t="shared" si="102"/>
        <v>0.97</v>
      </c>
      <c r="R577" s="3093">
        <f t="shared" si="103"/>
        <v>26240</v>
      </c>
      <c r="S577" s="1651">
        <f t="shared" si="104"/>
        <v>161</v>
      </c>
    </row>
    <row r="578" spans="1:19">
      <c r="A578" s="1061" t="str">
        <f>清单!D701</f>
        <v>C-5-4-903</v>
      </c>
      <c r="B578" s="1061">
        <f>清单!F701</f>
        <v>51.62</v>
      </c>
      <c r="C578" s="3093">
        <f t="shared" ref="C578:C636" si="105">IF(B578="",1,(LOOKUP(B578,$3:$3,$4:$4)-LOOKUP($B$24,$3:$3,$4:$4)+100)/100)</f>
        <v>1</v>
      </c>
      <c r="D578" s="293"/>
      <c r="E578" s="3093">
        <f t="shared" ref="E578:E636" si="106">(SUMIF($5:$5,D578,$6:$6)-SUMIF($5:$5,$D$24,$6:$6)+100)/100</f>
        <v>1</v>
      </c>
      <c r="F578" s="293"/>
      <c r="G578" s="3093">
        <f t="shared" ref="G578:G636" si="107">(SUMIF($7:$7,F578,$8:$8)-SUMIF($7:$7,$F$24,$8:$8)+100)/100</f>
        <v>1</v>
      </c>
      <c r="H578" s="293"/>
      <c r="I578" s="3093">
        <f t="shared" ref="I578:I636" si="108">(SUMIF($9:$9,H578,$10:$10)-SUMIF($9:$9,$H$24,$10:$10)+100)/100</f>
        <v>1</v>
      </c>
      <c r="J578" s="293"/>
      <c r="K578" s="3093">
        <f t="shared" ref="K578:K636" si="109">(SUMIF($11:$11,J578,$12:$12)-SUMIF($11:$11,$J$24,$12:$12)+100)/100</f>
        <v>1</v>
      </c>
      <c r="L578" s="293"/>
      <c r="M578" s="3093">
        <f t="shared" ref="M578:M636" si="110">(SUMIF($13:$13,L578,$14:$14)-SUMIF($13:$13,$L$24,$14:$14)+100)/100</f>
        <v>1</v>
      </c>
      <c r="N578" s="293"/>
      <c r="O578" s="3093">
        <f t="shared" ref="O578:O636" si="111">(SUMIF($15:$15,N578,$16:$16)-SUMIF($15:$15,$N$24,$16:$16)+100)/100</f>
        <v>1</v>
      </c>
      <c r="P578" s="291" t="s">
        <v>3022</v>
      </c>
      <c r="Q578" s="3093">
        <f t="shared" ref="Q578:Q636" si="112">(SUMIF($17:$17,P578,$18:$18)-SUMIF($17:$17,$P$24,$18:$18)+100)/100</f>
        <v>1</v>
      </c>
      <c r="R578" s="3093">
        <f t="shared" ref="R578:R636" si="113">IF(B578="",0,ROUND($R$24*C578*E578*G578*I578*K578*M578*O578*Q578,0))</f>
        <v>27888</v>
      </c>
      <c r="S578" s="1651">
        <f t="shared" ref="S578:S636" si="114">ROUND(R578*B578/10000,0)</f>
        <v>144</v>
      </c>
    </row>
    <row r="579" spans="1:19">
      <c r="A579" s="1061" t="str">
        <f>清单!D702</f>
        <v>C-6-1-101</v>
      </c>
      <c r="B579" s="1061">
        <f>清单!F702</f>
        <v>50.42</v>
      </c>
      <c r="C579" s="3093">
        <f t="shared" si="105"/>
        <v>1</v>
      </c>
      <c r="D579" s="293"/>
      <c r="E579" s="3093">
        <f t="shared" si="106"/>
        <v>1</v>
      </c>
      <c r="F579" s="293"/>
      <c r="G579" s="3093">
        <f t="shared" si="107"/>
        <v>1</v>
      </c>
      <c r="H579" s="293"/>
      <c r="I579" s="3093">
        <f t="shared" si="108"/>
        <v>1</v>
      </c>
      <c r="J579" s="293"/>
      <c r="K579" s="3093">
        <f t="shared" si="109"/>
        <v>1</v>
      </c>
      <c r="L579" s="293"/>
      <c r="M579" s="3093">
        <f t="shared" si="110"/>
        <v>1</v>
      </c>
      <c r="N579" s="293"/>
      <c r="O579" s="3093">
        <f t="shared" si="111"/>
        <v>1</v>
      </c>
      <c r="P579" s="291" t="s">
        <v>3024</v>
      </c>
      <c r="Q579" s="3093">
        <f t="shared" si="112"/>
        <v>0.97</v>
      </c>
      <c r="R579" s="3093">
        <f t="shared" si="113"/>
        <v>27051</v>
      </c>
      <c r="S579" s="1651">
        <f t="shared" si="114"/>
        <v>136</v>
      </c>
    </row>
    <row r="580" spans="1:19">
      <c r="A580" s="1061" t="str">
        <f>清单!D685</f>
        <v>C-5-4-402</v>
      </c>
      <c r="B580" s="1061">
        <f>清单!F685</f>
        <v>61.24</v>
      </c>
      <c r="C580" s="3093">
        <f t="shared" si="105"/>
        <v>0.97</v>
      </c>
      <c r="D580" s="293"/>
      <c r="E580" s="3093">
        <f t="shared" si="106"/>
        <v>1</v>
      </c>
      <c r="F580" s="293"/>
      <c r="G580" s="3093">
        <f t="shared" si="107"/>
        <v>1</v>
      </c>
      <c r="H580" s="293"/>
      <c r="I580" s="3093">
        <f t="shared" si="108"/>
        <v>1</v>
      </c>
      <c r="J580" s="293"/>
      <c r="K580" s="3093">
        <f t="shared" si="109"/>
        <v>1</v>
      </c>
      <c r="L580" s="293"/>
      <c r="M580" s="3093">
        <f t="shared" si="110"/>
        <v>1</v>
      </c>
      <c r="N580" s="293"/>
      <c r="O580" s="3093">
        <f t="shared" si="111"/>
        <v>1</v>
      </c>
      <c r="P580" s="291" t="s">
        <v>3024</v>
      </c>
      <c r="Q580" s="3093">
        <f t="shared" si="112"/>
        <v>0.97</v>
      </c>
      <c r="R580" s="3093">
        <f t="shared" si="113"/>
        <v>26240</v>
      </c>
      <c r="S580" s="1651">
        <f t="shared" si="114"/>
        <v>161</v>
      </c>
    </row>
    <row r="581" spans="1:19">
      <c r="A581" s="1061" t="str">
        <f>清单!D704</f>
        <v>C-6-1-103</v>
      </c>
      <c r="B581" s="1061">
        <f>清单!F704</f>
        <v>49.78</v>
      </c>
      <c r="C581" s="3093">
        <f t="shared" si="105"/>
        <v>1</v>
      </c>
      <c r="D581" s="293"/>
      <c r="E581" s="3093">
        <f t="shared" si="106"/>
        <v>1</v>
      </c>
      <c r="F581" s="293"/>
      <c r="G581" s="3093">
        <f t="shared" si="107"/>
        <v>1</v>
      </c>
      <c r="H581" s="293"/>
      <c r="I581" s="3093">
        <f t="shared" si="108"/>
        <v>1</v>
      </c>
      <c r="J581" s="293"/>
      <c r="K581" s="3093">
        <f t="shared" si="109"/>
        <v>1</v>
      </c>
      <c r="L581" s="293"/>
      <c r="M581" s="3093">
        <f t="shared" si="110"/>
        <v>1</v>
      </c>
      <c r="N581" s="293"/>
      <c r="O581" s="3093">
        <f t="shared" si="111"/>
        <v>1</v>
      </c>
      <c r="P581" s="291" t="s">
        <v>3024</v>
      </c>
      <c r="Q581" s="3093">
        <f t="shared" si="112"/>
        <v>0.97</v>
      </c>
      <c r="R581" s="3093">
        <f t="shared" si="113"/>
        <v>27051</v>
      </c>
      <c r="S581" s="1651">
        <f t="shared" si="114"/>
        <v>135</v>
      </c>
    </row>
    <row r="582" spans="1:19">
      <c r="A582" s="1061" t="str">
        <f>清单!D705</f>
        <v>C-6-1-201</v>
      </c>
      <c r="B582" s="1061">
        <f>清单!F705</f>
        <v>50.42</v>
      </c>
      <c r="C582" s="3093">
        <f t="shared" si="105"/>
        <v>1</v>
      </c>
      <c r="D582" s="293"/>
      <c r="E582" s="3093">
        <f t="shared" si="106"/>
        <v>1</v>
      </c>
      <c r="F582" s="293"/>
      <c r="G582" s="3093">
        <f t="shared" si="107"/>
        <v>1</v>
      </c>
      <c r="H582" s="293"/>
      <c r="I582" s="3093">
        <f t="shared" si="108"/>
        <v>1</v>
      </c>
      <c r="J582" s="293"/>
      <c r="K582" s="3093">
        <f t="shared" si="109"/>
        <v>1</v>
      </c>
      <c r="L582" s="293"/>
      <c r="M582" s="3093">
        <f t="shared" si="110"/>
        <v>1</v>
      </c>
      <c r="N582" s="293"/>
      <c r="O582" s="3093">
        <f t="shared" si="111"/>
        <v>1</v>
      </c>
      <c r="P582" s="291" t="s">
        <v>3024</v>
      </c>
      <c r="Q582" s="3093">
        <f t="shared" si="112"/>
        <v>0.97</v>
      </c>
      <c r="R582" s="3093">
        <f t="shared" si="113"/>
        <v>27051</v>
      </c>
      <c r="S582" s="1651">
        <f t="shared" si="114"/>
        <v>136</v>
      </c>
    </row>
    <row r="583" spans="1:19">
      <c r="A583" s="1061" t="str">
        <f>清单!D688</f>
        <v>C-5-4-502</v>
      </c>
      <c r="B583" s="1061">
        <f>清单!F688</f>
        <v>61.24</v>
      </c>
      <c r="C583" s="3093">
        <f t="shared" si="105"/>
        <v>0.97</v>
      </c>
      <c r="D583" s="293"/>
      <c r="E583" s="3093">
        <f t="shared" si="106"/>
        <v>1</v>
      </c>
      <c r="F583" s="293"/>
      <c r="G583" s="3093">
        <f t="shared" si="107"/>
        <v>1</v>
      </c>
      <c r="H583" s="293"/>
      <c r="I583" s="3093">
        <f t="shared" si="108"/>
        <v>1</v>
      </c>
      <c r="J583" s="293"/>
      <c r="K583" s="3093">
        <f t="shared" si="109"/>
        <v>1</v>
      </c>
      <c r="L583" s="293"/>
      <c r="M583" s="3093">
        <f t="shared" si="110"/>
        <v>1</v>
      </c>
      <c r="N583" s="293"/>
      <c r="O583" s="3093">
        <f t="shared" si="111"/>
        <v>1</v>
      </c>
      <c r="P583" s="291" t="s">
        <v>3024</v>
      </c>
      <c r="Q583" s="3093">
        <f t="shared" si="112"/>
        <v>0.97</v>
      </c>
      <c r="R583" s="3093">
        <f t="shared" si="113"/>
        <v>26240</v>
      </c>
      <c r="S583" s="1651">
        <f t="shared" si="114"/>
        <v>161</v>
      </c>
    </row>
    <row r="584" spans="1:19">
      <c r="A584" s="1061" t="str">
        <f>清单!D707</f>
        <v>C-6-1-203</v>
      </c>
      <c r="B584" s="1061">
        <f>清单!F707</f>
        <v>49.78</v>
      </c>
      <c r="C584" s="3093">
        <f t="shared" si="105"/>
        <v>1</v>
      </c>
      <c r="D584" s="293"/>
      <c r="E584" s="3093">
        <f t="shared" si="106"/>
        <v>1</v>
      </c>
      <c r="F584" s="293"/>
      <c r="G584" s="3093">
        <f t="shared" si="107"/>
        <v>1</v>
      </c>
      <c r="H584" s="293"/>
      <c r="I584" s="3093">
        <f t="shared" si="108"/>
        <v>1</v>
      </c>
      <c r="J584" s="293"/>
      <c r="K584" s="3093">
        <f t="shared" si="109"/>
        <v>1</v>
      </c>
      <c r="L584" s="293"/>
      <c r="M584" s="3093">
        <f t="shared" si="110"/>
        <v>1</v>
      </c>
      <c r="N584" s="293"/>
      <c r="O584" s="3093">
        <f t="shared" si="111"/>
        <v>1</v>
      </c>
      <c r="P584" s="291" t="s">
        <v>3024</v>
      </c>
      <c r="Q584" s="3093">
        <f t="shared" si="112"/>
        <v>0.97</v>
      </c>
      <c r="R584" s="3093">
        <f t="shared" si="113"/>
        <v>27051</v>
      </c>
      <c r="S584" s="1651">
        <f t="shared" si="114"/>
        <v>135</v>
      </c>
    </row>
    <row r="585" spans="1:19">
      <c r="A585" s="1061" t="str">
        <f>清单!D708</f>
        <v>C-6-1-301</v>
      </c>
      <c r="B585" s="1061">
        <f>清单!F708</f>
        <v>50.42</v>
      </c>
      <c r="C585" s="3093">
        <f t="shared" si="105"/>
        <v>1</v>
      </c>
      <c r="D585" s="293"/>
      <c r="E585" s="3093">
        <f t="shared" si="106"/>
        <v>1</v>
      </c>
      <c r="F585" s="293"/>
      <c r="G585" s="3093">
        <f t="shared" si="107"/>
        <v>1</v>
      </c>
      <c r="H585" s="293"/>
      <c r="I585" s="3093">
        <f t="shared" si="108"/>
        <v>1</v>
      </c>
      <c r="J585" s="293"/>
      <c r="K585" s="3093">
        <f t="shared" si="109"/>
        <v>1</v>
      </c>
      <c r="L585" s="293"/>
      <c r="M585" s="3093">
        <f t="shared" si="110"/>
        <v>1</v>
      </c>
      <c r="N585" s="293"/>
      <c r="O585" s="3093">
        <f t="shared" si="111"/>
        <v>1</v>
      </c>
      <c r="P585" s="291" t="s">
        <v>3024</v>
      </c>
      <c r="Q585" s="3093">
        <f t="shared" si="112"/>
        <v>0.97</v>
      </c>
      <c r="R585" s="3093">
        <f t="shared" si="113"/>
        <v>27051</v>
      </c>
      <c r="S585" s="1651">
        <f t="shared" si="114"/>
        <v>136</v>
      </c>
    </row>
    <row r="586" spans="1:19">
      <c r="A586" s="1061" t="str">
        <f>清单!D691</f>
        <v>C-5-4-602</v>
      </c>
      <c r="B586" s="1061">
        <f>清单!F691</f>
        <v>61.24</v>
      </c>
      <c r="C586" s="3093">
        <f t="shared" si="105"/>
        <v>0.97</v>
      </c>
      <c r="D586" s="293"/>
      <c r="E586" s="3093">
        <f t="shared" si="106"/>
        <v>1</v>
      </c>
      <c r="F586" s="293"/>
      <c r="G586" s="3093">
        <f t="shared" si="107"/>
        <v>1</v>
      </c>
      <c r="H586" s="293"/>
      <c r="I586" s="3093">
        <f t="shared" si="108"/>
        <v>1</v>
      </c>
      <c r="J586" s="293"/>
      <c r="K586" s="3093">
        <f t="shared" si="109"/>
        <v>1</v>
      </c>
      <c r="L586" s="293"/>
      <c r="M586" s="3093">
        <f t="shared" si="110"/>
        <v>1</v>
      </c>
      <c r="N586" s="293"/>
      <c r="O586" s="3093">
        <f t="shared" si="111"/>
        <v>1</v>
      </c>
      <c r="P586" s="291" t="s">
        <v>3022</v>
      </c>
      <c r="Q586" s="3093">
        <f t="shared" si="112"/>
        <v>1</v>
      </c>
      <c r="R586" s="3093">
        <f t="shared" si="113"/>
        <v>27051</v>
      </c>
      <c r="S586" s="1651">
        <f t="shared" si="114"/>
        <v>166</v>
      </c>
    </row>
    <row r="587" spans="1:19">
      <c r="A587" s="1061" t="str">
        <f>清单!D710</f>
        <v>C-6-1-303</v>
      </c>
      <c r="B587" s="1061">
        <f>清单!F710</f>
        <v>49.78</v>
      </c>
      <c r="C587" s="3093">
        <f t="shared" si="105"/>
        <v>1</v>
      </c>
      <c r="D587" s="293"/>
      <c r="E587" s="3093">
        <f t="shared" si="106"/>
        <v>1</v>
      </c>
      <c r="F587" s="293"/>
      <c r="G587" s="3093">
        <f t="shared" si="107"/>
        <v>1</v>
      </c>
      <c r="H587" s="293"/>
      <c r="I587" s="3093">
        <f t="shared" si="108"/>
        <v>1</v>
      </c>
      <c r="J587" s="293"/>
      <c r="K587" s="3093">
        <f t="shared" si="109"/>
        <v>1</v>
      </c>
      <c r="L587" s="293"/>
      <c r="M587" s="3093">
        <f t="shared" si="110"/>
        <v>1</v>
      </c>
      <c r="N587" s="293"/>
      <c r="O587" s="3093">
        <f t="shared" si="111"/>
        <v>1</v>
      </c>
      <c r="P587" s="291" t="s">
        <v>3024</v>
      </c>
      <c r="Q587" s="3093">
        <f t="shared" si="112"/>
        <v>0.97</v>
      </c>
      <c r="R587" s="3093">
        <f t="shared" si="113"/>
        <v>27051</v>
      </c>
      <c r="S587" s="1651">
        <f t="shared" si="114"/>
        <v>135</v>
      </c>
    </row>
    <row r="588" spans="1:19">
      <c r="A588" s="1061" t="str">
        <f>清单!D711</f>
        <v>C-6-1-401</v>
      </c>
      <c r="B588" s="1061">
        <f>清单!F711</f>
        <v>50.42</v>
      </c>
      <c r="C588" s="3093">
        <f t="shared" si="105"/>
        <v>1</v>
      </c>
      <c r="D588" s="293"/>
      <c r="E588" s="3093">
        <f t="shared" si="106"/>
        <v>1</v>
      </c>
      <c r="F588" s="293"/>
      <c r="G588" s="3093">
        <f t="shared" si="107"/>
        <v>1</v>
      </c>
      <c r="H588" s="293"/>
      <c r="I588" s="3093">
        <f t="shared" si="108"/>
        <v>1</v>
      </c>
      <c r="J588" s="293"/>
      <c r="K588" s="3093">
        <f t="shared" si="109"/>
        <v>1</v>
      </c>
      <c r="L588" s="293"/>
      <c r="M588" s="3093">
        <f t="shared" si="110"/>
        <v>1</v>
      </c>
      <c r="N588" s="293"/>
      <c r="O588" s="3093">
        <f t="shared" si="111"/>
        <v>1</v>
      </c>
      <c r="P588" s="291" t="s">
        <v>3024</v>
      </c>
      <c r="Q588" s="3093">
        <f t="shared" si="112"/>
        <v>0.97</v>
      </c>
      <c r="R588" s="3093">
        <f t="shared" si="113"/>
        <v>27051</v>
      </c>
      <c r="S588" s="1651">
        <f t="shared" si="114"/>
        <v>136</v>
      </c>
    </row>
    <row r="589" spans="1:19">
      <c r="A589" s="1061" t="str">
        <f>清单!D694</f>
        <v>C-5-4-702</v>
      </c>
      <c r="B589" s="1061">
        <f>清单!F694</f>
        <v>61.24</v>
      </c>
      <c r="C589" s="3093">
        <f t="shared" si="105"/>
        <v>0.97</v>
      </c>
      <c r="D589" s="293"/>
      <c r="E589" s="3093">
        <f t="shared" si="106"/>
        <v>1</v>
      </c>
      <c r="F589" s="293"/>
      <c r="G589" s="3093">
        <f t="shared" si="107"/>
        <v>1</v>
      </c>
      <c r="H589" s="293"/>
      <c r="I589" s="3093">
        <f t="shared" si="108"/>
        <v>1</v>
      </c>
      <c r="J589" s="293"/>
      <c r="K589" s="3093">
        <f t="shared" si="109"/>
        <v>1</v>
      </c>
      <c r="L589" s="293"/>
      <c r="M589" s="3093">
        <f t="shared" si="110"/>
        <v>1</v>
      </c>
      <c r="N589" s="293"/>
      <c r="O589" s="3093">
        <f t="shared" si="111"/>
        <v>1</v>
      </c>
      <c r="P589" s="291" t="s">
        <v>3022</v>
      </c>
      <c r="Q589" s="3093">
        <f t="shared" si="112"/>
        <v>1</v>
      </c>
      <c r="R589" s="3093">
        <f t="shared" si="113"/>
        <v>27051</v>
      </c>
      <c r="S589" s="1651">
        <f t="shared" si="114"/>
        <v>166</v>
      </c>
    </row>
    <row r="590" spans="1:19">
      <c r="A590" s="1061" t="str">
        <f>清单!D713</f>
        <v>C-6-1-403</v>
      </c>
      <c r="B590" s="1061">
        <f>清单!F713</f>
        <v>49.78</v>
      </c>
      <c r="C590" s="3093">
        <f t="shared" si="105"/>
        <v>1</v>
      </c>
      <c r="D590" s="293"/>
      <c r="E590" s="3093">
        <f t="shared" si="106"/>
        <v>1</v>
      </c>
      <c r="F590" s="293"/>
      <c r="G590" s="3093">
        <f t="shared" si="107"/>
        <v>1</v>
      </c>
      <c r="H590" s="293"/>
      <c r="I590" s="3093">
        <f t="shared" si="108"/>
        <v>1</v>
      </c>
      <c r="J590" s="293"/>
      <c r="K590" s="3093">
        <f t="shared" si="109"/>
        <v>1</v>
      </c>
      <c r="L590" s="293"/>
      <c r="M590" s="3093">
        <f t="shared" si="110"/>
        <v>1</v>
      </c>
      <c r="N590" s="293"/>
      <c r="O590" s="3093">
        <f t="shared" si="111"/>
        <v>1</v>
      </c>
      <c r="P590" s="291" t="s">
        <v>3024</v>
      </c>
      <c r="Q590" s="3093">
        <f t="shared" si="112"/>
        <v>0.97</v>
      </c>
      <c r="R590" s="3093">
        <f t="shared" si="113"/>
        <v>27051</v>
      </c>
      <c r="S590" s="1651">
        <f t="shared" si="114"/>
        <v>135</v>
      </c>
    </row>
    <row r="591" spans="1:19">
      <c r="A591" s="1061" t="str">
        <f>清单!D714</f>
        <v>C-6-1-501</v>
      </c>
      <c r="B591" s="1061">
        <f>清单!F714</f>
        <v>50.42</v>
      </c>
      <c r="C591" s="3093">
        <f t="shared" si="105"/>
        <v>1</v>
      </c>
      <c r="D591" s="293"/>
      <c r="E591" s="3093">
        <f t="shared" si="106"/>
        <v>1</v>
      </c>
      <c r="F591" s="293"/>
      <c r="G591" s="3093">
        <f t="shared" si="107"/>
        <v>1</v>
      </c>
      <c r="H591" s="293"/>
      <c r="I591" s="3093">
        <f t="shared" si="108"/>
        <v>1</v>
      </c>
      <c r="J591" s="293"/>
      <c r="K591" s="3093">
        <f t="shared" si="109"/>
        <v>1</v>
      </c>
      <c r="L591" s="293"/>
      <c r="M591" s="3093">
        <f t="shared" si="110"/>
        <v>1</v>
      </c>
      <c r="N591" s="293"/>
      <c r="O591" s="3093">
        <f t="shared" si="111"/>
        <v>1</v>
      </c>
      <c r="P591" s="291" t="s">
        <v>3024</v>
      </c>
      <c r="Q591" s="3093">
        <f t="shared" si="112"/>
        <v>0.97</v>
      </c>
      <c r="R591" s="3093">
        <f t="shared" si="113"/>
        <v>27051</v>
      </c>
      <c r="S591" s="1651">
        <f t="shared" si="114"/>
        <v>136</v>
      </c>
    </row>
    <row r="592" spans="1:19">
      <c r="A592" s="1061" t="str">
        <f>清单!D697</f>
        <v>C-5-4-802</v>
      </c>
      <c r="B592" s="1061">
        <f>清单!F697</f>
        <v>61.24</v>
      </c>
      <c r="C592" s="3093">
        <f t="shared" si="105"/>
        <v>0.97</v>
      </c>
      <c r="D592" s="293"/>
      <c r="E592" s="3093">
        <f t="shared" si="106"/>
        <v>1</v>
      </c>
      <c r="F592" s="293"/>
      <c r="G592" s="3093">
        <f t="shared" si="107"/>
        <v>1</v>
      </c>
      <c r="H592" s="293"/>
      <c r="I592" s="3093">
        <f t="shared" si="108"/>
        <v>1</v>
      </c>
      <c r="J592" s="293"/>
      <c r="K592" s="3093">
        <f t="shared" si="109"/>
        <v>1</v>
      </c>
      <c r="L592" s="293"/>
      <c r="M592" s="3093">
        <f t="shared" si="110"/>
        <v>1</v>
      </c>
      <c r="N592" s="293"/>
      <c r="O592" s="3093">
        <f t="shared" si="111"/>
        <v>1</v>
      </c>
      <c r="P592" s="291" t="s">
        <v>3022</v>
      </c>
      <c r="Q592" s="3093">
        <f t="shared" si="112"/>
        <v>1</v>
      </c>
      <c r="R592" s="3093">
        <f t="shared" si="113"/>
        <v>27051</v>
      </c>
      <c r="S592" s="1651">
        <f t="shared" si="114"/>
        <v>166</v>
      </c>
    </row>
    <row r="593" spans="1:19">
      <c r="A593" s="1061" t="str">
        <f>清单!D698</f>
        <v>C-5-4-803</v>
      </c>
      <c r="B593" s="1061">
        <f>清单!F698</f>
        <v>51.62</v>
      </c>
      <c r="C593" s="3093">
        <f t="shared" si="105"/>
        <v>1</v>
      </c>
      <c r="D593" s="293"/>
      <c r="E593" s="3093">
        <f t="shared" si="106"/>
        <v>1</v>
      </c>
      <c r="F593" s="293"/>
      <c r="G593" s="3093">
        <f t="shared" si="107"/>
        <v>1</v>
      </c>
      <c r="H593" s="293"/>
      <c r="I593" s="3093">
        <f t="shared" si="108"/>
        <v>1</v>
      </c>
      <c r="J593" s="293"/>
      <c r="K593" s="3093">
        <f t="shared" si="109"/>
        <v>1</v>
      </c>
      <c r="L593" s="293"/>
      <c r="M593" s="3093">
        <f t="shared" si="110"/>
        <v>1</v>
      </c>
      <c r="N593" s="293"/>
      <c r="O593" s="3093">
        <f t="shared" si="111"/>
        <v>1</v>
      </c>
      <c r="P593" s="291" t="s">
        <v>3022</v>
      </c>
      <c r="Q593" s="3093">
        <f t="shared" si="112"/>
        <v>1</v>
      </c>
      <c r="R593" s="3093">
        <f t="shared" si="113"/>
        <v>27888</v>
      </c>
      <c r="S593" s="1651">
        <f t="shared" si="114"/>
        <v>144</v>
      </c>
    </row>
    <row r="594" spans="1:19">
      <c r="A594" s="1061" t="str">
        <f>清单!D717</f>
        <v>C-6-2-1001</v>
      </c>
      <c r="B594" s="1061">
        <f>清单!F717</f>
        <v>50.42</v>
      </c>
      <c r="C594" s="3093">
        <f t="shared" si="105"/>
        <v>1</v>
      </c>
      <c r="D594" s="293"/>
      <c r="E594" s="3093">
        <f t="shared" si="106"/>
        <v>1</v>
      </c>
      <c r="F594" s="293"/>
      <c r="G594" s="3093">
        <f t="shared" si="107"/>
        <v>1</v>
      </c>
      <c r="H594" s="293"/>
      <c r="I594" s="3093">
        <f t="shared" si="108"/>
        <v>1</v>
      </c>
      <c r="J594" s="293"/>
      <c r="K594" s="3093">
        <f t="shared" si="109"/>
        <v>1</v>
      </c>
      <c r="L594" s="293"/>
      <c r="M594" s="3093">
        <f t="shared" si="110"/>
        <v>1</v>
      </c>
      <c r="N594" s="293"/>
      <c r="O594" s="3093">
        <f t="shared" si="111"/>
        <v>1</v>
      </c>
      <c r="P594" s="291" t="s">
        <v>3022</v>
      </c>
      <c r="Q594" s="3093">
        <f t="shared" si="112"/>
        <v>1</v>
      </c>
      <c r="R594" s="3093">
        <f t="shared" si="113"/>
        <v>27888</v>
      </c>
      <c r="S594" s="1651">
        <f t="shared" si="114"/>
        <v>141</v>
      </c>
    </row>
    <row r="595" spans="1:19">
      <c r="A595" s="1061" t="str">
        <f>清单!D718</f>
        <v>C-6-2-1002</v>
      </c>
      <c r="B595" s="1061">
        <f>清单!F718</f>
        <v>50.12</v>
      </c>
      <c r="C595" s="3093">
        <f t="shared" si="105"/>
        <v>1</v>
      </c>
      <c r="D595" s="293"/>
      <c r="E595" s="3093">
        <f t="shared" si="106"/>
        <v>1</v>
      </c>
      <c r="F595" s="293"/>
      <c r="G595" s="3093">
        <f t="shared" si="107"/>
        <v>1</v>
      </c>
      <c r="H595" s="293"/>
      <c r="I595" s="3093">
        <f t="shared" si="108"/>
        <v>1</v>
      </c>
      <c r="J595" s="293"/>
      <c r="K595" s="3093">
        <f t="shared" si="109"/>
        <v>1</v>
      </c>
      <c r="L595" s="293"/>
      <c r="M595" s="3093">
        <f t="shared" si="110"/>
        <v>1</v>
      </c>
      <c r="N595" s="293"/>
      <c r="O595" s="3093">
        <f t="shared" si="111"/>
        <v>1</v>
      </c>
      <c r="P595" s="291" t="s">
        <v>3022</v>
      </c>
      <c r="Q595" s="3093">
        <f t="shared" si="112"/>
        <v>1</v>
      </c>
      <c r="R595" s="3093">
        <f t="shared" si="113"/>
        <v>27888</v>
      </c>
      <c r="S595" s="1651">
        <f t="shared" si="114"/>
        <v>140</v>
      </c>
    </row>
    <row r="596" spans="1:19">
      <c r="A596" s="1061" t="str">
        <f>清单!D701</f>
        <v>C-5-4-903</v>
      </c>
      <c r="B596" s="1061">
        <f>清单!F701</f>
        <v>51.62</v>
      </c>
      <c r="C596" s="3093">
        <f t="shared" si="105"/>
        <v>1</v>
      </c>
      <c r="D596" s="293"/>
      <c r="E596" s="3093">
        <f t="shared" si="106"/>
        <v>1</v>
      </c>
      <c r="F596" s="293"/>
      <c r="G596" s="3093">
        <f t="shared" si="107"/>
        <v>1</v>
      </c>
      <c r="H596" s="293"/>
      <c r="I596" s="3093">
        <f t="shared" si="108"/>
        <v>1</v>
      </c>
      <c r="J596" s="293"/>
      <c r="K596" s="3093">
        <f t="shared" si="109"/>
        <v>1</v>
      </c>
      <c r="L596" s="293"/>
      <c r="M596" s="3093">
        <f t="shared" si="110"/>
        <v>1</v>
      </c>
      <c r="N596" s="293"/>
      <c r="O596" s="3093">
        <f t="shared" si="111"/>
        <v>1</v>
      </c>
      <c r="P596" s="291" t="s">
        <v>3022</v>
      </c>
      <c r="Q596" s="3093">
        <f t="shared" si="112"/>
        <v>1</v>
      </c>
      <c r="R596" s="3093">
        <f t="shared" si="113"/>
        <v>27888</v>
      </c>
      <c r="S596" s="1651">
        <f t="shared" si="114"/>
        <v>144</v>
      </c>
    </row>
    <row r="597" spans="1:19">
      <c r="A597" s="1061" t="str">
        <f>清单!D702</f>
        <v>C-6-1-101</v>
      </c>
      <c r="B597" s="1061">
        <f>清单!F702</f>
        <v>50.42</v>
      </c>
      <c r="C597" s="3093">
        <f t="shared" si="105"/>
        <v>1</v>
      </c>
      <c r="D597" s="293"/>
      <c r="E597" s="3093">
        <f t="shared" si="106"/>
        <v>1</v>
      </c>
      <c r="F597" s="293"/>
      <c r="G597" s="3093">
        <f t="shared" si="107"/>
        <v>1</v>
      </c>
      <c r="H597" s="293"/>
      <c r="I597" s="3093">
        <f t="shared" si="108"/>
        <v>1</v>
      </c>
      <c r="J597" s="293"/>
      <c r="K597" s="3093">
        <f t="shared" si="109"/>
        <v>1</v>
      </c>
      <c r="L597" s="293"/>
      <c r="M597" s="3093">
        <f t="shared" si="110"/>
        <v>1</v>
      </c>
      <c r="N597" s="293"/>
      <c r="O597" s="3093">
        <f t="shared" si="111"/>
        <v>1</v>
      </c>
      <c r="P597" s="291" t="s">
        <v>3024</v>
      </c>
      <c r="Q597" s="3093">
        <f t="shared" si="112"/>
        <v>0.97</v>
      </c>
      <c r="R597" s="3093">
        <f t="shared" si="113"/>
        <v>27051</v>
      </c>
      <c r="S597" s="1651">
        <f t="shared" si="114"/>
        <v>136</v>
      </c>
    </row>
    <row r="598" spans="1:19">
      <c r="A598" s="1061" t="str">
        <f>清单!D721</f>
        <v>C-6-2-102</v>
      </c>
      <c r="B598" s="1061">
        <f>清单!F721</f>
        <v>50.12</v>
      </c>
      <c r="C598" s="3093">
        <f t="shared" si="105"/>
        <v>1</v>
      </c>
      <c r="D598" s="293"/>
      <c r="E598" s="3093">
        <f t="shared" si="106"/>
        <v>1</v>
      </c>
      <c r="F598" s="293"/>
      <c r="G598" s="3093">
        <f t="shared" si="107"/>
        <v>1</v>
      </c>
      <c r="H598" s="293"/>
      <c r="I598" s="3093">
        <f t="shared" si="108"/>
        <v>1</v>
      </c>
      <c r="J598" s="293"/>
      <c r="K598" s="3093">
        <f t="shared" si="109"/>
        <v>1</v>
      </c>
      <c r="L598" s="293"/>
      <c r="M598" s="3093">
        <f t="shared" si="110"/>
        <v>1</v>
      </c>
      <c r="N598" s="293"/>
      <c r="O598" s="3093">
        <f t="shared" si="111"/>
        <v>1</v>
      </c>
      <c r="P598" s="291" t="s">
        <v>3024</v>
      </c>
      <c r="Q598" s="3093">
        <f t="shared" si="112"/>
        <v>0.97</v>
      </c>
      <c r="R598" s="3093">
        <f t="shared" si="113"/>
        <v>27051</v>
      </c>
      <c r="S598" s="1651">
        <f t="shared" si="114"/>
        <v>136</v>
      </c>
    </row>
    <row r="599" spans="1:19">
      <c r="A599" s="1061" t="str">
        <f>清单!D722</f>
        <v>C-6-2-103</v>
      </c>
      <c r="B599" s="1061">
        <f>清单!F722</f>
        <v>49.94</v>
      </c>
      <c r="C599" s="3093">
        <f t="shared" si="105"/>
        <v>1</v>
      </c>
      <c r="D599" s="293"/>
      <c r="E599" s="3093">
        <f t="shared" si="106"/>
        <v>1</v>
      </c>
      <c r="F599" s="293"/>
      <c r="G599" s="3093">
        <f t="shared" si="107"/>
        <v>1</v>
      </c>
      <c r="H599" s="293"/>
      <c r="I599" s="3093">
        <f t="shared" si="108"/>
        <v>1</v>
      </c>
      <c r="J599" s="293"/>
      <c r="K599" s="3093">
        <f t="shared" si="109"/>
        <v>1</v>
      </c>
      <c r="L599" s="293"/>
      <c r="M599" s="3093">
        <f t="shared" si="110"/>
        <v>1</v>
      </c>
      <c r="N599" s="293"/>
      <c r="O599" s="3093">
        <f t="shared" si="111"/>
        <v>1</v>
      </c>
      <c r="P599" s="291" t="s">
        <v>3024</v>
      </c>
      <c r="Q599" s="3093">
        <f t="shared" si="112"/>
        <v>0.97</v>
      </c>
      <c r="R599" s="3093">
        <f t="shared" si="113"/>
        <v>27051</v>
      </c>
      <c r="S599" s="1651">
        <f t="shared" si="114"/>
        <v>135</v>
      </c>
    </row>
    <row r="600" spans="1:19">
      <c r="A600" s="1061" t="str">
        <f>清单!D705</f>
        <v>C-6-1-201</v>
      </c>
      <c r="B600" s="1061">
        <f>清单!F705</f>
        <v>50.42</v>
      </c>
      <c r="C600" s="3093">
        <f t="shared" si="105"/>
        <v>1</v>
      </c>
      <c r="D600" s="293"/>
      <c r="E600" s="3093">
        <f t="shared" si="106"/>
        <v>1</v>
      </c>
      <c r="F600" s="293"/>
      <c r="G600" s="3093">
        <f t="shared" si="107"/>
        <v>1</v>
      </c>
      <c r="H600" s="293"/>
      <c r="I600" s="3093">
        <f t="shared" si="108"/>
        <v>1</v>
      </c>
      <c r="J600" s="293"/>
      <c r="K600" s="3093">
        <f t="shared" si="109"/>
        <v>1</v>
      </c>
      <c r="L600" s="293"/>
      <c r="M600" s="3093">
        <f t="shared" si="110"/>
        <v>1</v>
      </c>
      <c r="N600" s="293"/>
      <c r="O600" s="3093">
        <f t="shared" si="111"/>
        <v>1</v>
      </c>
      <c r="P600" s="291" t="s">
        <v>3024</v>
      </c>
      <c r="Q600" s="3093">
        <f t="shared" si="112"/>
        <v>0.97</v>
      </c>
      <c r="R600" s="3093">
        <f t="shared" si="113"/>
        <v>27051</v>
      </c>
      <c r="S600" s="1651">
        <f t="shared" si="114"/>
        <v>136</v>
      </c>
    </row>
    <row r="601" spans="1:19">
      <c r="A601" s="1061" t="str">
        <f>清单!D706</f>
        <v>C-6-1-202</v>
      </c>
      <c r="B601" s="1061">
        <f>清单!F706</f>
        <v>50.12</v>
      </c>
      <c r="C601" s="3093">
        <f t="shared" si="105"/>
        <v>1</v>
      </c>
      <c r="D601" s="293"/>
      <c r="E601" s="3093">
        <f t="shared" si="106"/>
        <v>1</v>
      </c>
      <c r="F601" s="293"/>
      <c r="G601" s="3093">
        <f t="shared" si="107"/>
        <v>1</v>
      </c>
      <c r="H601" s="293"/>
      <c r="I601" s="3093">
        <f t="shared" si="108"/>
        <v>1</v>
      </c>
      <c r="J601" s="293"/>
      <c r="K601" s="3093">
        <f t="shared" si="109"/>
        <v>1</v>
      </c>
      <c r="L601" s="293"/>
      <c r="M601" s="3093">
        <f t="shared" si="110"/>
        <v>1</v>
      </c>
      <c r="N601" s="293"/>
      <c r="O601" s="3093">
        <f t="shared" si="111"/>
        <v>1</v>
      </c>
      <c r="P601" s="291" t="s">
        <v>3024</v>
      </c>
      <c r="Q601" s="3093">
        <f t="shared" si="112"/>
        <v>0.97</v>
      </c>
      <c r="R601" s="3093">
        <f t="shared" si="113"/>
        <v>27051</v>
      </c>
      <c r="S601" s="1651">
        <f t="shared" si="114"/>
        <v>136</v>
      </c>
    </row>
    <row r="602" spans="1:19">
      <c r="A602" s="1061" t="str">
        <f>清单!D725</f>
        <v>C-6-2-1103</v>
      </c>
      <c r="B602" s="1061">
        <f>清单!F725</f>
        <v>49.94</v>
      </c>
      <c r="C602" s="3093">
        <f t="shared" si="105"/>
        <v>1</v>
      </c>
      <c r="D602" s="293"/>
      <c r="E602" s="3093">
        <f t="shared" si="106"/>
        <v>1</v>
      </c>
      <c r="F602" s="293"/>
      <c r="G602" s="3093">
        <f t="shared" si="107"/>
        <v>1</v>
      </c>
      <c r="H602" s="293"/>
      <c r="I602" s="3093">
        <f t="shared" si="108"/>
        <v>1</v>
      </c>
      <c r="J602" s="293"/>
      <c r="K602" s="3093">
        <f t="shared" si="109"/>
        <v>1</v>
      </c>
      <c r="L602" s="293"/>
      <c r="M602" s="3093">
        <f t="shared" si="110"/>
        <v>1</v>
      </c>
      <c r="N602" s="293"/>
      <c r="O602" s="3093">
        <f t="shared" si="111"/>
        <v>1</v>
      </c>
      <c r="P602" s="291" t="s">
        <v>3020</v>
      </c>
      <c r="Q602" s="3093">
        <f t="shared" si="112"/>
        <v>1.03</v>
      </c>
      <c r="R602" s="3093">
        <f t="shared" si="113"/>
        <v>28725</v>
      </c>
      <c r="S602" s="1651">
        <f t="shared" si="114"/>
        <v>143</v>
      </c>
    </row>
    <row r="603" spans="1:19">
      <c r="A603" s="1061" t="str">
        <f>清单!D726</f>
        <v>C-6-2-201</v>
      </c>
      <c r="B603" s="1061">
        <f>清单!F726</f>
        <v>49.78</v>
      </c>
      <c r="C603" s="3093">
        <f t="shared" si="105"/>
        <v>1</v>
      </c>
      <c r="D603" s="293"/>
      <c r="E603" s="3093">
        <f t="shared" si="106"/>
        <v>1</v>
      </c>
      <c r="F603" s="293"/>
      <c r="G603" s="3093">
        <f t="shared" si="107"/>
        <v>1</v>
      </c>
      <c r="H603" s="293"/>
      <c r="I603" s="3093">
        <f t="shared" si="108"/>
        <v>1</v>
      </c>
      <c r="J603" s="293"/>
      <c r="K603" s="3093">
        <f t="shared" si="109"/>
        <v>1</v>
      </c>
      <c r="L603" s="293"/>
      <c r="M603" s="3093">
        <f t="shared" si="110"/>
        <v>1</v>
      </c>
      <c r="N603" s="293"/>
      <c r="O603" s="3093">
        <f t="shared" si="111"/>
        <v>1</v>
      </c>
      <c r="P603" s="291" t="s">
        <v>3024</v>
      </c>
      <c r="Q603" s="3093">
        <f t="shared" si="112"/>
        <v>0.97</v>
      </c>
      <c r="R603" s="3093">
        <f t="shared" si="113"/>
        <v>27051</v>
      </c>
      <c r="S603" s="1651">
        <f t="shared" si="114"/>
        <v>135</v>
      </c>
    </row>
    <row r="604" spans="1:19">
      <c r="A604" s="1061" t="str">
        <f>清单!D709</f>
        <v>C-6-1-302</v>
      </c>
      <c r="B604" s="1061">
        <f>清单!F709</f>
        <v>50.12</v>
      </c>
      <c r="C604" s="3093">
        <f t="shared" si="105"/>
        <v>1</v>
      </c>
      <c r="D604" s="293"/>
      <c r="E604" s="3093">
        <f t="shared" si="106"/>
        <v>1</v>
      </c>
      <c r="F604" s="293"/>
      <c r="G604" s="3093">
        <f t="shared" si="107"/>
        <v>1</v>
      </c>
      <c r="H604" s="293"/>
      <c r="I604" s="3093">
        <f t="shared" si="108"/>
        <v>1</v>
      </c>
      <c r="J604" s="293"/>
      <c r="K604" s="3093">
        <f t="shared" si="109"/>
        <v>1</v>
      </c>
      <c r="L604" s="293"/>
      <c r="M604" s="3093">
        <f t="shared" si="110"/>
        <v>1</v>
      </c>
      <c r="N604" s="293"/>
      <c r="O604" s="3093">
        <f t="shared" si="111"/>
        <v>1</v>
      </c>
      <c r="P604" s="291" t="s">
        <v>3024</v>
      </c>
      <c r="Q604" s="3093">
        <f t="shared" si="112"/>
        <v>0.97</v>
      </c>
      <c r="R604" s="3093">
        <f t="shared" si="113"/>
        <v>27051</v>
      </c>
      <c r="S604" s="1651">
        <f t="shared" si="114"/>
        <v>136</v>
      </c>
    </row>
    <row r="605" spans="1:19">
      <c r="A605" s="1061" t="str">
        <f>清单!D710</f>
        <v>C-6-1-303</v>
      </c>
      <c r="B605" s="1061">
        <f>清单!F710</f>
        <v>49.78</v>
      </c>
      <c r="C605" s="3093">
        <f t="shared" si="105"/>
        <v>1</v>
      </c>
      <c r="D605" s="293"/>
      <c r="E605" s="3093">
        <f t="shared" si="106"/>
        <v>1</v>
      </c>
      <c r="F605" s="293"/>
      <c r="G605" s="3093">
        <f t="shared" si="107"/>
        <v>1</v>
      </c>
      <c r="H605" s="293"/>
      <c r="I605" s="3093">
        <f t="shared" si="108"/>
        <v>1</v>
      </c>
      <c r="J605" s="293"/>
      <c r="K605" s="3093">
        <f t="shared" si="109"/>
        <v>1</v>
      </c>
      <c r="L605" s="293"/>
      <c r="M605" s="3093">
        <f t="shared" si="110"/>
        <v>1</v>
      </c>
      <c r="N605" s="293"/>
      <c r="O605" s="3093">
        <f t="shared" si="111"/>
        <v>1</v>
      </c>
      <c r="P605" s="291" t="s">
        <v>3024</v>
      </c>
      <c r="Q605" s="3093">
        <f t="shared" si="112"/>
        <v>0.97</v>
      </c>
      <c r="R605" s="3093">
        <f t="shared" si="113"/>
        <v>27051</v>
      </c>
      <c r="S605" s="1651">
        <f t="shared" si="114"/>
        <v>135</v>
      </c>
    </row>
    <row r="606" spans="1:19">
      <c r="A606" s="1061" t="str">
        <f>清单!D729</f>
        <v>C-6-2-301</v>
      </c>
      <c r="B606" s="1061">
        <f>清单!F729</f>
        <v>49.78</v>
      </c>
      <c r="C606" s="3093">
        <f t="shared" si="105"/>
        <v>1</v>
      </c>
      <c r="D606" s="293"/>
      <c r="E606" s="3093">
        <f t="shared" si="106"/>
        <v>1</v>
      </c>
      <c r="F606" s="293"/>
      <c r="G606" s="3093">
        <f t="shared" si="107"/>
        <v>1</v>
      </c>
      <c r="H606" s="293"/>
      <c r="I606" s="3093">
        <f t="shared" si="108"/>
        <v>1</v>
      </c>
      <c r="J606" s="293"/>
      <c r="K606" s="3093">
        <f t="shared" si="109"/>
        <v>1</v>
      </c>
      <c r="L606" s="293"/>
      <c r="M606" s="3093">
        <f t="shared" si="110"/>
        <v>1</v>
      </c>
      <c r="N606" s="293"/>
      <c r="O606" s="3093">
        <f t="shared" si="111"/>
        <v>1</v>
      </c>
      <c r="P606" s="291" t="s">
        <v>3024</v>
      </c>
      <c r="Q606" s="3093">
        <f t="shared" si="112"/>
        <v>0.97</v>
      </c>
      <c r="R606" s="3093">
        <f t="shared" si="113"/>
        <v>27051</v>
      </c>
      <c r="S606" s="1651">
        <f t="shared" si="114"/>
        <v>135</v>
      </c>
    </row>
    <row r="607" spans="1:19">
      <c r="A607" s="1061" t="str">
        <f>清单!D730</f>
        <v>C-6-2-302</v>
      </c>
      <c r="B607" s="1061">
        <f>清单!F730</f>
        <v>50.12</v>
      </c>
      <c r="C607" s="3093">
        <f t="shared" si="105"/>
        <v>1</v>
      </c>
      <c r="D607" s="293"/>
      <c r="E607" s="3093">
        <f t="shared" si="106"/>
        <v>1</v>
      </c>
      <c r="F607" s="293"/>
      <c r="G607" s="3093">
        <f t="shared" si="107"/>
        <v>1</v>
      </c>
      <c r="H607" s="293"/>
      <c r="I607" s="3093">
        <f t="shared" si="108"/>
        <v>1</v>
      </c>
      <c r="J607" s="293"/>
      <c r="K607" s="3093">
        <f t="shared" si="109"/>
        <v>1</v>
      </c>
      <c r="L607" s="293"/>
      <c r="M607" s="3093">
        <f t="shared" si="110"/>
        <v>1</v>
      </c>
      <c r="N607" s="293"/>
      <c r="O607" s="3093">
        <f t="shared" si="111"/>
        <v>1</v>
      </c>
      <c r="P607" s="291" t="s">
        <v>3024</v>
      </c>
      <c r="Q607" s="3093">
        <f t="shared" si="112"/>
        <v>0.97</v>
      </c>
      <c r="R607" s="3093">
        <f t="shared" si="113"/>
        <v>27051</v>
      </c>
      <c r="S607" s="1651">
        <f t="shared" si="114"/>
        <v>136</v>
      </c>
    </row>
    <row r="608" spans="1:19">
      <c r="A608" s="1061" t="str">
        <f>清单!D713</f>
        <v>C-6-1-403</v>
      </c>
      <c r="B608" s="1061">
        <f>清单!F713</f>
        <v>49.78</v>
      </c>
      <c r="C608" s="3093">
        <f t="shared" si="105"/>
        <v>1</v>
      </c>
      <c r="D608" s="293"/>
      <c r="E608" s="3093">
        <f t="shared" si="106"/>
        <v>1</v>
      </c>
      <c r="F608" s="293"/>
      <c r="G608" s="3093">
        <f t="shared" si="107"/>
        <v>1</v>
      </c>
      <c r="H608" s="293"/>
      <c r="I608" s="3093">
        <f t="shared" si="108"/>
        <v>1</v>
      </c>
      <c r="J608" s="293"/>
      <c r="K608" s="3093">
        <f t="shared" si="109"/>
        <v>1</v>
      </c>
      <c r="L608" s="293"/>
      <c r="M608" s="3093">
        <f t="shared" si="110"/>
        <v>1</v>
      </c>
      <c r="N608" s="293"/>
      <c r="O608" s="3093">
        <f t="shared" si="111"/>
        <v>1</v>
      </c>
      <c r="P608" s="291" t="s">
        <v>3024</v>
      </c>
      <c r="Q608" s="3093">
        <f t="shared" si="112"/>
        <v>0.97</v>
      </c>
      <c r="R608" s="3093">
        <f t="shared" si="113"/>
        <v>27051</v>
      </c>
      <c r="S608" s="1651">
        <f t="shared" si="114"/>
        <v>135</v>
      </c>
    </row>
    <row r="609" spans="1:19">
      <c r="A609" s="1061" t="str">
        <f>清单!D714</f>
        <v>C-6-1-501</v>
      </c>
      <c r="B609" s="1061">
        <f>清单!F714</f>
        <v>50.42</v>
      </c>
      <c r="C609" s="3093">
        <f t="shared" si="105"/>
        <v>1</v>
      </c>
      <c r="D609" s="293"/>
      <c r="E609" s="3093">
        <f t="shared" si="106"/>
        <v>1</v>
      </c>
      <c r="F609" s="293"/>
      <c r="G609" s="3093">
        <f t="shared" si="107"/>
        <v>1</v>
      </c>
      <c r="H609" s="293"/>
      <c r="I609" s="3093">
        <f t="shared" si="108"/>
        <v>1</v>
      </c>
      <c r="J609" s="293"/>
      <c r="K609" s="3093">
        <f t="shared" si="109"/>
        <v>1</v>
      </c>
      <c r="L609" s="293"/>
      <c r="M609" s="3093">
        <f t="shared" si="110"/>
        <v>1</v>
      </c>
      <c r="N609" s="293"/>
      <c r="O609" s="3093">
        <f t="shared" si="111"/>
        <v>1</v>
      </c>
      <c r="P609" s="291" t="s">
        <v>3024</v>
      </c>
      <c r="Q609" s="3093">
        <f t="shared" si="112"/>
        <v>0.97</v>
      </c>
      <c r="R609" s="3093">
        <f t="shared" si="113"/>
        <v>27051</v>
      </c>
      <c r="S609" s="1651">
        <f t="shared" si="114"/>
        <v>136</v>
      </c>
    </row>
    <row r="610" spans="1:19">
      <c r="A610" s="1061" t="str">
        <f>清单!D733</f>
        <v>C-6-2-402</v>
      </c>
      <c r="B610" s="1061">
        <f>清单!F733</f>
        <v>50.12</v>
      </c>
      <c r="C610" s="3093">
        <f t="shared" si="105"/>
        <v>1</v>
      </c>
      <c r="D610" s="293"/>
      <c r="E610" s="3093">
        <f t="shared" si="106"/>
        <v>1</v>
      </c>
      <c r="F610" s="293"/>
      <c r="G610" s="3093">
        <f t="shared" si="107"/>
        <v>1</v>
      </c>
      <c r="H610" s="293"/>
      <c r="I610" s="3093">
        <f t="shared" si="108"/>
        <v>1</v>
      </c>
      <c r="J610" s="293"/>
      <c r="K610" s="3093">
        <f t="shared" si="109"/>
        <v>1</v>
      </c>
      <c r="L610" s="293"/>
      <c r="M610" s="3093">
        <f t="shared" si="110"/>
        <v>1</v>
      </c>
      <c r="N610" s="293"/>
      <c r="O610" s="3093">
        <f t="shared" si="111"/>
        <v>1</v>
      </c>
      <c r="P610" s="291" t="s">
        <v>3024</v>
      </c>
      <c r="Q610" s="3093">
        <f t="shared" si="112"/>
        <v>0.97</v>
      </c>
      <c r="R610" s="3093">
        <f t="shared" si="113"/>
        <v>27051</v>
      </c>
      <c r="S610" s="1651">
        <f t="shared" si="114"/>
        <v>136</v>
      </c>
    </row>
    <row r="611" spans="1:19">
      <c r="A611" s="1061" t="str">
        <f>清单!D734</f>
        <v>C-6-2-403</v>
      </c>
      <c r="B611" s="1061">
        <f>清单!F734</f>
        <v>49.94</v>
      </c>
      <c r="C611" s="3093">
        <f t="shared" si="105"/>
        <v>1</v>
      </c>
      <c r="D611" s="293"/>
      <c r="E611" s="3093">
        <f t="shared" si="106"/>
        <v>1</v>
      </c>
      <c r="F611" s="293"/>
      <c r="G611" s="3093">
        <f t="shared" si="107"/>
        <v>1</v>
      </c>
      <c r="H611" s="293"/>
      <c r="I611" s="3093">
        <f t="shared" si="108"/>
        <v>1</v>
      </c>
      <c r="J611" s="293"/>
      <c r="K611" s="3093">
        <f t="shared" si="109"/>
        <v>1</v>
      </c>
      <c r="L611" s="293"/>
      <c r="M611" s="3093">
        <f t="shared" si="110"/>
        <v>1</v>
      </c>
      <c r="N611" s="293"/>
      <c r="O611" s="3093">
        <f t="shared" si="111"/>
        <v>1</v>
      </c>
      <c r="P611" s="291" t="s">
        <v>3024</v>
      </c>
      <c r="Q611" s="3093">
        <f t="shared" si="112"/>
        <v>0.97</v>
      </c>
      <c r="R611" s="3093">
        <f t="shared" si="113"/>
        <v>27051</v>
      </c>
      <c r="S611" s="1651">
        <f t="shared" si="114"/>
        <v>135</v>
      </c>
    </row>
    <row r="612" spans="1:19">
      <c r="A612" s="1061" t="str">
        <f>清单!D717</f>
        <v>C-6-2-1001</v>
      </c>
      <c r="B612" s="1061">
        <f>清单!F717</f>
        <v>50.42</v>
      </c>
      <c r="C612" s="3093">
        <f t="shared" si="105"/>
        <v>1</v>
      </c>
      <c r="D612" s="293"/>
      <c r="E612" s="3093">
        <f t="shared" si="106"/>
        <v>1</v>
      </c>
      <c r="F612" s="293"/>
      <c r="G612" s="3093">
        <f t="shared" si="107"/>
        <v>1</v>
      </c>
      <c r="H612" s="293"/>
      <c r="I612" s="3093">
        <f t="shared" si="108"/>
        <v>1</v>
      </c>
      <c r="J612" s="293"/>
      <c r="K612" s="3093">
        <f t="shared" si="109"/>
        <v>1</v>
      </c>
      <c r="L612" s="293"/>
      <c r="M612" s="3093">
        <f t="shared" si="110"/>
        <v>1</v>
      </c>
      <c r="N612" s="293"/>
      <c r="O612" s="3093">
        <f t="shared" si="111"/>
        <v>1</v>
      </c>
      <c r="P612" s="291" t="s">
        <v>3022</v>
      </c>
      <c r="Q612" s="3093">
        <f t="shared" si="112"/>
        <v>1</v>
      </c>
      <c r="R612" s="3093">
        <f t="shared" si="113"/>
        <v>27888</v>
      </c>
      <c r="S612" s="1651">
        <f t="shared" si="114"/>
        <v>141</v>
      </c>
    </row>
    <row r="613" spans="1:19">
      <c r="A613" s="1061" t="str">
        <f>清单!D718</f>
        <v>C-6-2-1002</v>
      </c>
      <c r="B613" s="1061">
        <f>清单!F718</f>
        <v>50.12</v>
      </c>
      <c r="C613" s="3093">
        <f t="shared" si="105"/>
        <v>1</v>
      </c>
      <c r="D613" s="293"/>
      <c r="E613" s="3093">
        <f t="shared" si="106"/>
        <v>1</v>
      </c>
      <c r="F613" s="293"/>
      <c r="G613" s="3093">
        <f t="shared" si="107"/>
        <v>1</v>
      </c>
      <c r="H613" s="293"/>
      <c r="I613" s="3093">
        <f t="shared" si="108"/>
        <v>1</v>
      </c>
      <c r="J613" s="293"/>
      <c r="K613" s="3093">
        <f t="shared" si="109"/>
        <v>1</v>
      </c>
      <c r="L613" s="293"/>
      <c r="M613" s="3093">
        <f t="shared" si="110"/>
        <v>1</v>
      </c>
      <c r="N613" s="293"/>
      <c r="O613" s="3093">
        <f t="shared" si="111"/>
        <v>1</v>
      </c>
      <c r="P613" s="291" t="s">
        <v>3022</v>
      </c>
      <c r="Q613" s="3093">
        <f t="shared" si="112"/>
        <v>1</v>
      </c>
      <c r="R613" s="3093">
        <f t="shared" si="113"/>
        <v>27888</v>
      </c>
      <c r="S613" s="1651">
        <f t="shared" si="114"/>
        <v>140</v>
      </c>
    </row>
    <row r="614" spans="1:19">
      <c r="A614" s="1061" t="str">
        <f>清单!D737</f>
        <v>C-6-2-503</v>
      </c>
      <c r="B614" s="1061">
        <f>清单!F737</f>
        <v>49.94</v>
      </c>
      <c r="C614" s="3093">
        <f t="shared" si="105"/>
        <v>1</v>
      </c>
      <c r="D614" s="293"/>
      <c r="E614" s="3093">
        <f t="shared" si="106"/>
        <v>1</v>
      </c>
      <c r="F614" s="293"/>
      <c r="G614" s="3093">
        <f t="shared" si="107"/>
        <v>1</v>
      </c>
      <c r="H614" s="293"/>
      <c r="I614" s="3093">
        <f t="shared" si="108"/>
        <v>1</v>
      </c>
      <c r="J614" s="293"/>
      <c r="K614" s="3093">
        <f t="shared" si="109"/>
        <v>1</v>
      </c>
      <c r="L614" s="293"/>
      <c r="M614" s="3093">
        <f t="shared" si="110"/>
        <v>1</v>
      </c>
      <c r="N614" s="293"/>
      <c r="O614" s="3093">
        <f t="shared" si="111"/>
        <v>1</v>
      </c>
      <c r="P614" s="291" t="s">
        <v>3024</v>
      </c>
      <c r="Q614" s="3093">
        <f t="shared" si="112"/>
        <v>0.97</v>
      </c>
      <c r="R614" s="3093">
        <f t="shared" si="113"/>
        <v>27051</v>
      </c>
      <c r="S614" s="1651">
        <f t="shared" si="114"/>
        <v>135</v>
      </c>
    </row>
    <row r="615" spans="1:19">
      <c r="A615" s="1061" t="str">
        <f>清单!D738</f>
        <v>C-6-2-601</v>
      </c>
      <c r="B615" s="1061">
        <f>清单!F738</f>
        <v>50.42</v>
      </c>
      <c r="C615" s="3093">
        <f t="shared" si="105"/>
        <v>1</v>
      </c>
      <c r="D615" s="293"/>
      <c r="E615" s="3093">
        <f t="shared" si="106"/>
        <v>1</v>
      </c>
      <c r="F615" s="293"/>
      <c r="G615" s="3093">
        <f t="shared" si="107"/>
        <v>1</v>
      </c>
      <c r="H615" s="293"/>
      <c r="I615" s="3093">
        <f t="shared" si="108"/>
        <v>1</v>
      </c>
      <c r="J615" s="293"/>
      <c r="K615" s="3093">
        <f t="shared" si="109"/>
        <v>1</v>
      </c>
      <c r="L615" s="293"/>
      <c r="M615" s="3093">
        <f t="shared" si="110"/>
        <v>1</v>
      </c>
      <c r="N615" s="293"/>
      <c r="O615" s="3093">
        <f t="shared" si="111"/>
        <v>1</v>
      </c>
      <c r="P615" s="291" t="s">
        <v>3022</v>
      </c>
      <c r="Q615" s="3093">
        <f t="shared" si="112"/>
        <v>1</v>
      </c>
      <c r="R615" s="3093">
        <f t="shared" si="113"/>
        <v>27888</v>
      </c>
      <c r="S615" s="1651">
        <f t="shared" si="114"/>
        <v>141</v>
      </c>
    </row>
    <row r="616" spans="1:19">
      <c r="A616" s="1061" t="str">
        <f>清单!D721</f>
        <v>C-6-2-102</v>
      </c>
      <c r="B616" s="1061">
        <f>清单!F721</f>
        <v>50.12</v>
      </c>
      <c r="C616" s="3093">
        <f t="shared" si="105"/>
        <v>1</v>
      </c>
      <c r="D616" s="293"/>
      <c r="E616" s="3093">
        <f t="shared" si="106"/>
        <v>1</v>
      </c>
      <c r="F616" s="293"/>
      <c r="G616" s="3093">
        <f t="shared" si="107"/>
        <v>1</v>
      </c>
      <c r="H616" s="293"/>
      <c r="I616" s="3093">
        <f t="shared" si="108"/>
        <v>1</v>
      </c>
      <c r="J616" s="293"/>
      <c r="K616" s="3093">
        <f t="shared" si="109"/>
        <v>1</v>
      </c>
      <c r="L616" s="293"/>
      <c r="M616" s="3093">
        <f t="shared" si="110"/>
        <v>1</v>
      </c>
      <c r="N616" s="293"/>
      <c r="O616" s="3093">
        <f t="shared" si="111"/>
        <v>1</v>
      </c>
      <c r="P616" s="291" t="s">
        <v>3024</v>
      </c>
      <c r="Q616" s="3093">
        <f t="shared" si="112"/>
        <v>0.97</v>
      </c>
      <c r="R616" s="3093">
        <f t="shared" si="113"/>
        <v>27051</v>
      </c>
      <c r="S616" s="1651">
        <f t="shared" si="114"/>
        <v>136</v>
      </c>
    </row>
    <row r="617" spans="1:19">
      <c r="A617" s="1061" t="str">
        <f>清单!D722</f>
        <v>C-6-2-103</v>
      </c>
      <c r="B617" s="1061">
        <f>清单!F722</f>
        <v>49.94</v>
      </c>
      <c r="C617" s="3093">
        <f t="shared" si="105"/>
        <v>1</v>
      </c>
      <c r="D617" s="293"/>
      <c r="E617" s="3093">
        <f t="shared" si="106"/>
        <v>1</v>
      </c>
      <c r="F617" s="293"/>
      <c r="G617" s="3093">
        <f t="shared" si="107"/>
        <v>1</v>
      </c>
      <c r="H617" s="293"/>
      <c r="I617" s="3093">
        <f t="shared" si="108"/>
        <v>1</v>
      </c>
      <c r="J617" s="293"/>
      <c r="K617" s="3093">
        <f t="shared" si="109"/>
        <v>1</v>
      </c>
      <c r="L617" s="293"/>
      <c r="M617" s="3093">
        <f t="shared" si="110"/>
        <v>1</v>
      </c>
      <c r="N617" s="293"/>
      <c r="O617" s="3093">
        <f t="shared" si="111"/>
        <v>1</v>
      </c>
      <c r="P617" s="291" t="s">
        <v>3024</v>
      </c>
      <c r="Q617" s="3093">
        <f t="shared" si="112"/>
        <v>0.97</v>
      </c>
      <c r="R617" s="3093">
        <f t="shared" si="113"/>
        <v>27051</v>
      </c>
      <c r="S617" s="1651">
        <f t="shared" si="114"/>
        <v>135</v>
      </c>
    </row>
    <row r="618" spans="1:19">
      <c r="A618" s="1061" t="str">
        <f>清单!D741</f>
        <v>C-6-2-701</v>
      </c>
      <c r="B618" s="1061">
        <f>清单!F741</f>
        <v>50.42</v>
      </c>
      <c r="C618" s="3093">
        <f t="shared" si="105"/>
        <v>1</v>
      </c>
      <c r="D618" s="293"/>
      <c r="E618" s="3093">
        <f t="shared" si="106"/>
        <v>1</v>
      </c>
      <c r="F618" s="293"/>
      <c r="G618" s="3093">
        <f t="shared" si="107"/>
        <v>1</v>
      </c>
      <c r="H618" s="293"/>
      <c r="I618" s="3093">
        <f t="shared" si="108"/>
        <v>1</v>
      </c>
      <c r="J618" s="293"/>
      <c r="K618" s="3093">
        <f t="shared" si="109"/>
        <v>1</v>
      </c>
      <c r="L618" s="293"/>
      <c r="M618" s="3093">
        <f t="shared" si="110"/>
        <v>1</v>
      </c>
      <c r="N618" s="293"/>
      <c r="O618" s="3093">
        <f t="shared" si="111"/>
        <v>1</v>
      </c>
      <c r="P618" s="291" t="s">
        <v>3022</v>
      </c>
      <c r="Q618" s="3093">
        <f t="shared" si="112"/>
        <v>1</v>
      </c>
      <c r="R618" s="3093">
        <f t="shared" si="113"/>
        <v>27888</v>
      </c>
      <c r="S618" s="1651">
        <f t="shared" si="114"/>
        <v>141</v>
      </c>
    </row>
    <row r="619" spans="1:19">
      <c r="A619" s="1061" t="str">
        <f>清单!D742</f>
        <v>C-6-2-702</v>
      </c>
      <c r="B619" s="1061">
        <f>清单!F742</f>
        <v>50.12</v>
      </c>
      <c r="C619" s="3093">
        <f t="shared" si="105"/>
        <v>1</v>
      </c>
      <c r="D619" s="293"/>
      <c r="E619" s="3093">
        <f t="shared" si="106"/>
        <v>1</v>
      </c>
      <c r="F619" s="293"/>
      <c r="G619" s="3093">
        <f t="shared" si="107"/>
        <v>1</v>
      </c>
      <c r="H619" s="293"/>
      <c r="I619" s="3093">
        <f t="shared" si="108"/>
        <v>1</v>
      </c>
      <c r="J619" s="293"/>
      <c r="K619" s="3093">
        <f t="shared" si="109"/>
        <v>1</v>
      </c>
      <c r="L619" s="293"/>
      <c r="M619" s="3093">
        <f t="shared" si="110"/>
        <v>1</v>
      </c>
      <c r="N619" s="293"/>
      <c r="O619" s="3093">
        <f t="shared" si="111"/>
        <v>1</v>
      </c>
      <c r="P619" s="291" t="s">
        <v>3022</v>
      </c>
      <c r="Q619" s="3093">
        <f t="shared" si="112"/>
        <v>1</v>
      </c>
      <c r="R619" s="3093">
        <f t="shared" si="113"/>
        <v>27888</v>
      </c>
      <c r="S619" s="1651">
        <f t="shared" si="114"/>
        <v>140</v>
      </c>
    </row>
    <row r="620" spans="1:19">
      <c r="A620" s="1061" t="str">
        <f>清单!D725</f>
        <v>C-6-2-1103</v>
      </c>
      <c r="B620" s="1061">
        <f>清单!F725</f>
        <v>49.94</v>
      </c>
      <c r="C620" s="3093">
        <f t="shared" si="105"/>
        <v>1</v>
      </c>
      <c r="D620" s="293"/>
      <c r="E620" s="3093">
        <f t="shared" si="106"/>
        <v>1</v>
      </c>
      <c r="F620" s="293"/>
      <c r="G620" s="3093">
        <f t="shared" si="107"/>
        <v>1</v>
      </c>
      <c r="H620" s="293"/>
      <c r="I620" s="3093">
        <f t="shared" si="108"/>
        <v>1</v>
      </c>
      <c r="J620" s="293"/>
      <c r="K620" s="3093">
        <f t="shared" si="109"/>
        <v>1</v>
      </c>
      <c r="L620" s="293"/>
      <c r="M620" s="3093">
        <f t="shared" si="110"/>
        <v>1</v>
      </c>
      <c r="N620" s="293"/>
      <c r="O620" s="3093">
        <f t="shared" si="111"/>
        <v>1</v>
      </c>
      <c r="P620" s="291" t="s">
        <v>3020</v>
      </c>
      <c r="Q620" s="3093">
        <f t="shared" si="112"/>
        <v>1.03</v>
      </c>
      <c r="R620" s="3093">
        <f t="shared" si="113"/>
        <v>28725</v>
      </c>
      <c r="S620" s="1651">
        <f t="shared" si="114"/>
        <v>143</v>
      </c>
    </row>
    <row r="621" spans="1:19">
      <c r="A621" s="1061" t="str">
        <f>清单!D726</f>
        <v>C-6-2-201</v>
      </c>
      <c r="B621" s="1061">
        <f>清单!F726</f>
        <v>49.78</v>
      </c>
      <c r="C621" s="3093">
        <f t="shared" si="105"/>
        <v>1</v>
      </c>
      <c r="D621" s="293"/>
      <c r="E621" s="3093">
        <f t="shared" si="106"/>
        <v>1</v>
      </c>
      <c r="F621" s="293"/>
      <c r="G621" s="3093">
        <f t="shared" si="107"/>
        <v>1</v>
      </c>
      <c r="H621" s="293"/>
      <c r="I621" s="3093">
        <f t="shared" si="108"/>
        <v>1</v>
      </c>
      <c r="J621" s="293"/>
      <c r="K621" s="3093">
        <f t="shared" si="109"/>
        <v>1</v>
      </c>
      <c r="L621" s="293"/>
      <c r="M621" s="3093">
        <f t="shared" si="110"/>
        <v>1</v>
      </c>
      <c r="N621" s="293"/>
      <c r="O621" s="3093">
        <f t="shared" si="111"/>
        <v>1</v>
      </c>
      <c r="P621" s="291" t="s">
        <v>3024</v>
      </c>
      <c r="Q621" s="3093">
        <f t="shared" si="112"/>
        <v>0.97</v>
      </c>
      <c r="R621" s="3093">
        <f t="shared" si="113"/>
        <v>27051</v>
      </c>
      <c r="S621" s="1651">
        <f t="shared" si="114"/>
        <v>135</v>
      </c>
    </row>
    <row r="622" spans="1:19">
      <c r="A622" s="1061" t="str">
        <f>清单!D745</f>
        <v>C-6-2-802</v>
      </c>
      <c r="B622" s="1061">
        <f>清单!F745</f>
        <v>50.12</v>
      </c>
      <c r="C622" s="3093">
        <f t="shared" si="105"/>
        <v>1</v>
      </c>
      <c r="D622" s="293"/>
      <c r="E622" s="3093">
        <f t="shared" si="106"/>
        <v>1</v>
      </c>
      <c r="F622" s="293"/>
      <c r="G622" s="3093">
        <f t="shared" si="107"/>
        <v>1</v>
      </c>
      <c r="H622" s="293"/>
      <c r="I622" s="3093">
        <f t="shared" si="108"/>
        <v>1</v>
      </c>
      <c r="J622" s="293"/>
      <c r="K622" s="3093">
        <f t="shared" si="109"/>
        <v>1</v>
      </c>
      <c r="L622" s="293"/>
      <c r="M622" s="3093">
        <f t="shared" si="110"/>
        <v>1</v>
      </c>
      <c r="N622" s="293"/>
      <c r="O622" s="3093">
        <f t="shared" si="111"/>
        <v>1</v>
      </c>
      <c r="P622" s="291" t="s">
        <v>3022</v>
      </c>
      <c r="Q622" s="3093">
        <f t="shared" si="112"/>
        <v>1</v>
      </c>
      <c r="R622" s="3093">
        <f t="shared" si="113"/>
        <v>27888</v>
      </c>
      <c r="S622" s="1651">
        <f t="shared" si="114"/>
        <v>140</v>
      </c>
    </row>
    <row r="623" spans="1:19">
      <c r="A623" s="1061" t="str">
        <f>清单!D746</f>
        <v>C-6-2-803</v>
      </c>
      <c r="B623" s="1061">
        <f>清单!F746</f>
        <v>49.94</v>
      </c>
      <c r="C623" s="3093">
        <f t="shared" si="105"/>
        <v>1</v>
      </c>
      <c r="D623" s="293"/>
      <c r="E623" s="3093">
        <f t="shared" si="106"/>
        <v>1</v>
      </c>
      <c r="F623" s="293"/>
      <c r="G623" s="3093">
        <f t="shared" si="107"/>
        <v>1</v>
      </c>
      <c r="H623" s="293"/>
      <c r="I623" s="3093">
        <f t="shared" si="108"/>
        <v>1</v>
      </c>
      <c r="J623" s="293"/>
      <c r="K623" s="3093">
        <f t="shared" si="109"/>
        <v>1</v>
      </c>
      <c r="L623" s="293"/>
      <c r="M623" s="3093">
        <f t="shared" si="110"/>
        <v>1</v>
      </c>
      <c r="N623" s="293"/>
      <c r="O623" s="3093">
        <f t="shared" si="111"/>
        <v>1</v>
      </c>
      <c r="P623" s="291" t="s">
        <v>3022</v>
      </c>
      <c r="Q623" s="3093">
        <f t="shared" si="112"/>
        <v>1</v>
      </c>
      <c r="R623" s="3093">
        <f t="shared" si="113"/>
        <v>27888</v>
      </c>
      <c r="S623" s="1651">
        <f t="shared" si="114"/>
        <v>139</v>
      </c>
    </row>
    <row r="624" spans="1:19">
      <c r="A624" s="1061" t="str">
        <f>清单!D729</f>
        <v>C-6-2-301</v>
      </c>
      <c r="B624" s="1061">
        <f>清单!F729</f>
        <v>49.78</v>
      </c>
      <c r="C624" s="3093">
        <f t="shared" si="105"/>
        <v>1</v>
      </c>
      <c r="D624" s="293"/>
      <c r="E624" s="3093">
        <f t="shared" si="106"/>
        <v>1</v>
      </c>
      <c r="F624" s="293"/>
      <c r="G624" s="3093">
        <f t="shared" si="107"/>
        <v>1</v>
      </c>
      <c r="H624" s="293"/>
      <c r="I624" s="3093">
        <f t="shared" si="108"/>
        <v>1</v>
      </c>
      <c r="J624" s="293"/>
      <c r="K624" s="3093">
        <f t="shared" si="109"/>
        <v>1</v>
      </c>
      <c r="L624" s="293"/>
      <c r="M624" s="3093">
        <f t="shared" si="110"/>
        <v>1</v>
      </c>
      <c r="N624" s="293"/>
      <c r="O624" s="3093">
        <f t="shared" si="111"/>
        <v>1</v>
      </c>
      <c r="P624" s="291" t="s">
        <v>3024</v>
      </c>
      <c r="Q624" s="3093">
        <f t="shared" si="112"/>
        <v>0.97</v>
      </c>
      <c r="R624" s="3093">
        <f t="shared" si="113"/>
        <v>27051</v>
      </c>
      <c r="S624" s="1651">
        <f t="shared" si="114"/>
        <v>135</v>
      </c>
    </row>
    <row r="625" spans="1:19">
      <c r="A625" s="1061" t="str">
        <f>清单!D730</f>
        <v>C-6-2-302</v>
      </c>
      <c r="B625" s="1061">
        <f>清单!F730</f>
        <v>50.12</v>
      </c>
      <c r="C625" s="3093">
        <f t="shared" si="105"/>
        <v>1</v>
      </c>
      <c r="D625" s="293"/>
      <c r="E625" s="3093">
        <f t="shared" si="106"/>
        <v>1</v>
      </c>
      <c r="F625" s="293"/>
      <c r="G625" s="3093">
        <f t="shared" si="107"/>
        <v>1</v>
      </c>
      <c r="H625" s="293"/>
      <c r="I625" s="3093">
        <f t="shared" si="108"/>
        <v>1</v>
      </c>
      <c r="J625" s="293"/>
      <c r="K625" s="3093">
        <f t="shared" si="109"/>
        <v>1</v>
      </c>
      <c r="L625" s="293"/>
      <c r="M625" s="3093">
        <f t="shared" si="110"/>
        <v>1</v>
      </c>
      <c r="N625" s="293"/>
      <c r="O625" s="3093">
        <f t="shared" si="111"/>
        <v>1</v>
      </c>
      <c r="P625" s="291" t="s">
        <v>3024</v>
      </c>
      <c r="Q625" s="3093">
        <f t="shared" si="112"/>
        <v>0.97</v>
      </c>
      <c r="R625" s="3093">
        <f t="shared" si="113"/>
        <v>27051</v>
      </c>
      <c r="S625" s="1651">
        <f t="shared" si="114"/>
        <v>136</v>
      </c>
    </row>
    <row r="626" spans="1:19">
      <c r="A626" s="1061" t="str">
        <f>清单!D749</f>
        <v>C-6-2-903</v>
      </c>
      <c r="B626" s="1061">
        <f>清单!F749</f>
        <v>49.94</v>
      </c>
      <c r="C626" s="3093">
        <f t="shared" si="105"/>
        <v>1</v>
      </c>
      <c r="D626" s="293"/>
      <c r="E626" s="3093">
        <f t="shared" si="106"/>
        <v>1</v>
      </c>
      <c r="F626" s="293"/>
      <c r="G626" s="3093">
        <f t="shared" si="107"/>
        <v>1</v>
      </c>
      <c r="H626" s="293"/>
      <c r="I626" s="3093">
        <f t="shared" si="108"/>
        <v>1</v>
      </c>
      <c r="J626" s="293"/>
      <c r="K626" s="3093">
        <f t="shared" si="109"/>
        <v>1</v>
      </c>
      <c r="L626" s="293"/>
      <c r="M626" s="3093">
        <f t="shared" si="110"/>
        <v>1</v>
      </c>
      <c r="N626" s="293"/>
      <c r="O626" s="3093">
        <f t="shared" si="111"/>
        <v>1</v>
      </c>
      <c r="P626" s="291" t="s">
        <v>3022</v>
      </c>
      <c r="Q626" s="3093">
        <f t="shared" si="112"/>
        <v>1</v>
      </c>
      <c r="R626" s="3093">
        <f t="shared" si="113"/>
        <v>27888</v>
      </c>
      <c r="S626" s="1651">
        <f t="shared" si="114"/>
        <v>139</v>
      </c>
    </row>
    <row r="627" spans="1:19">
      <c r="A627" s="1061" t="str">
        <f>清单!D750</f>
        <v>C-6-3-1001</v>
      </c>
      <c r="B627" s="1061">
        <f>清单!F750</f>
        <v>49.24</v>
      </c>
      <c r="C627" s="3093">
        <f t="shared" si="105"/>
        <v>1</v>
      </c>
      <c r="D627" s="293"/>
      <c r="E627" s="3093">
        <f t="shared" si="106"/>
        <v>1</v>
      </c>
      <c r="F627" s="293"/>
      <c r="G627" s="3093">
        <f t="shared" si="107"/>
        <v>1</v>
      </c>
      <c r="H627" s="293"/>
      <c r="I627" s="3093">
        <f t="shared" si="108"/>
        <v>1</v>
      </c>
      <c r="J627" s="293"/>
      <c r="K627" s="3093">
        <f t="shared" si="109"/>
        <v>1</v>
      </c>
      <c r="L627" s="293"/>
      <c r="M627" s="3093">
        <f t="shared" si="110"/>
        <v>1</v>
      </c>
      <c r="N627" s="293"/>
      <c r="O627" s="3093">
        <f t="shared" si="111"/>
        <v>1</v>
      </c>
      <c r="P627" s="291" t="s">
        <v>3022</v>
      </c>
      <c r="Q627" s="3093">
        <f t="shared" si="112"/>
        <v>1</v>
      </c>
      <c r="R627" s="3093">
        <f t="shared" si="113"/>
        <v>27888</v>
      </c>
      <c r="S627" s="1651">
        <f t="shared" si="114"/>
        <v>137</v>
      </c>
    </row>
    <row r="628" spans="1:19">
      <c r="A628" s="1061" t="str">
        <f>清单!D733</f>
        <v>C-6-2-402</v>
      </c>
      <c r="B628" s="1061">
        <f>清单!F733</f>
        <v>50.12</v>
      </c>
      <c r="C628" s="3093">
        <f t="shared" si="105"/>
        <v>1</v>
      </c>
      <c r="D628" s="293"/>
      <c r="E628" s="3093">
        <f t="shared" si="106"/>
        <v>1</v>
      </c>
      <c r="F628" s="293"/>
      <c r="G628" s="3093">
        <f t="shared" si="107"/>
        <v>1</v>
      </c>
      <c r="H628" s="293"/>
      <c r="I628" s="3093">
        <f t="shared" si="108"/>
        <v>1</v>
      </c>
      <c r="J628" s="293"/>
      <c r="K628" s="3093">
        <f t="shared" si="109"/>
        <v>1</v>
      </c>
      <c r="L628" s="293"/>
      <c r="M628" s="3093">
        <f t="shared" si="110"/>
        <v>1</v>
      </c>
      <c r="N628" s="293"/>
      <c r="O628" s="3093">
        <f t="shared" si="111"/>
        <v>1</v>
      </c>
      <c r="P628" s="291" t="s">
        <v>3024</v>
      </c>
      <c r="Q628" s="3093">
        <f t="shared" si="112"/>
        <v>0.97</v>
      </c>
      <c r="R628" s="3093">
        <f t="shared" si="113"/>
        <v>27051</v>
      </c>
      <c r="S628" s="1651">
        <f t="shared" si="114"/>
        <v>136</v>
      </c>
    </row>
    <row r="629" spans="1:19">
      <c r="A629" s="1061" t="str">
        <f>清单!D734</f>
        <v>C-6-2-403</v>
      </c>
      <c r="B629" s="1061">
        <f>清单!F734</f>
        <v>49.94</v>
      </c>
      <c r="C629" s="3093">
        <f t="shared" si="105"/>
        <v>1</v>
      </c>
      <c r="D629" s="293"/>
      <c r="E629" s="3093">
        <f t="shared" si="106"/>
        <v>1</v>
      </c>
      <c r="F629" s="293"/>
      <c r="G629" s="3093">
        <f t="shared" si="107"/>
        <v>1</v>
      </c>
      <c r="H629" s="293"/>
      <c r="I629" s="3093">
        <f t="shared" si="108"/>
        <v>1</v>
      </c>
      <c r="J629" s="293"/>
      <c r="K629" s="3093">
        <f t="shared" si="109"/>
        <v>1</v>
      </c>
      <c r="L629" s="293"/>
      <c r="M629" s="3093">
        <f t="shared" si="110"/>
        <v>1</v>
      </c>
      <c r="N629" s="293"/>
      <c r="O629" s="3093">
        <f t="shared" si="111"/>
        <v>1</v>
      </c>
      <c r="P629" s="291" t="s">
        <v>3024</v>
      </c>
      <c r="Q629" s="3093">
        <f t="shared" si="112"/>
        <v>0.97</v>
      </c>
      <c r="R629" s="3093">
        <f t="shared" si="113"/>
        <v>27051</v>
      </c>
      <c r="S629" s="1651">
        <f t="shared" si="114"/>
        <v>135</v>
      </c>
    </row>
    <row r="630" spans="1:19">
      <c r="A630" s="1061" t="str">
        <f>清单!D753</f>
        <v>C-6-3-1004</v>
      </c>
      <c r="B630" s="1061">
        <f>清单!F753</f>
        <v>64.099999999999994</v>
      </c>
      <c r="C630" s="3093">
        <f t="shared" si="105"/>
        <v>0.97</v>
      </c>
      <c r="D630" s="293"/>
      <c r="E630" s="3093">
        <f t="shared" si="106"/>
        <v>1</v>
      </c>
      <c r="F630" s="293"/>
      <c r="G630" s="3093">
        <f t="shared" si="107"/>
        <v>1</v>
      </c>
      <c r="H630" s="293"/>
      <c r="I630" s="3093">
        <f t="shared" si="108"/>
        <v>1</v>
      </c>
      <c r="J630" s="293"/>
      <c r="K630" s="3093">
        <f t="shared" si="109"/>
        <v>1</v>
      </c>
      <c r="L630" s="293"/>
      <c r="M630" s="3093">
        <f t="shared" si="110"/>
        <v>1</v>
      </c>
      <c r="N630" s="293"/>
      <c r="O630" s="3093">
        <f t="shared" si="111"/>
        <v>1</v>
      </c>
      <c r="P630" s="291" t="s">
        <v>3022</v>
      </c>
      <c r="Q630" s="3093">
        <f t="shared" si="112"/>
        <v>1</v>
      </c>
      <c r="R630" s="3093">
        <f t="shared" si="113"/>
        <v>27051</v>
      </c>
      <c r="S630" s="1651">
        <f t="shared" si="114"/>
        <v>173</v>
      </c>
    </row>
    <row r="631" spans="1:19">
      <c r="A631" s="1061" t="str">
        <f>清单!D754</f>
        <v>C-6-3-1005</v>
      </c>
      <c r="B631" s="1061">
        <f>清单!F754</f>
        <v>64.2</v>
      </c>
      <c r="C631" s="3093">
        <f t="shared" si="105"/>
        <v>0.97</v>
      </c>
      <c r="D631" s="293"/>
      <c r="E631" s="3093">
        <f t="shared" si="106"/>
        <v>1</v>
      </c>
      <c r="F631" s="293"/>
      <c r="G631" s="3093">
        <f t="shared" si="107"/>
        <v>1</v>
      </c>
      <c r="H631" s="293"/>
      <c r="I631" s="3093">
        <f t="shared" si="108"/>
        <v>1</v>
      </c>
      <c r="J631" s="293"/>
      <c r="K631" s="3093">
        <f t="shared" si="109"/>
        <v>1</v>
      </c>
      <c r="L631" s="293"/>
      <c r="M631" s="3093">
        <f t="shared" si="110"/>
        <v>1</v>
      </c>
      <c r="N631" s="293"/>
      <c r="O631" s="3093">
        <f t="shared" si="111"/>
        <v>1</v>
      </c>
      <c r="P631" s="291" t="s">
        <v>3022</v>
      </c>
      <c r="Q631" s="3093">
        <f t="shared" si="112"/>
        <v>1</v>
      </c>
      <c r="R631" s="3093">
        <f t="shared" si="113"/>
        <v>27051</v>
      </c>
      <c r="S631" s="1651">
        <f t="shared" si="114"/>
        <v>174</v>
      </c>
    </row>
    <row r="632" spans="1:19">
      <c r="A632" s="1061" t="str">
        <f>清单!D737</f>
        <v>C-6-2-503</v>
      </c>
      <c r="B632" s="1061">
        <f>清单!F737</f>
        <v>49.94</v>
      </c>
      <c r="C632" s="3093">
        <f t="shared" si="105"/>
        <v>1</v>
      </c>
      <c r="D632" s="293"/>
      <c r="E632" s="3093">
        <f t="shared" si="106"/>
        <v>1</v>
      </c>
      <c r="F632" s="293"/>
      <c r="G632" s="3093">
        <f t="shared" si="107"/>
        <v>1</v>
      </c>
      <c r="H632" s="293"/>
      <c r="I632" s="3093">
        <f t="shared" si="108"/>
        <v>1</v>
      </c>
      <c r="J632" s="293"/>
      <c r="K632" s="3093">
        <f t="shared" si="109"/>
        <v>1</v>
      </c>
      <c r="L632" s="293"/>
      <c r="M632" s="3093">
        <f t="shared" si="110"/>
        <v>1</v>
      </c>
      <c r="N632" s="293"/>
      <c r="O632" s="3093">
        <f t="shared" si="111"/>
        <v>1</v>
      </c>
      <c r="P632" s="291" t="s">
        <v>3024</v>
      </c>
      <c r="Q632" s="3093">
        <f t="shared" si="112"/>
        <v>0.97</v>
      </c>
      <c r="R632" s="3093">
        <f t="shared" si="113"/>
        <v>27051</v>
      </c>
      <c r="S632" s="1651">
        <f t="shared" si="114"/>
        <v>135</v>
      </c>
    </row>
    <row r="633" spans="1:19">
      <c r="A633" s="1061" t="str">
        <f>清单!D738</f>
        <v>C-6-2-601</v>
      </c>
      <c r="B633" s="1061">
        <f>清单!F738</f>
        <v>50.42</v>
      </c>
      <c r="C633" s="3093">
        <f t="shared" si="105"/>
        <v>1</v>
      </c>
      <c r="D633" s="293"/>
      <c r="E633" s="3093">
        <f t="shared" si="106"/>
        <v>1</v>
      </c>
      <c r="F633" s="293"/>
      <c r="G633" s="3093">
        <f t="shared" si="107"/>
        <v>1</v>
      </c>
      <c r="H633" s="293"/>
      <c r="I633" s="3093">
        <f t="shared" si="108"/>
        <v>1</v>
      </c>
      <c r="J633" s="293"/>
      <c r="K633" s="3093">
        <f t="shared" si="109"/>
        <v>1</v>
      </c>
      <c r="L633" s="293"/>
      <c r="M633" s="3093">
        <f t="shared" si="110"/>
        <v>1</v>
      </c>
      <c r="N633" s="293"/>
      <c r="O633" s="3093">
        <f t="shared" si="111"/>
        <v>1</v>
      </c>
      <c r="P633" s="291" t="s">
        <v>3022</v>
      </c>
      <c r="Q633" s="3093">
        <f t="shared" si="112"/>
        <v>1</v>
      </c>
      <c r="R633" s="3093">
        <f t="shared" si="113"/>
        <v>27888</v>
      </c>
      <c r="S633" s="1651">
        <f t="shared" si="114"/>
        <v>141</v>
      </c>
    </row>
    <row r="634" spans="1:19">
      <c r="A634" s="1061" t="str">
        <f>清单!D757</f>
        <v>C-6-3-102</v>
      </c>
      <c r="B634" s="1061">
        <f>清单!F757</f>
        <v>49.94</v>
      </c>
      <c r="C634" s="3093">
        <f t="shared" si="105"/>
        <v>1</v>
      </c>
      <c r="D634" s="293"/>
      <c r="E634" s="3093">
        <f t="shared" si="106"/>
        <v>1</v>
      </c>
      <c r="F634" s="293"/>
      <c r="G634" s="3093">
        <f t="shared" si="107"/>
        <v>1</v>
      </c>
      <c r="H634" s="293"/>
      <c r="I634" s="3093">
        <f t="shared" si="108"/>
        <v>1</v>
      </c>
      <c r="J634" s="293"/>
      <c r="K634" s="3093">
        <f t="shared" si="109"/>
        <v>1</v>
      </c>
      <c r="L634" s="293"/>
      <c r="M634" s="3093">
        <f t="shared" si="110"/>
        <v>1</v>
      </c>
      <c r="N634" s="293"/>
      <c r="O634" s="3093">
        <f t="shared" si="111"/>
        <v>1</v>
      </c>
      <c r="P634" s="291" t="s">
        <v>3024</v>
      </c>
      <c r="Q634" s="3093">
        <f t="shared" si="112"/>
        <v>0.97</v>
      </c>
      <c r="R634" s="3093">
        <f t="shared" si="113"/>
        <v>27051</v>
      </c>
      <c r="S634" s="1651">
        <f t="shared" si="114"/>
        <v>135</v>
      </c>
    </row>
    <row r="635" spans="1:19">
      <c r="A635" s="1061" t="str">
        <f>清单!D758</f>
        <v>C-6-3-103</v>
      </c>
      <c r="B635" s="1061">
        <f>清单!F758</f>
        <v>49.99</v>
      </c>
      <c r="C635" s="3093">
        <f t="shared" si="105"/>
        <v>1</v>
      </c>
      <c r="D635" s="293"/>
      <c r="E635" s="3093">
        <f t="shared" si="106"/>
        <v>1</v>
      </c>
      <c r="F635" s="293"/>
      <c r="G635" s="3093">
        <f t="shared" si="107"/>
        <v>1</v>
      </c>
      <c r="H635" s="293"/>
      <c r="I635" s="3093">
        <f t="shared" si="108"/>
        <v>1</v>
      </c>
      <c r="J635" s="293"/>
      <c r="K635" s="3093">
        <f t="shared" si="109"/>
        <v>1</v>
      </c>
      <c r="L635" s="293"/>
      <c r="M635" s="3093">
        <f t="shared" si="110"/>
        <v>1</v>
      </c>
      <c r="N635" s="293"/>
      <c r="O635" s="3093">
        <f t="shared" si="111"/>
        <v>1</v>
      </c>
      <c r="P635" s="291" t="s">
        <v>3024</v>
      </c>
      <c r="Q635" s="3093">
        <f t="shared" si="112"/>
        <v>0.97</v>
      </c>
      <c r="R635" s="3093">
        <f t="shared" si="113"/>
        <v>27051</v>
      </c>
      <c r="S635" s="1651">
        <f t="shared" si="114"/>
        <v>135</v>
      </c>
    </row>
    <row r="636" spans="1:19">
      <c r="A636" s="1061" t="str">
        <f>清单!D741</f>
        <v>C-6-2-701</v>
      </c>
      <c r="B636" s="1061">
        <f>清单!F741</f>
        <v>50.42</v>
      </c>
      <c r="C636" s="3093">
        <f t="shared" si="105"/>
        <v>1</v>
      </c>
      <c r="D636" s="293"/>
      <c r="E636" s="3093">
        <f t="shared" si="106"/>
        <v>1</v>
      </c>
      <c r="F636" s="293"/>
      <c r="G636" s="3093">
        <f t="shared" si="107"/>
        <v>1</v>
      </c>
      <c r="H636" s="293"/>
      <c r="I636" s="3093">
        <f t="shared" si="108"/>
        <v>1</v>
      </c>
      <c r="J636" s="293"/>
      <c r="K636" s="3093">
        <f t="shared" si="109"/>
        <v>1</v>
      </c>
      <c r="L636" s="293"/>
      <c r="M636" s="3093">
        <f t="shared" si="110"/>
        <v>1</v>
      </c>
      <c r="N636" s="293"/>
      <c r="O636" s="3093">
        <f t="shared" si="111"/>
        <v>1</v>
      </c>
      <c r="P636" s="291" t="s">
        <v>3022</v>
      </c>
      <c r="Q636" s="3093">
        <f t="shared" si="112"/>
        <v>1</v>
      </c>
      <c r="R636" s="3093">
        <f t="shared" si="113"/>
        <v>27888</v>
      </c>
      <c r="S636" s="1651">
        <f t="shared" si="114"/>
        <v>141</v>
      </c>
    </row>
    <row r="637" spans="1:19">
      <c r="A637" s="1061" t="str">
        <f>清单!D742</f>
        <v>C-6-2-702</v>
      </c>
      <c r="B637" s="1061">
        <f>清单!F742</f>
        <v>50.12</v>
      </c>
      <c r="C637" s="3093">
        <f t="shared" ref="C637:C700" si="115">IF(B637="",1,(LOOKUP(B637,$3:$3,$4:$4)-LOOKUP($B$24,$3:$3,$4:$4)+100)/100)</f>
        <v>1</v>
      </c>
      <c r="D637" s="293"/>
      <c r="E637" s="3093">
        <f t="shared" ref="E637:E700" si="116">(SUMIF($5:$5,D637,$6:$6)-SUMIF($5:$5,$D$24,$6:$6)+100)/100</f>
        <v>1</v>
      </c>
      <c r="F637" s="293"/>
      <c r="G637" s="3093">
        <f t="shared" ref="G637:G700" si="117">(SUMIF($7:$7,F637,$8:$8)-SUMIF($7:$7,$F$24,$8:$8)+100)/100</f>
        <v>1</v>
      </c>
      <c r="H637" s="293"/>
      <c r="I637" s="3093">
        <f t="shared" ref="I637:I700" si="118">(SUMIF($9:$9,H637,$10:$10)-SUMIF($9:$9,$H$24,$10:$10)+100)/100</f>
        <v>1</v>
      </c>
      <c r="J637" s="293"/>
      <c r="K637" s="3093">
        <f t="shared" ref="K637:K700" si="119">(SUMIF($11:$11,J637,$12:$12)-SUMIF($11:$11,$J$24,$12:$12)+100)/100</f>
        <v>1</v>
      </c>
      <c r="L637" s="293"/>
      <c r="M637" s="3093">
        <f t="shared" ref="M637:M700" si="120">(SUMIF($13:$13,L637,$14:$14)-SUMIF($13:$13,$L$24,$14:$14)+100)/100</f>
        <v>1</v>
      </c>
      <c r="N637" s="293"/>
      <c r="O637" s="3093">
        <f t="shared" ref="O637:O700" si="121">(SUMIF($15:$15,N637,$16:$16)-SUMIF($15:$15,$N$24,$16:$16)+100)/100</f>
        <v>1</v>
      </c>
      <c r="P637" s="291" t="s">
        <v>3022</v>
      </c>
      <c r="Q637" s="3093">
        <f t="shared" ref="Q637:Q700" si="122">(SUMIF($17:$17,P637,$18:$18)-SUMIF($17:$17,$P$24,$18:$18)+100)/100</f>
        <v>1</v>
      </c>
      <c r="R637" s="3093">
        <f t="shared" ref="R637:R700" si="123">IF(B637="",0,ROUND($R$24*C637*E637*G637*I637*K637*M637*O637*Q637,0))</f>
        <v>27888</v>
      </c>
      <c r="S637" s="1651">
        <f t="shared" ref="S637:S700" si="124">ROUND(R637*B637/10000,0)</f>
        <v>140</v>
      </c>
    </row>
    <row r="638" spans="1:19">
      <c r="A638" s="1061" t="str">
        <f>清单!D761</f>
        <v>C-6-3-106</v>
      </c>
      <c r="B638" s="1061">
        <f>清单!F761</f>
        <v>88.84</v>
      </c>
      <c r="C638" s="3093">
        <f t="shared" si="115"/>
        <v>0.97</v>
      </c>
      <c r="D638" s="293"/>
      <c r="E638" s="3093">
        <f t="shared" si="116"/>
        <v>1</v>
      </c>
      <c r="F638" s="293"/>
      <c r="G638" s="3093">
        <f t="shared" si="117"/>
        <v>1</v>
      </c>
      <c r="H638" s="293"/>
      <c r="I638" s="3093">
        <f t="shared" si="118"/>
        <v>1</v>
      </c>
      <c r="J638" s="293"/>
      <c r="K638" s="3093">
        <f t="shared" si="119"/>
        <v>1</v>
      </c>
      <c r="L638" s="293"/>
      <c r="M638" s="3093">
        <f t="shared" si="120"/>
        <v>1</v>
      </c>
      <c r="N638" s="293"/>
      <c r="O638" s="3093">
        <f t="shared" si="121"/>
        <v>1</v>
      </c>
      <c r="P638" s="291" t="s">
        <v>3024</v>
      </c>
      <c r="Q638" s="3093">
        <f t="shared" si="122"/>
        <v>0.97</v>
      </c>
      <c r="R638" s="3093">
        <f t="shared" si="123"/>
        <v>26240</v>
      </c>
      <c r="S638" s="1651">
        <f t="shared" si="124"/>
        <v>233</v>
      </c>
    </row>
    <row r="639" spans="1:19">
      <c r="A639" s="1061" t="str">
        <f>清单!D762</f>
        <v>C-6-3-1101</v>
      </c>
      <c r="B639" s="1061">
        <f>清单!F762</f>
        <v>49.24</v>
      </c>
      <c r="C639" s="3093">
        <f t="shared" si="115"/>
        <v>1</v>
      </c>
      <c r="D639" s="293"/>
      <c r="E639" s="3093">
        <f t="shared" si="116"/>
        <v>1</v>
      </c>
      <c r="F639" s="293"/>
      <c r="G639" s="3093">
        <f t="shared" si="117"/>
        <v>1</v>
      </c>
      <c r="H639" s="293"/>
      <c r="I639" s="3093">
        <f t="shared" si="118"/>
        <v>1</v>
      </c>
      <c r="J639" s="293"/>
      <c r="K639" s="3093">
        <f t="shared" si="119"/>
        <v>1</v>
      </c>
      <c r="L639" s="293"/>
      <c r="M639" s="3093">
        <f t="shared" si="120"/>
        <v>1</v>
      </c>
      <c r="N639" s="293"/>
      <c r="O639" s="3093">
        <f t="shared" si="121"/>
        <v>1</v>
      </c>
      <c r="P639" s="291" t="s">
        <v>3020</v>
      </c>
      <c r="Q639" s="3093">
        <f t="shared" si="122"/>
        <v>1.03</v>
      </c>
      <c r="R639" s="3093">
        <f t="shared" si="123"/>
        <v>28725</v>
      </c>
      <c r="S639" s="1651">
        <f t="shared" si="124"/>
        <v>141</v>
      </c>
    </row>
    <row r="640" spans="1:19">
      <c r="A640" s="1061" t="str">
        <f>清单!D745</f>
        <v>C-6-2-802</v>
      </c>
      <c r="B640" s="1061">
        <f>清单!F745</f>
        <v>50.12</v>
      </c>
      <c r="C640" s="3093">
        <f t="shared" si="115"/>
        <v>1</v>
      </c>
      <c r="D640" s="293"/>
      <c r="E640" s="3093">
        <f t="shared" si="116"/>
        <v>1</v>
      </c>
      <c r="F640" s="293"/>
      <c r="G640" s="3093">
        <f t="shared" si="117"/>
        <v>1</v>
      </c>
      <c r="H640" s="293"/>
      <c r="I640" s="3093">
        <f t="shared" si="118"/>
        <v>1</v>
      </c>
      <c r="J640" s="293"/>
      <c r="K640" s="3093">
        <f t="shared" si="119"/>
        <v>1</v>
      </c>
      <c r="L640" s="293"/>
      <c r="M640" s="3093">
        <f t="shared" si="120"/>
        <v>1</v>
      </c>
      <c r="N640" s="293"/>
      <c r="O640" s="3093">
        <f t="shared" si="121"/>
        <v>1</v>
      </c>
      <c r="P640" s="291" t="s">
        <v>3022</v>
      </c>
      <c r="Q640" s="3093">
        <f t="shared" si="122"/>
        <v>1</v>
      </c>
      <c r="R640" s="3093">
        <f t="shared" si="123"/>
        <v>27888</v>
      </c>
      <c r="S640" s="1651">
        <f t="shared" si="124"/>
        <v>140</v>
      </c>
    </row>
    <row r="641" spans="1:19">
      <c r="A641" s="1061" t="str">
        <f>清单!D746</f>
        <v>C-6-2-803</v>
      </c>
      <c r="B641" s="1061">
        <f>清单!F746</f>
        <v>49.94</v>
      </c>
      <c r="C641" s="3093">
        <f t="shared" si="115"/>
        <v>1</v>
      </c>
      <c r="D641" s="293"/>
      <c r="E641" s="3093">
        <f t="shared" si="116"/>
        <v>1</v>
      </c>
      <c r="F641" s="293"/>
      <c r="G641" s="3093">
        <f t="shared" si="117"/>
        <v>1</v>
      </c>
      <c r="H641" s="293"/>
      <c r="I641" s="3093">
        <f t="shared" si="118"/>
        <v>1</v>
      </c>
      <c r="J641" s="293"/>
      <c r="K641" s="3093">
        <f t="shared" si="119"/>
        <v>1</v>
      </c>
      <c r="L641" s="293"/>
      <c r="M641" s="3093">
        <f t="shared" si="120"/>
        <v>1</v>
      </c>
      <c r="N641" s="293"/>
      <c r="O641" s="3093">
        <f t="shared" si="121"/>
        <v>1</v>
      </c>
      <c r="P641" s="291" t="s">
        <v>3022</v>
      </c>
      <c r="Q641" s="3093">
        <f t="shared" si="122"/>
        <v>1</v>
      </c>
      <c r="R641" s="3093">
        <f t="shared" si="123"/>
        <v>27888</v>
      </c>
      <c r="S641" s="1651">
        <f t="shared" si="124"/>
        <v>139</v>
      </c>
    </row>
    <row r="642" spans="1:19">
      <c r="A642" s="1061" t="str">
        <f>清单!D765</f>
        <v>C-6-3-1104</v>
      </c>
      <c r="B642" s="1061">
        <f>清单!F765</f>
        <v>64.099999999999994</v>
      </c>
      <c r="C642" s="3093">
        <f t="shared" si="115"/>
        <v>0.97</v>
      </c>
      <c r="D642" s="293"/>
      <c r="E642" s="3093">
        <f t="shared" si="116"/>
        <v>1</v>
      </c>
      <c r="F642" s="293"/>
      <c r="G642" s="3093">
        <f t="shared" si="117"/>
        <v>1</v>
      </c>
      <c r="H642" s="293"/>
      <c r="I642" s="3093">
        <f t="shared" si="118"/>
        <v>1</v>
      </c>
      <c r="J642" s="293"/>
      <c r="K642" s="3093">
        <f t="shared" si="119"/>
        <v>1</v>
      </c>
      <c r="L642" s="293"/>
      <c r="M642" s="3093">
        <f t="shared" si="120"/>
        <v>1</v>
      </c>
      <c r="N642" s="293"/>
      <c r="O642" s="3093">
        <f t="shared" si="121"/>
        <v>1</v>
      </c>
      <c r="P642" s="291" t="s">
        <v>3020</v>
      </c>
      <c r="Q642" s="3093">
        <f t="shared" si="122"/>
        <v>1.03</v>
      </c>
      <c r="R642" s="3093">
        <f t="shared" si="123"/>
        <v>27863</v>
      </c>
      <c r="S642" s="1651">
        <f t="shared" si="124"/>
        <v>179</v>
      </c>
    </row>
    <row r="643" spans="1:19">
      <c r="A643" s="1061" t="str">
        <f>清单!D766</f>
        <v>C-6-3-1105</v>
      </c>
      <c r="B643" s="1061">
        <f>清单!F766</f>
        <v>64.2</v>
      </c>
      <c r="C643" s="3093">
        <f t="shared" si="115"/>
        <v>0.97</v>
      </c>
      <c r="D643" s="293"/>
      <c r="E643" s="3093">
        <f t="shared" si="116"/>
        <v>1</v>
      </c>
      <c r="F643" s="293"/>
      <c r="G643" s="3093">
        <f t="shared" si="117"/>
        <v>1</v>
      </c>
      <c r="H643" s="293"/>
      <c r="I643" s="3093">
        <f t="shared" si="118"/>
        <v>1</v>
      </c>
      <c r="J643" s="293"/>
      <c r="K643" s="3093">
        <f t="shared" si="119"/>
        <v>1</v>
      </c>
      <c r="L643" s="293"/>
      <c r="M643" s="3093">
        <f t="shared" si="120"/>
        <v>1</v>
      </c>
      <c r="N643" s="293"/>
      <c r="O643" s="3093">
        <f t="shared" si="121"/>
        <v>1</v>
      </c>
      <c r="P643" s="291" t="s">
        <v>3020</v>
      </c>
      <c r="Q643" s="3093">
        <f t="shared" si="122"/>
        <v>1.03</v>
      </c>
      <c r="R643" s="3093">
        <f t="shared" si="123"/>
        <v>27863</v>
      </c>
      <c r="S643" s="1651">
        <f t="shared" si="124"/>
        <v>179</v>
      </c>
    </row>
    <row r="644" spans="1:19">
      <c r="A644" s="1061" t="str">
        <f>清单!D749</f>
        <v>C-6-2-903</v>
      </c>
      <c r="B644" s="1061">
        <f>清单!F749</f>
        <v>49.94</v>
      </c>
      <c r="C644" s="3093">
        <f t="shared" si="115"/>
        <v>1</v>
      </c>
      <c r="D644" s="293"/>
      <c r="E644" s="3093">
        <f t="shared" si="116"/>
        <v>1</v>
      </c>
      <c r="F644" s="293"/>
      <c r="G644" s="3093">
        <f t="shared" si="117"/>
        <v>1</v>
      </c>
      <c r="H644" s="293"/>
      <c r="I644" s="3093">
        <f t="shared" si="118"/>
        <v>1</v>
      </c>
      <c r="J644" s="293"/>
      <c r="K644" s="3093">
        <f t="shared" si="119"/>
        <v>1</v>
      </c>
      <c r="L644" s="293"/>
      <c r="M644" s="3093">
        <f t="shared" si="120"/>
        <v>1</v>
      </c>
      <c r="N644" s="293"/>
      <c r="O644" s="3093">
        <f t="shared" si="121"/>
        <v>1</v>
      </c>
      <c r="P644" s="291" t="s">
        <v>3022</v>
      </c>
      <c r="Q644" s="3093">
        <f t="shared" si="122"/>
        <v>1</v>
      </c>
      <c r="R644" s="3093">
        <f t="shared" si="123"/>
        <v>27888</v>
      </c>
      <c r="S644" s="1651">
        <f t="shared" si="124"/>
        <v>139</v>
      </c>
    </row>
    <row r="645" spans="1:19">
      <c r="A645" s="1061" t="str">
        <f>清单!D750</f>
        <v>C-6-3-1001</v>
      </c>
      <c r="B645" s="1061">
        <f>清单!F750</f>
        <v>49.24</v>
      </c>
      <c r="C645" s="3093">
        <f t="shared" si="115"/>
        <v>1</v>
      </c>
      <c r="D645" s="293"/>
      <c r="E645" s="3093">
        <f t="shared" si="116"/>
        <v>1</v>
      </c>
      <c r="F645" s="293"/>
      <c r="G645" s="3093">
        <f t="shared" si="117"/>
        <v>1</v>
      </c>
      <c r="H645" s="293"/>
      <c r="I645" s="3093">
        <f t="shared" si="118"/>
        <v>1</v>
      </c>
      <c r="J645" s="293"/>
      <c r="K645" s="3093">
        <f t="shared" si="119"/>
        <v>1</v>
      </c>
      <c r="L645" s="293"/>
      <c r="M645" s="3093">
        <f t="shared" si="120"/>
        <v>1</v>
      </c>
      <c r="N645" s="293"/>
      <c r="O645" s="3093">
        <f t="shared" si="121"/>
        <v>1</v>
      </c>
      <c r="P645" s="291" t="s">
        <v>3022</v>
      </c>
      <c r="Q645" s="3093">
        <f t="shared" si="122"/>
        <v>1</v>
      </c>
      <c r="R645" s="3093">
        <f t="shared" si="123"/>
        <v>27888</v>
      </c>
      <c r="S645" s="1651">
        <f t="shared" si="124"/>
        <v>137</v>
      </c>
    </row>
    <row r="646" spans="1:19">
      <c r="A646" s="1061" t="str">
        <f>清单!D769</f>
        <v>C-6-3-1202</v>
      </c>
      <c r="B646" s="1061">
        <f>清单!F769</f>
        <v>49.94</v>
      </c>
      <c r="C646" s="3093">
        <f t="shared" si="115"/>
        <v>1</v>
      </c>
      <c r="D646" s="293"/>
      <c r="E646" s="3093">
        <f t="shared" si="116"/>
        <v>1</v>
      </c>
      <c r="F646" s="293"/>
      <c r="G646" s="3093">
        <f t="shared" si="117"/>
        <v>1</v>
      </c>
      <c r="H646" s="293"/>
      <c r="I646" s="3093">
        <f t="shared" si="118"/>
        <v>1</v>
      </c>
      <c r="J646" s="293"/>
      <c r="K646" s="3093">
        <f t="shared" si="119"/>
        <v>1</v>
      </c>
      <c r="L646" s="293"/>
      <c r="M646" s="3093">
        <f t="shared" si="120"/>
        <v>1</v>
      </c>
      <c r="N646" s="293"/>
      <c r="O646" s="3093">
        <f t="shared" si="121"/>
        <v>1</v>
      </c>
      <c r="P646" s="291" t="s">
        <v>3020</v>
      </c>
      <c r="Q646" s="3093">
        <f t="shared" si="122"/>
        <v>1.03</v>
      </c>
      <c r="R646" s="3093">
        <f t="shared" si="123"/>
        <v>28725</v>
      </c>
      <c r="S646" s="1651">
        <f t="shared" si="124"/>
        <v>143</v>
      </c>
    </row>
    <row r="647" spans="1:19">
      <c r="A647" s="1061" t="str">
        <f>清单!D770</f>
        <v>C-6-3-1203</v>
      </c>
      <c r="B647" s="1061">
        <f>清单!F770</f>
        <v>49.99</v>
      </c>
      <c r="C647" s="3093">
        <f t="shared" si="115"/>
        <v>1</v>
      </c>
      <c r="D647" s="293"/>
      <c r="E647" s="3093">
        <f t="shared" si="116"/>
        <v>1</v>
      </c>
      <c r="F647" s="293"/>
      <c r="G647" s="3093">
        <f t="shared" si="117"/>
        <v>1</v>
      </c>
      <c r="H647" s="293"/>
      <c r="I647" s="3093">
        <f t="shared" si="118"/>
        <v>1</v>
      </c>
      <c r="J647" s="293"/>
      <c r="K647" s="3093">
        <f t="shared" si="119"/>
        <v>1</v>
      </c>
      <c r="L647" s="293"/>
      <c r="M647" s="3093">
        <f t="shared" si="120"/>
        <v>1</v>
      </c>
      <c r="N647" s="293"/>
      <c r="O647" s="3093">
        <f t="shared" si="121"/>
        <v>1</v>
      </c>
      <c r="P647" s="291" t="s">
        <v>3020</v>
      </c>
      <c r="Q647" s="3093">
        <f t="shared" si="122"/>
        <v>1.03</v>
      </c>
      <c r="R647" s="3093">
        <f t="shared" si="123"/>
        <v>28725</v>
      </c>
      <c r="S647" s="1651">
        <f t="shared" si="124"/>
        <v>144</v>
      </c>
    </row>
    <row r="648" spans="1:19">
      <c r="A648" s="1061" t="str">
        <f>清单!D753</f>
        <v>C-6-3-1004</v>
      </c>
      <c r="B648" s="1061">
        <f>清单!F753</f>
        <v>64.099999999999994</v>
      </c>
      <c r="C648" s="3093">
        <f t="shared" si="115"/>
        <v>0.97</v>
      </c>
      <c r="D648" s="293"/>
      <c r="E648" s="3093">
        <f t="shared" si="116"/>
        <v>1</v>
      </c>
      <c r="F648" s="293"/>
      <c r="G648" s="3093">
        <f t="shared" si="117"/>
        <v>1</v>
      </c>
      <c r="H648" s="293"/>
      <c r="I648" s="3093">
        <f t="shared" si="118"/>
        <v>1</v>
      </c>
      <c r="J648" s="293"/>
      <c r="K648" s="3093">
        <f t="shared" si="119"/>
        <v>1</v>
      </c>
      <c r="L648" s="293"/>
      <c r="M648" s="3093">
        <f t="shared" si="120"/>
        <v>1</v>
      </c>
      <c r="N648" s="293"/>
      <c r="O648" s="3093">
        <f t="shared" si="121"/>
        <v>1</v>
      </c>
      <c r="P648" s="291" t="s">
        <v>3022</v>
      </c>
      <c r="Q648" s="3093">
        <f t="shared" si="122"/>
        <v>1</v>
      </c>
      <c r="R648" s="3093">
        <f t="shared" si="123"/>
        <v>27051</v>
      </c>
      <c r="S648" s="1651">
        <f t="shared" si="124"/>
        <v>173</v>
      </c>
    </row>
    <row r="649" spans="1:19">
      <c r="A649" s="1061" t="str">
        <f>清单!D754</f>
        <v>C-6-3-1005</v>
      </c>
      <c r="B649" s="1061">
        <f>清单!F754</f>
        <v>64.2</v>
      </c>
      <c r="C649" s="3093">
        <f t="shared" si="115"/>
        <v>0.97</v>
      </c>
      <c r="D649" s="293"/>
      <c r="E649" s="3093">
        <f t="shared" si="116"/>
        <v>1</v>
      </c>
      <c r="F649" s="293"/>
      <c r="G649" s="3093">
        <f t="shared" si="117"/>
        <v>1</v>
      </c>
      <c r="H649" s="293"/>
      <c r="I649" s="3093">
        <f t="shared" si="118"/>
        <v>1</v>
      </c>
      <c r="J649" s="293"/>
      <c r="K649" s="3093">
        <f t="shared" si="119"/>
        <v>1</v>
      </c>
      <c r="L649" s="293"/>
      <c r="M649" s="3093">
        <f t="shared" si="120"/>
        <v>1</v>
      </c>
      <c r="N649" s="293"/>
      <c r="O649" s="3093">
        <f t="shared" si="121"/>
        <v>1</v>
      </c>
      <c r="P649" s="291" t="s">
        <v>3022</v>
      </c>
      <c r="Q649" s="3093">
        <f t="shared" si="122"/>
        <v>1</v>
      </c>
      <c r="R649" s="3093">
        <f t="shared" si="123"/>
        <v>27051</v>
      </c>
      <c r="S649" s="1651">
        <f t="shared" si="124"/>
        <v>174</v>
      </c>
    </row>
    <row r="650" spans="1:19">
      <c r="A650" s="1061" t="str">
        <f>清单!D773</f>
        <v>C-6-3-1206</v>
      </c>
      <c r="B650" s="1061">
        <f>清单!F773</f>
        <v>88.92</v>
      </c>
      <c r="C650" s="3093">
        <f t="shared" si="115"/>
        <v>0.97</v>
      </c>
      <c r="D650" s="293"/>
      <c r="E650" s="3093">
        <f t="shared" si="116"/>
        <v>1</v>
      </c>
      <c r="F650" s="293"/>
      <c r="G650" s="3093">
        <f t="shared" si="117"/>
        <v>1</v>
      </c>
      <c r="H650" s="293"/>
      <c r="I650" s="3093">
        <f t="shared" si="118"/>
        <v>1</v>
      </c>
      <c r="J650" s="293"/>
      <c r="K650" s="3093">
        <f t="shared" si="119"/>
        <v>1</v>
      </c>
      <c r="L650" s="293"/>
      <c r="M650" s="3093">
        <f t="shared" si="120"/>
        <v>1</v>
      </c>
      <c r="N650" s="293"/>
      <c r="O650" s="3093">
        <f t="shared" si="121"/>
        <v>1</v>
      </c>
      <c r="P650" s="291" t="s">
        <v>3020</v>
      </c>
      <c r="Q650" s="3093">
        <f t="shared" si="122"/>
        <v>1.03</v>
      </c>
      <c r="R650" s="3093">
        <f t="shared" si="123"/>
        <v>27863</v>
      </c>
      <c r="S650" s="1651">
        <f t="shared" si="124"/>
        <v>248</v>
      </c>
    </row>
    <row r="651" spans="1:19">
      <c r="A651" s="1061" t="str">
        <f>清单!D774</f>
        <v>C-6-3-1301</v>
      </c>
      <c r="B651" s="1061">
        <f>清单!F774</f>
        <v>49.7</v>
      </c>
      <c r="C651" s="3093">
        <f t="shared" si="115"/>
        <v>1</v>
      </c>
      <c r="D651" s="293"/>
      <c r="E651" s="3093">
        <f t="shared" si="116"/>
        <v>1</v>
      </c>
      <c r="F651" s="293"/>
      <c r="G651" s="3093">
        <f t="shared" si="117"/>
        <v>1</v>
      </c>
      <c r="H651" s="293"/>
      <c r="I651" s="3093">
        <f t="shared" si="118"/>
        <v>1</v>
      </c>
      <c r="J651" s="293"/>
      <c r="K651" s="3093">
        <f t="shared" si="119"/>
        <v>1</v>
      </c>
      <c r="L651" s="293"/>
      <c r="M651" s="3093">
        <f t="shared" si="120"/>
        <v>1</v>
      </c>
      <c r="N651" s="293"/>
      <c r="O651" s="3093">
        <f t="shared" si="121"/>
        <v>1</v>
      </c>
      <c r="P651" s="291" t="s">
        <v>3020</v>
      </c>
      <c r="Q651" s="3093">
        <f t="shared" si="122"/>
        <v>1.03</v>
      </c>
      <c r="R651" s="3093">
        <f t="shared" si="123"/>
        <v>28725</v>
      </c>
      <c r="S651" s="1651">
        <f t="shared" si="124"/>
        <v>143</v>
      </c>
    </row>
    <row r="652" spans="1:19">
      <c r="A652" s="1061" t="str">
        <f>清单!D757</f>
        <v>C-6-3-102</v>
      </c>
      <c r="B652" s="1061">
        <f>清单!F757</f>
        <v>49.94</v>
      </c>
      <c r="C652" s="3093">
        <f t="shared" si="115"/>
        <v>1</v>
      </c>
      <c r="D652" s="293"/>
      <c r="E652" s="3093">
        <f t="shared" si="116"/>
        <v>1</v>
      </c>
      <c r="F652" s="293"/>
      <c r="G652" s="3093">
        <f t="shared" si="117"/>
        <v>1</v>
      </c>
      <c r="H652" s="293"/>
      <c r="I652" s="3093">
        <f t="shared" si="118"/>
        <v>1</v>
      </c>
      <c r="J652" s="293"/>
      <c r="K652" s="3093">
        <f t="shared" si="119"/>
        <v>1</v>
      </c>
      <c r="L652" s="293"/>
      <c r="M652" s="3093">
        <f t="shared" si="120"/>
        <v>1</v>
      </c>
      <c r="N652" s="293"/>
      <c r="O652" s="3093">
        <f t="shared" si="121"/>
        <v>1</v>
      </c>
      <c r="P652" s="291" t="s">
        <v>3024</v>
      </c>
      <c r="Q652" s="3093">
        <f t="shared" si="122"/>
        <v>0.97</v>
      </c>
      <c r="R652" s="3093">
        <f t="shared" si="123"/>
        <v>27051</v>
      </c>
      <c r="S652" s="1651">
        <f t="shared" si="124"/>
        <v>135</v>
      </c>
    </row>
    <row r="653" spans="1:19">
      <c r="A653" s="1061" t="str">
        <f>清单!D758</f>
        <v>C-6-3-103</v>
      </c>
      <c r="B653" s="1061">
        <f>清单!F758</f>
        <v>49.99</v>
      </c>
      <c r="C653" s="3093">
        <f t="shared" si="115"/>
        <v>1</v>
      </c>
      <c r="D653" s="293"/>
      <c r="E653" s="3093">
        <f t="shared" si="116"/>
        <v>1</v>
      </c>
      <c r="F653" s="293"/>
      <c r="G653" s="3093">
        <f t="shared" si="117"/>
        <v>1</v>
      </c>
      <c r="H653" s="293"/>
      <c r="I653" s="3093">
        <f t="shared" si="118"/>
        <v>1</v>
      </c>
      <c r="J653" s="293"/>
      <c r="K653" s="3093">
        <f t="shared" si="119"/>
        <v>1</v>
      </c>
      <c r="L653" s="293"/>
      <c r="M653" s="3093">
        <f t="shared" si="120"/>
        <v>1</v>
      </c>
      <c r="N653" s="293"/>
      <c r="O653" s="3093">
        <f t="shared" si="121"/>
        <v>1</v>
      </c>
      <c r="P653" s="291" t="s">
        <v>3024</v>
      </c>
      <c r="Q653" s="3093">
        <f t="shared" si="122"/>
        <v>0.97</v>
      </c>
      <c r="R653" s="3093">
        <f t="shared" si="123"/>
        <v>27051</v>
      </c>
      <c r="S653" s="1651">
        <f t="shared" si="124"/>
        <v>135</v>
      </c>
    </row>
    <row r="654" spans="1:19">
      <c r="A654" s="1061" t="str">
        <f>清单!D777</f>
        <v>C-6-3-1304</v>
      </c>
      <c r="B654" s="1061">
        <f>清单!F777</f>
        <v>64.099999999999994</v>
      </c>
      <c r="C654" s="3093">
        <f t="shared" si="115"/>
        <v>0.97</v>
      </c>
      <c r="D654" s="293"/>
      <c r="E654" s="3093">
        <f t="shared" si="116"/>
        <v>1</v>
      </c>
      <c r="F654" s="293"/>
      <c r="G654" s="3093">
        <f t="shared" si="117"/>
        <v>1</v>
      </c>
      <c r="H654" s="293"/>
      <c r="I654" s="3093">
        <f t="shared" si="118"/>
        <v>1</v>
      </c>
      <c r="J654" s="293"/>
      <c r="K654" s="3093">
        <f t="shared" si="119"/>
        <v>1</v>
      </c>
      <c r="L654" s="293"/>
      <c r="M654" s="3093">
        <f t="shared" si="120"/>
        <v>1</v>
      </c>
      <c r="N654" s="293"/>
      <c r="O654" s="3093">
        <f t="shared" si="121"/>
        <v>1</v>
      </c>
      <c r="P654" s="291" t="s">
        <v>3020</v>
      </c>
      <c r="Q654" s="3093">
        <f t="shared" si="122"/>
        <v>1.03</v>
      </c>
      <c r="R654" s="3093">
        <f t="shared" si="123"/>
        <v>27863</v>
      </c>
      <c r="S654" s="1651">
        <f t="shared" si="124"/>
        <v>179</v>
      </c>
    </row>
    <row r="655" spans="1:19">
      <c r="A655" s="1061" t="str">
        <f>清单!D778</f>
        <v>C-6-3-1305</v>
      </c>
      <c r="B655" s="1061">
        <f>清单!F778</f>
        <v>64.2</v>
      </c>
      <c r="C655" s="3093">
        <f t="shared" si="115"/>
        <v>0.97</v>
      </c>
      <c r="D655" s="293"/>
      <c r="E655" s="3093">
        <f t="shared" si="116"/>
        <v>1</v>
      </c>
      <c r="F655" s="293"/>
      <c r="G655" s="3093">
        <f t="shared" si="117"/>
        <v>1</v>
      </c>
      <c r="H655" s="293"/>
      <c r="I655" s="3093">
        <f t="shared" si="118"/>
        <v>1</v>
      </c>
      <c r="J655" s="293"/>
      <c r="K655" s="3093">
        <f t="shared" si="119"/>
        <v>1</v>
      </c>
      <c r="L655" s="293"/>
      <c r="M655" s="3093">
        <f t="shared" si="120"/>
        <v>1</v>
      </c>
      <c r="N655" s="293"/>
      <c r="O655" s="3093">
        <f t="shared" si="121"/>
        <v>1</v>
      </c>
      <c r="P655" s="291" t="s">
        <v>3020</v>
      </c>
      <c r="Q655" s="3093">
        <f t="shared" si="122"/>
        <v>1.03</v>
      </c>
      <c r="R655" s="3093">
        <f t="shared" si="123"/>
        <v>27863</v>
      </c>
      <c r="S655" s="1651">
        <f t="shared" si="124"/>
        <v>179</v>
      </c>
    </row>
    <row r="656" spans="1:19">
      <c r="A656" s="1061" t="str">
        <f>清单!D761</f>
        <v>C-6-3-106</v>
      </c>
      <c r="B656" s="1061">
        <f>清单!F761</f>
        <v>88.84</v>
      </c>
      <c r="C656" s="3093">
        <f t="shared" si="115"/>
        <v>0.97</v>
      </c>
      <c r="D656" s="293"/>
      <c r="E656" s="3093">
        <f t="shared" si="116"/>
        <v>1</v>
      </c>
      <c r="F656" s="293"/>
      <c r="G656" s="3093">
        <f t="shared" si="117"/>
        <v>1</v>
      </c>
      <c r="H656" s="293"/>
      <c r="I656" s="3093">
        <f t="shared" si="118"/>
        <v>1</v>
      </c>
      <c r="J656" s="293"/>
      <c r="K656" s="3093">
        <f t="shared" si="119"/>
        <v>1</v>
      </c>
      <c r="L656" s="293"/>
      <c r="M656" s="3093">
        <f t="shared" si="120"/>
        <v>1</v>
      </c>
      <c r="N656" s="293"/>
      <c r="O656" s="3093">
        <f t="shared" si="121"/>
        <v>1</v>
      </c>
      <c r="P656" s="291" t="s">
        <v>3024</v>
      </c>
      <c r="Q656" s="3093">
        <f t="shared" si="122"/>
        <v>0.97</v>
      </c>
      <c r="R656" s="3093">
        <f t="shared" si="123"/>
        <v>26240</v>
      </c>
      <c r="S656" s="1651">
        <f t="shared" si="124"/>
        <v>233</v>
      </c>
    </row>
    <row r="657" spans="1:19">
      <c r="A657" s="1061" t="str">
        <f>清单!D762</f>
        <v>C-6-3-1101</v>
      </c>
      <c r="B657" s="1061">
        <f>清单!F762</f>
        <v>49.24</v>
      </c>
      <c r="C657" s="3093">
        <f t="shared" si="115"/>
        <v>1</v>
      </c>
      <c r="D657" s="293"/>
      <c r="E657" s="3093">
        <f t="shared" si="116"/>
        <v>1</v>
      </c>
      <c r="F657" s="293"/>
      <c r="G657" s="3093">
        <f t="shared" si="117"/>
        <v>1</v>
      </c>
      <c r="H657" s="293"/>
      <c r="I657" s="3093">
        <f t="shared" si="118"/>
        <v>1</v>
      </c>
      <c r="J657" s="293"/>
      <c r="K657" s="3093">
        <f t="shared" si="119"/>
        <v>1</v>
      </c>
      <c r="L657" s="293"/>
      <c r="M657" s="3093">
        <f t="shared" si="120"/>
        <v>1</v>
      </c>
      <c r="N657" s="293"/>
      <c r="O657" s="3093">
        <f t="shared" si="121"/>
        <v>1</v>
      </c>
      <c r="P657" s="291" t="s">
        <v>3020</v>
      </c>
      <c r="Q657" s="3093">
        <f t="shared" si="122"/>
        <v>1.03</v>
      </c>
      <c r="R657" s="3093">
        <f t="shared" si="123"/>
        <v>28725</v>
      </c>
      <c r="S657" s="1651">
        <f t="shared" si="124"/>
        <v>141</v>
      </c>
    </row>
    <row r="658" spans="1:19">
      <c r="A658" s="1061" t="str">
        <f>清单!D781</f>
        <v>C-6-3-1402</v>
      </c>
      <c r="B658" s="1061">
        <f>清单!F781</f>
        <v>49.94</v>
      </c>
      <c r="C658" s="3093">
        <f t="shared" si="115"/>
        <v>1</v>
      </c>
      <c r="D658" s="293"/>
      <c r="E658" s="3093">
        <f t="shared" si="116"/>
        <v>1</v>
      </c>
      <c r="F658" s="293"/>
      <c r="G658" s="3093">
        <f t="shared" si="117"/>
        <v>1</v>
      </c>
      <c r="H658" s="293"/>
      <c r="I658" s="3093">
        <f t="shared" si="118"/>
        <v>1</v>
      </c>
      <c r="J658" s="293"/>
      <c r="K658" s="3093">
        <f t="shared" si="119"/>
        <v>1</v>
      </c>
      <c r="L658" s="293"/>
      <c r="M658" s="3093">
        <f t="shared" si="120"/>
        <v>1</v>
      </c>
      <c r="N658" s="293"/>
      <c r="O658" s="3093">
        <f t="shared" si="121"/>
        <v>1</v>
      </c>
      <c r="P658" s="291" t="s">
        <v>3020</v>
      </c>
      <c r="Q658" s="3093">
        <f t="shared" si="122"/>
        <v>1.03</v>
      </c>
      <c r="R658" s="3093">
        <f t="shared" si="123"/>
        <v>28725</v>
      </c>
      <c r="S658" s="1651">
        <f t="shared" si="124"/>
        <v>143</v>
      </c>
    </row>
    <row r="659" spans="1:19">
      <c r="A659" s="1061" t="str">
        <f>清单!D782</f>
        <v>C-6-3-1403</v>
      </c>
      <c r="B659" s="1061">
        <f>清单!F782</f>
        <v>49.99</v>
      </c>
      <c r="C659" s="3093">
        <f t="shared" si="115"/>
        <v>1</v>
      </c>
      <c r="D659" s="293"/>
      <c r="E659" s="3093">
        <f t="shared" si="116"/>
        <v>1</v>
      </c>
      <c r="F659" s="293"/>
      <c r="G659" s="3093">
        <f t="shared" si="117"/>
        <v>1</v>
      </c>
      <c r="H659" s="293"/>
      <c r="I659" s="3093">
        <f t="shared" si="118"/>
        <v>1</v>
      </c>
      <c r="J659" s="293"/>
      <c r="K659" s="3093">
        <f t="shared" si="119"/>
        <v>1</v>
      </c>
      <c r="L659" s="293"/>
      <c r="M659" s="3093">
        <f t="shared" si="120"/>
        <v>1</v>
      </c>
      <c r="N659" s="293"/>
      <c r="O659" s="3093">
        <f t="shared" si="121"/>
        <v>1</v>
      </c>
      <c r="P659" s="291" t="s">
        <v>3020</v>
      </c>
      <c r="Q659" s="3093">
        <f t="shared" si="122"/>
        <v>1.03</v>
      </c>
      <c r="R659" s="3093">
        <f t="shared" si="123"/>
        <v>28725</v>
      </c>
      <c r="S659" s="1651">
        <f t="shared" si="124"/>
        <v>144</v>
      </c>
    </row>
    <row r="660" spans="1:19">
      <c r="A660" s="1061" t="str">
        <f>清单!D765</f>
        <v>C-6-3-1104</v>
      </c>
      <c r="B660" s="1061">
        <f>清单!F765</f>
        <v>64.099999999999994</v>
      </c>
      <c r="C660" s="3093">
        <f t="shared" si="115"/>
        <v>0.97</v>
      </c>
      <c r="D660" s="293"/>
      <c r="E660" s="3093">
        <f t="shared" si="116"/>
        <v>1</v>
      </c>
      <c r="F660" s="293"/>
      <c r="G660" s="3093">
        <f t="shared" si="117"/>
        <v>1</v>
      </c>
      <c r="H660" s="293"/>
      <c r="I660" s="3093">
        <f t="shared" si="118"/>
        <v>1</v>
      </c>
      <c r="J660" s="293"/>
      <c r="K660" s="3093">
        <f t="shared" si="119"/>
        <v>1</v>
      </c>
      <c r="L660" s="293"/>
      <c r="M660" s="3093">
        <f t="shared" si="120"/>
        <v>1</v>
      </c>
      <c r="N660" s="293"/>
      <c r="O660" s="3093">
        <f t="shared" si="121"/>
        <v>1</v>
      </c>
      <c r="P660" s="291" t="s">
        <v>3020</v>
      </c>
      <c r="Q660" s="3093">
        <f t="shared" si="122"/>
        <v>1.03</v>
      </c>
      <c r="R660" s="3093">
        <f t="shared" si="123"/>
        <v>27863</v>
      </c>
      <c r="S660" s="1651">
        <f t="shared" si="124"/>
        <v>179</v>
      </c>
    </row>
    <row r="661" spans="1:19">
      <c r="A661" s="1061" t="str">
        <f>清单!D766</f>
        <v>C-6-3-1105</v>
      </c>
      <c r="B661" s="1061">
        <f>清单!F766</f>
        <v>64.2</v>
      </c>
      <c r="C661" s="3093">
        <f t="shared" si="115"/>
        <v>0.97</v>
      </c>
      <c r="D661" s="293"/>
      <c r="E661" s="3093">
        <f t="shared" si="116"/>
        <v>1</v>
      </c>
      <c r="F661" s="293"/>
      <c r="G661" s="3093">
        <f t="shared" si="117"/>
        <v>1</v>
      </c>
      <c r="H661" s="293"/>
      <c r="I661" s="3093">
        <f t="shared" si="118"/>
        <v>1</v>
      </c>
      <c r="J661" s="293"/>
      <c r="K661" s="3093">
        <f t="shared" si="119"/>
        <v>1</v>
      </c>
      <c r="L661" s="293"/>
      <c r="M661" s="3093">
        <f t="shared" si="120"/>
        <v>1</v>
      </c>
      <c r="N661" s="293"/>
      <c r="O661" s="3093">
        <f t="shared" si="121"/>
        <v>1</v>
      </c>
      <c r="P661" s="291" t="s">
        <v>3020</v>
      </c>
      <c r="Q661" s="3093">
        <f t="shared" si="122"/>
        <v>1.03</v>
      </c>
      <c r="R661" s="3093">
        <f t="shared" si="123"/>
        <v>27863</v>
      </c>
      <c r="S661" s="1651">
        <f t="shared" si="124"/>
        <v>179</v>
      </c>
    </row>
    <row r="662" spans="1:19">
      <c r="A662" s="1061" t="str">
        <f>清单!D785</f>
        <v>C-6-3-1406</v>
      </c>
      <c r="B662" s="1061">
        <f>清单!F785</f>
        <v>88.92</v>
      </c>
      <c r="C662" s="3093">
        <f t="shared" si="115"/>
        <v>0.97</v>
      </c>
      <c r="D662" s="293"/>
      <c r="E662" s="3093">
        <f t="shared" si="116"/>
        <v>1</v>
      </c>
      <c r="F662" s="293"/>
      <c r="G662" s="3093">
        <f t="shared" si="117"/>
        <v>1</v>
      </c>
      <c r="H662" s="293"/>
      <c r="I662" s="3093">
        <f t="shared" si="118"/>
        <v>1</v>
      </c>
      <c r="J662" s="293"/>
      <c r="K662" s="3093">
        <f t="shared" si="119"/>
        <v>1</v>
      </c>
      <c r="L662" s="293"/>
      <c r="M662" s="3093">
        <f t="shared" si="120"/>
        <v>1</v>
      </c>
      <c r="N662" s="293"/>
      <c r="O662" s="3093">
        <f t="shared" si="121"/>
        <v>1</v>
      </c>
      <c r="P662" s="291" t="s">
        <v>3020</v>
      </c>
      <c r="Q662" s="3093">
        <f t="shared" si="122"/>
        <v>1.03</v>
      </c>
      <c r="R662" s="3093">
        <f t="shared" si="123"/>
        <v>27863</v>
      </c>
      <c r="S662" s="1651">
        <f t="shared" si="124"/>
        <v>248</v>
      </c>
    </row>
    <row r="663" spans="1:19">
      <c r="A663" s="1061" t="str">
        <f>清单!D786</f>
        <v>C-6-3-1501</v>
      </c>
      <c r="B663" s="1061">
        <f>清单!F786</f>
        <v>49.7</v>
      </c>
      <c r="C663" s="3093">
        <f t="shared" si="115"/>
        <v>1</v>
      </c>
      <c r="D663" s="293"/>
      <c r="E663" s="3093">
        <f t="shared" si="116"/>
        <v>1</v>
      </c>
      <c r="F663" s="293"/>
      <c r="G663" s="3093">
        <f t="shared" si="117"/>
        <v>1</v>
      </c>
      <c r="H663" s="293"/>
      <c r="I663" s="3093">
        <f t="shared" si="118"/>
        <v>1</v>
      </c>
      <c r="J663" s="293"/>
      <c r="K663" s="3093">
        <f t="shared" si="119"/>
        <v>1</v>
      </c>
      <c r="L663" s="293"/>
      <c r="M663" s="3093">
        <f t="shared" si="120"/>
        <v>1</v>
      </c>
      <c r="N663" s="293"/>
      <c r="O663" s="3093">
        <f t="shared" si="121"/>
        <v>1</v>
      </c>
      <c r="P663" s="291" t="s">
        <v>3020</v>
      </c>
      <c r="Q663" s="3093">
        <f t="shared" si="122"/>
        <v>1.03</v>
      </c>
      <c r="R663" s="3093">
        <f t="shared" si="123"/>
        <v>28725</v>
      </c>
      <c r="S663" s="1651">
        <f t="shared" si="124"/>
        <v>143</v>
      </c>
    </row>
    <row r="664" spans="1:19">
      <c r="A664" s="1061" t="str">
        <f>清单!D769</f>
        <v>C-6-3-1202</v>
      </c>
      <c r="B664" s="1061">
        <f>清单!F769</f>
        <v>49.94</v>
      </c>
      <c r="C664" s="3093">
        <f t="shared" si="115"/>
        <v>1</v>
      </c>
      <c r="D664" s="293"/>
      <c r="E664" s="3093">
        <f t="shared" si="116"/>
        <v>1</v>
      </c>
      <c r="F664" s="293"/>
      <c r="G664" s="3093">
        <f t="shared" si="117"/>
        <v>1</v>
      </c>
      <c r="H664" s="293"/>
      <c r="I664" s="3093">
        <f t="shared" si="118"/>
        <v>1</v>
      </c>
      <c r="J664" s="293"/>
      <c r="K664" s="3093">
        <f t="shared" si="119"/>
        <v>1</v>
      </c>
      <c r="L664" s="293"/>
      <c r="M664" s="3093">
        <f t="shared" si="120"/>
        <v>1</v>
      </c>
      <c r="N664" s="293"/>
      <c r="O664" s="3093">
        <f t="shared" si="121"/>
        <v>1</v>
      </c>
      <c r="P664" s="291" t="s">
        <v>3020</v>
      </c>
      <c r="Q664" s="3093">
        <f t="shared" si="122"/>
        <v>1.03</v>
      </c>
      <c r="R664" s="3093">
        <f t="shared" si="123"/>
        <v>28725</v>
      </c>
      <c r="S664" s="1651">
        <f t="shared" si="124"/>
        <v>143</v>
      </c>
    </row>
    <row r="665" spans="1:19">
      <c r="A665" s="1061" t="str">
        <f>清单!D770</f>
        <v>C-6-3-1203</v>
      </c>
      <c r="B665" s="1061">
        <f>清单!F770</f>
        <v>49.99</v>
      </c>
      <c r="C665" s="3093">
        <f t="shared" si="115"/>
        <v>1</v>
      </c>
      <c r="D665" s="293"/>
      <c r="E665" s="3093">
        <f t="shared" si="116"/>
        <v>1</v>
      </c>
      <c r="F665" s="293"/>
      <c r="G665" s="3093">
        <f t="shared" si="117"/>
        <v>1</v>
      </c>
      <c r="H665" s="293"/>
      <c r="I665" s="3093">
        <f t="shared" si="118"/>
        <v>1</v>
      </c>
      <c r="J665" s="293"/>
      <c r="K665" s="3093">
        <f t="shared" si="119"/>
        <v>1</v>
      </c>
      <c r="L665" s="293"/>
      <c r="M665" s="3093">
        <f t="shared" si="120"/>
        <v>1</v>
      </c>
      <c r="N665" s="293"/>
      <c r="O665" s="3093">
        <f t="shared" si="121"/>
        <v>1</v>
      </c>
      <c r="P665" s="291" t="s">
        <v>3020</v>
      </c>
      <c r="Q665" s="3093">
        <f t="shared" si="122"/>
        <v>1.03</v>
      </c>
      <c r="R665" s="3093">
        <f t="shared" si="123"/>
        <v>28725</v>
      </c>
      <c r="S665" s="1651">
        <f t="shared" si="124"/>
        <v>144</v>
      </c>
    </row>
    <row r="666" spans="1:19">
      <c r="A666" s="1061" t="str">
        <f>清单!D789</f>
        <v>C-6-3-1504</v>
      </c>
      <c r="B666" s="1061">
        <f>清单!F789</f>
        <v>64.099999999999994</v>
      </c>
      <c r="C666" s="3093">
        <f t="shared" si="115"/>
        <v>0.97</v>
      </c>
      <c r="D666" s="293"/>
      <c r="E666" s="3093">
        <f t="shared" si="116"/>
        <v>1</v>
      </c>
      <c r="F666" s="293"/>
      <c r="G666" s="3093">
        <f t="shared" si="117"/>
        <v>1</v>
      </c>
      <c r="H666" s="293"/>
      <c r="I666" s="3093">
        <f t="shared" si="118"/>
        <v>1</v>
      </c>
      <c r="J666" s="293"/>
      <c r="K666" s="3093">
        <f t="shared" si="119"/>
        <v>1</v>
      </c>
      <c r="L666" s="293"/>
      <c r="M666" s="3093">
        <f t="shared" si="120"/>
        <v>1</v>
      </c>
      <c r="N666" s="293"/>
      <c r="O666" s="3093">
        <f t="shared" si="121"/>
        <v>1</v>
      </c>
      <c r="P666" s="291" t="s">
        <v>3020</v>
      </c>
      <c r="Q666" s="3093">
        <f t="shared" si="122"/>
        <v>1.03</v>
      </c>
      <c r="R666" s="3093">
        <f t="shared" si="123"/>
        <v>27863</v>
      </c>
      <c r="S666" s="1651">
        <f t="shared" si="124"/>
        <v>179</v>
      </c>
    </row>
    <row r="667" spans="1:19">
      <c r="A667" s="1061" t="str">
        <f>清单!D790</f>
        <v>C-6-3-1505</v>
      </c>
      <c r="B667" s="1061">
        <f>清单!F790</f>
        <v>64.2</v>
      </c>
      <c r="C667" s="3093">
        <f t="shared" si="115"/>
        <v>0.97</v>
      </c>
      <c r="D667" s="293"/>
      <c r="E667" s="3093">
        <f t="shared" si="116"/>
        <v>1</v>
      </c>
      <c r="F667" s="293"/>
      <c r="G667" s="3093">
        <f t="shared" si="117"/>
        <v>1</v>
      </c>
      <c r="H667" s="293"/>
      <c r="I667" s="3093">
        <f t="shared" si="118"/>
        <v>1</v>
      </c>
      <c r="J667" s="293"/>
      <c r="K667" s="3093">
        <f t="shared" si="119"/>
        <v>1</v>
      </c>
      <c r="L667" s="293"/>
      <c r="M667" s="3093">
        <f t="shared" si="120"/>
        <v>1</v>
      </c>
      <c r="N667" s="293"/>
      <c r="O667" s="3093">
        <f t="shared" si="121"/>
        <v>1</v>
      </c>
      <c r="P667" s="291" t="s">
        <v>3020</v>
      </c>
      <c r="Q667" s="3093">
        <f t="shared" si="122"/>
        <v>1.03</v>
      </c>
      <c r="R667" s="3093">
        <f t="shared" si="123"/>
        <v>27863</v>
      </c>
      <c r="S667" s="1651">
        <f t="shared" si="124"/>
        <v>179</v>
      </c>
    </row>
    <row r="668" spans="1:19">
      <c r="A668" s="1061" t="str">
        <f>清单!D773</f>
        <v>C-6-3-1206</v>
      </c>
      <c r="B668" s="1061">
        <f>清单!F773</f>
        <v>88.92</v>
      </c>
      <c r="C668" s="3093">
        <f t="shared" si="115"/>
        <v>0.97</v>
      </c>
      <c r="D668" s="293"/>
      <c r="E668" s="3093">
        <f t="shared" si="116"/>
        <v>1</v>
      </c>
      <c r="F668" s="293"/>
      <c r="G668" s="3093">
        <f t="shared" si="117"/>
        <v>1</v>
      </c>
      <c r="H668" s="293"/>
      <c r="I668" s="3093">
        <f t="shared" si="118"/>
        <v>1</v>
      </c>
      <c r="J668" s="293"/>
      <c r="K668" s="3093">
        <f t="shared" si="119"/>
        <v>1</v>
      </c>
      <c r="L668" s="293"/>
      <c r="M668" s="3093">
        <f t="shared" si="120"/>
        <v>1</v>
      </c>
      <c r="N668" s="293"/>
      <c r="O668" s="3093">
        <f t="shared" si="121"/>
        <v>1</v>
      </c>
      <c r="P668" s="291" t="s">
        <v>3020</v>
      </c>
      <c r="Q668" s="3093">
        <f t="shared" si="122"/>
        <v>1.03</v>
      </c>
      <c r="R668" s="3093">
        <f t="shared" si="123"/>
        <v>27863</v>
      </c>
      <c r="S668" s="1651">
        <f t="shared" si="124"/>
        <v>248</v>
      </c>
    </row>
    <row r="669" spans="1:19">
      <c r="A669" s="1061" t="str">
        <f>清单!D774</f>
        <v>C-6-3-1301</v>
      </c>
      <c r="B669" s="1061">
        <f>清单!F774</f>
        <v>49.7</v>
      </c>
      <c r="C669" s="3093">
        <f t="shared" si="115"/>
        <v>1</v>
      </c>
      <c r="D669" s="293"/>
      <c r="E669" s="3093">
        <f t="shared" si="116"/>
        <v>1</v>
      </c>
      <c r="F669" s="293"/>
      <c r="G669" s="3093">
        <f t="shared" si="117"/>
        <v>1</v>
      </c>
      <c r="H669" s="293"/>
      <c r="I669" s="3093">
        <f t="shared" si="118"/>
        <v>1</v>
      </c>
      <c r="J669" s="293"/>
      <c r="K669" s="3093">
        <f t="shared" si="119"/>
        <v>1</v>
      </c>
      <c r="L669" s="293"/>
      <c r="M669" s="3093">
        <f t="shared" si="120"/>
        <v>1</v>
      </c>
      <c r="N669" s="293"/>
      <c r="O669" s="3093">
        <f t="shared" si="121"/>
        <v>1</v>
      </c>
      <c r="P669" s="291" t="s">
        <v>3020</v>
      </c>
      <c r="Q669" s="3093">
        <f t="shared" si="122"/>
        <v>1.03</v>
      </c>
      <c r="R669" s="3093">
        <f t="shared" si="123"/>
        <v>28725</v>
      </c>
      <c r="S669" s="1651">
        <f t="shared" si="124"/>
        <v>143</v>
      </c>
    </row>
    <row r="670" spans="1:19">
      <c r="A670" s="1061" t="str">
        <f>清单!D793</f>
        <v>C-6-3-202</v>
      </c>
      <c r="B670" s="1061">
        <f>清单!F793</f>
        <v>49.94</v>
      </c>
      <c r="C670" s="3093">
        <f t="shared" si="115"/>
        <v>1</v>
      </c>
      <c r="D670" s="293"/>
      <c r="E670" s="3093">
        <f t="shared" si="116"/>
        <v>1</v>
      </c>
      <c r="F670" s="293"/>
      <c r="G670" s="3093">
        <f t="shared" si="117"/>
        <v>1</v>
      </c>
      <c r="H670" s="293"/>
      <c r="I670" s="3093">
        <f t="shared" si="118"/>
        <v>1</v>
      </c>
      <c r="J670" s="293"/>
      <c r="K670" s="3093">
        <f t="shared" si="119"/>
        <v>1</v>
      </c>
      <c r="L670" s="293"/>
      <c r="M670" s="3093">
        <f t="shared" si="120"/>
        <v>1</v>
      </c>
      <c r="N670" s="293"/>
      <c r="O670" s="3093">
        <f t="shared" si="121"/>
        <v>1</v>
      </c>
      <c r="P670" s="291" t="s">
        <v>3024</v>
      </c>
      <c r="Q670" s="3093">
        <f t="shared" si="122"/>
        <v>0.97</v>
      </c>
      <c r="R670" s="3093">
        <f t="shared" si="123"/>
        <v>27051</v>
      </c>
      <c r="S670" s="1651">
        <f t="shared" si="124"/>
        <v>135</v>
      </c>
    </row>
    <row r="671" spans="1:19">
      <c r="A671" s="1061" t="str">
        <f>清单!D794</f>
        <v>C-6-3-203</v>
      </c>
      <c r="B671" s="1061">
        <f>清单!F794</f>
        <v>49.99</v>
      </c>
      <c r="C671" s="3093">
        <f t="shared" si="115"/>
        <v>1</v>
      </c>
      <c r="D671" s="293"/>
      <c r="E671" s="3093">
        <f t="shared" si="116"/>
        <v>1</v>
      </c>
      <c r="F671" s="293"/>
      <c r="G671" s="3093">
        <f t="shared" si="117"/>
        <v>1</v>
      </c>
      <c r="H671" s="293"/>
      <c r="I671" s="3093">
        <f t="shared" si="118"/>
        <v>1</v>
      </c>
      <c r="J671" s="293"/>
      <c r="K671" s="3093">
        <f t="shared" si="119"/>
        <v>1</v>
      </c>
      <c r="L671" s="293"/>
      <c r="M671" s="3093">
        <f t="shared" si="120"/>
        <v>1</v>
      </c>
      <c r="N671" s="293"/>
      <c r="O671" s="3093">
        <f t="shared" si="121"/>
        <v>1</v>
      </c>
      <c r="P671" s="291" t="s">
        <v>3024</v>
      </c>
      <c r="Q671" s="3093">
        <f t="shared" si="122"/>
        <v>0.97</v>
      </c>
      <c r="R671" s="3093">
        <f t="shared" si="123"/>
        <v>27051</v>
      </c>
      <c r="S671" s="1651">
        <f t="shared" si="124"/>
        <v>135</v>
      </c>
    </row>
    <row r="672" spans="1:19">
      <c r="A672" s="1061" t="str">
        <f>清单!D777</f>
        <v>C-6-3-1304</v>
      </c>
      <c r="B672" s="1061">
        <f>清单!F777</f>
        <v>64.099999999999994</v>
      </c>
      <c r="C672" s="3093">
        <f t="shared" si="115"/>
        <v>0.97</v>
      </c>
      <c r="D672" s="293"/>
      <c r="E672" s="3093">
        <f t="shared" si="116"/>
        <v>1</v>
      </c>
      <c r="F672" s="293"/>
      <c r="G672" s="3093">
        <f t="shared" si="117"/>
        <v>1</v>
      </c>
      <c r="H672" s="293"/>
      <c r="I672" s="3093">
        <f t="shared" si="118"/>
        <v>1</v>
      </c>
      <c r="J672" s="293"/>
      <c r="K672" s="3093">
        <f t="shared" si="119"/>
        <v>1</v>
      </c>
      <c r="L672" s="293"/>
      <c r="M672" s="3093">
        <f t="shared" si="120"/>
        <v>1</v>
      </c>
      <c r="N672" s="293"/>
      <c r="O672" s="3093">
        <f t="shared" si="121"/>
        <v>1</v>
      </c>
      <c r="P672" s="291" t="s">
        <v>3020</v>
      </c>
      <c r="Q672" s="3093">
        <f t="shared" si="122"/>
        <v>1.03</v>
      </c>
      <c r="R672" s="3093">
        <f t="shared" si="123"/>
        <v>27863</v>
      </c>
      <c r="S672" s="1651">
        <f t="shared" si="124"/>
        <v>179</v>
      </c>
    </row>
    <row r="673" spans="1:19">
      <c r="A673" s="1061" t="str">
        <f>清单!D778</f>
        <v>C-6-3-1305</v>
      </c>
      <c r="B673" s="1061">
        <f>清单!F778</f>
        <v>64.2</v>
      </c>
      <c r="C673" s="3093">
        <f t="shared" si="115"/>
        <v>0.97</v>
      </c>
      <c r="D673" s="293"/>
      <c r="E673" s="3093">
        <f t="shared" si="116"/>
        <v>1</v>
      </c>
      <c r="F673" s="293"/>
      <c r="G673" s="3093">
        <f t="shared" si="117"/>
        <v>1</v>
      </c>
      <c r="H673" s="293"/>
      <c r="I673" s="3093">
        <f t="shared" si="118"/>
        <v>1</v>
      </c>
      <c r="J673" s="293"/>
      <c r="K673" s="3093">
        <f t="shared" si="119"/>
        <v>1</v>
      </c>
      <c r="L673" s="293"/>
      <c r="M673" s="3093">
        <f t="shared" si="120"/>
        <v>1</v>
      </c>
      <c r="N673" s="293"/>
      <c r="O673" s="3093">
        <f t="shared" si="121"/>
        <v>1</v>
      </c>
      <c r="P673" s="291" t="s">
        <v>3020</v>
      </c>
      <c r="Q673" s="3093">
        <f t="shared" si="122"/>
        <v>1.03</v>
      </c>
      <c r="R673" s="3093">
        <f t="shared" si="123"/>
        <v>27863</v>
      </c>
      <c r="S673" s="1651">
        <f t="shared" si="124"/>
        <v>179</v>
      </c>
    </row>
    <row r="674" spans="1:19">
      <c r="A674" s="1061" t="str">
        <f>清单!D797</f>
        <v>C-6-3-206</v>
      </c>
      <c r="B674" s="1061">
        <f>清单!F797</f>
        <v>88.84</v>
      </c>
      <c r="C674" s="3093">
        <f t="shared" si="115"/>
        <v>0.97</v>
      </c>
      <c r="D674" s="293"/>
      <c r="E674" s="3093">
        <f t="shared" si="116"/>
        <v>1</v>
      </c>
      <c r="F674" s="293"/>
      <c r="G674" s="3093">
        <f t="shared" si="117"/>
        <v>1</v>
      </c>
      <c r="H674" s="293"/>
      <c r="I674" s="3093">
        <f t="shared" si="118"/>
        <v>1</v>
      </c>
      <c r="J674" s="293"/>
      <c r="K674" s="3093">
        <f t="shared" si="119"/>
        <v>1</v>
      </c>
      <c r="L674" s="293"/>
      <c r="M674" s="3093">
        <f t="shared" si="120"/>
        <v>1</v>
      </c>
      <c r="N674" s="293"/>
      <c r="O674" s="3093">
        <f t="shared" si="121"/>
        <v>1</v>
      </c>
      <c r="P674" s="291" t="s">
        <v>3024</v>
      </c>
      <c r="Q674" s="3093">
        <f t="shared" si="122"/>
        <v>0.97</v>
      </c>
      <c r="R674" s="3093">
        <f t="shared" si="123"/>
        <v>26240</v>
      </c>
      <c r="S674" s="1651">
        <f t="shared" si="124"/>
        <v>233</v>
      </c>
    </row>
    <row r="675" spans="1:19">
      <c r="A675" s="1061" t="str">
        <f>清单!D798</f>
        <v>C-6-3-301</v>
      </c>
      <c r="B675" s="1061">
        <f>清单!F798</f>
        <v>49.24</v>
      </c>
      <c r="C675" s="3093">
        <f t="shared" si="115"/>
        <v>1</v>
      </c>
      <c r="D675" s="293"/>
      <c r="E675" s="3093">
        <f t="shared" si="116"/>
        <v>1</v>
      </c>
      <c r="F675" s="293"/>
      <c r="G675" s="3093">
        <f t="shared" si="117"/>
        <v>1</v>
      </c>
      <c r="H675" s="293"/>
      <c r="I675" s="3093">
        <f t="shared" si="118"/>
        <v>1</v>
      </c>
      <c r="J675" s="293"/>
      <c r="K675" s="3093">
        <f t="shared" si="119"/>
        <v>1</v>
      </c>
      <c r="L675" s="293"/>
      <c r="M675" s="3093">
        <f t="shared" si="120"/>
        <v>1</v>
      </c>
      <c r="N675" s="293"/>
      <c r="O675" s="3093">
        <f t="shared" si="121"/>
        <v>1</v>
      </c>
      <c r="P675" s="291" t="s">
        <v>3024</v>
      </c>
      <c r="Q675" s="3093">
        <f t="shared" si="122"/>
        <v>0.97</v>
      </c>
      <c r="R675" s="3093">
        <f t="shared" si="123"/>
        <v>27051</v>
      </c>
      <c r="S675" s="1651">
        <f t="shared" si="124"/>
        <v>133</v>
      </c>
    </row>
    <row r="676" spans="1:19">
      <c r="A676" s="1061" t="str">
        <f>清单!D781</f>
        <v>C-6-3-1402</v>
      </c>
      <c r="B676" s="1061">
        <f>清单!F781</f>
        <v>49.94</v>
      </c>
      <c r="C676" s="3093">
        <f t="shared" si="115"/>
        <v>1</v>
      </c>
      <c r="D676" s="293"/>
      <c r="E676" s="3093">
        <f t="shared" si="116"/>
        <v>1</v>
      </c>
      <c r="F676" s="293"/>
      <c r="G676" s="3093">
        <f t="shared" si="117"/>
        <v>1</v>
      </c>
      <c r="H676" s="293"/>
      <c r="I676" s="3093">
        <f t="shared" si="118"/>
        <v>1</v>
      </c>
      <c r="J676" s="293"/>
      <c r="K676" s="3093">
        <f t="shared" si="119"/>
        <v>1</v>
      </c>
      <c r="L676" s="293"/>
      <c r="M676" s="3093">
        <f t="shared" si="120"/>
        <v>1</v>
      </c>
      <c r="N676" s="293"/>
      <c r="O676" s="3093">
        <f t="shared" si="121"/>
        <v>1</v>
      </c>
      <c r="P676" s="291" t="s">
        <v>3020</v>
      </c>
      <c r="Q676" s="3093">
        <f t="shared" si="122"/>
        <v>1.03</v>
      </c>
      <c r="R676" s="3093">
        <f t="shared" si="123"/>
        <v>28725</v>
      </c>
      <c r="S676" s="1651">
        <f t="shared" si="124"/>
        <v>143</v>
      </c>
    </row>
    <row r="677" spans="1:19">
      <c r="A677" s="1061" t="str">
        <f>清单!D782</f>
        <v>C-6-3-1403</v>
      </c>
      <c r="B677" s="1061">
        <f>清单!F782</f>
        <v>49.99</v>
      </c>
      <c r="C677" s="3093">
        <f t="shared" si="115"/>
        <v>1</v>
      </c>
      <c r="D677" s="293"/>
      <c r="E677" s="3093">
        <f t="shared" si="116"/>
        <v>1</v>
      </c>
      <c r="F677" s="293"/>
      <c r="G677" s="3093">
        <f t="shared" si="117"/>
        <v>1</v>
      </c>
      <c r="H677" s="293"/>
      <c r="I677" s="3093">
        <f t="shared" si="118"/>
        <v>1</v>
      </c>
      <c r="J677" s="293"/>
      <c r="K677" s="3093">
        <f t="shared" si="119"/>
        <v>1</v>
      </c>
      <c r="L677" s="293"/>
      <c r="M677" s="3093">
        <f t="shared" si="120"/>
        <v>1</v>
      </c>
      <c r="N677" s="293"/>
      <c r="O677" s="3093">
        <f t="shared" si="121"/>
        <v>1</v>
      </c>
      <c r="P677" s="291" t="s">
        <v>3020</v>
      </c>
      <c r="Q677" s="3093">
        <f t="shared" si="122"/>
        <v>1.03</v>
      </c>
      <c r="R677" s="3093">
        <f t="shared" si="123"/>
        <v>28725</v>
      </c>
      <c r="S677" s="1651">
        <f t="shared" si="124"/>
        <v>144</v>
      </c>
    </row>
    <row r="678" spans="1:19">
      <c r="A678" s="1061" t="str">
        <f>清单!D801</f>
        <v>C-6-3-304</v>
      </c>
      <c r="B678" s="1061">
        <f>清单!F801</f>
        <v>64.099999999999994</v>
      </c>
      <c r="C678" s="3093">
        <f t="shared" si="115"/>
        <v>0.97</v>
      </c>
      <c r="D678" s="293"/>
      <c r="E678" s="3093">
        <f t="shared" si="116"/>
        <v>1</v>
      </c>
      <c r="F678" s="293"/>
      <c r="G678" s="3093">
        <f t="shared" si="117"/>
        <v>1</v>
      </c>
      <c r="H678" s="293"/>
      <c r="I678" s="3093">
        <f t="shared" si="118"/>
        <v>1</v>
      </c>
      <c r="J678" s="293"/>
      <c r="K678" s="3093">
        <f t="shared" si="119"/>
        <v>1</v>
      </c>
      <c r="L678" s="293"/>
      <c r="M678" s="3093">
        <f t="shared" si="120"/>
        <v>1</v>
      </c>
      <c r="N678" s="293"/>
      <c r="O678" s="3093">
        <f t="shared" si="121"/>
        <v>1</v>
      </c>
      <c r="P678" s="291" t="s">
        <v>3024</v>
      </c>
      <c r="Q678" s="3093">
        <f t="shared" si="122"/>
        <v>0.97</v>
      </c>
      <c r="R678" s="3093">
        <f t="shared" si="123"/>
        <v>26240</v>
      </c>
      <c r="S678" s="1651">
        <f t="shared" si="124"/>
        <v>168</v>
      </c>
    </row>
    <row r="679" spans="1:19">
      <c r="A679" s="1061" t="str">
        <f>清单!D784</f>
        <v>C-6-3-1405</v>
      </c>
      <c r="B679" s="1061">
        <f>清单!F784</f>
        <v>64.2</v>
      </c>
      <c r="C679" s="3093">
        <f t="shared" si="115"/>
        <v>0.97</v>
      </c>
      <c r="D679" s="293"/>
      <c r="E679" s="3093">
        <f t="shared" si="116"/>
        <v>1</v>
      </c>
      <c r="F679" s="293"/>
      <c r="G679" s="3093">
        <f t="shared" si="117"/>
        <v>1</v>
      </c>
      <c r="H679" s="293"/>
      <c r="I679" s="3093">
        <f t="shared" si="118"/>
        <v>1</v>
      </c>
      <c r="J679" s="293"/>
      <c r="K679" s="3093">
        <f t="shared" si="119"/>
        <v>1</v>
      </c>
      <c r="L679" s="293"/>
      <c r="M679" s="3093">
        <f t="shared" si="120"/>
        <v>1</v>
      </c>
      <c r="N679" s="293"/>
      <c r="O679" s="3093">
        <f t="shared" si="121"/>
        <v>1</v>
      </c>
      <c r="P679" s="291" t="s">
        <v>3020</v>
      </c>
      <c r="Q679" s="3093">
        <f t="shared" si="122"/>
        <v>1.03</v>
      </c>
      <c r="R679" s="3093">
        <f t="shared" si="123"/>
        <v>27863</v>
      </c>
      <c r="S679" s="1651">
        <f t="shared" si="124"/>
        <v>179</v>
      </c>
    </row>
    <row r="680" spans="1:19">
      <c r="A680" s="1061" t="str">
        <f>清单!D803</f>
        <v>C-6-3-306</v>
      </c>
      <c r="B680" s="1061">
        <f>清单!F803</f>
        <v>88.92</v>
      </c>
      <c r="C680" s="3093">
        <f t="shared" si="115"/>
        <v>0.97</v>
      </c>
      <c r="D680" s="293"/>
      <c r="E680" s="3093">
        <f t="shared" si="116"/>
        <v>1</v>
      </c>
      <c r="F680" s="293"/>
      <c r="G680" s="3093">
        <f t="shared" si="117"/>
        <v>1</v>
      </c>
      <c r="H680" s="293"/>
      <c r="I680" s="3093">
        <f t="shared" si="118"/>
        <v>1</v>
      </c>
      <c r="J680" s="293"/>
      <c r="K680" s="3093">
        <f t="shared" si="119"/>
        <v>1</v>
      </c>
      <c r="L680" s="293"/>
      <c r="M680" s="3093">
        <f t="shared" si="120"/>
        <v>1</v>
      </c>
      <c r="N680" s="293"/>
      <c r="O680" s="3093">
        <f t="shared" si="121"/>
        <v>1</v>
      </c>
      <c r="P680" s="291" t="s">
        <v>3024</v>
      </c>
      <c r="Q680" s="3093">
        <f t="shared" si="122"/>
        <v>0.97</v>
      </c>
      <c r="R680" s="3093">
        <f t="shared" si="123"/>
        <v>26240</v>
      </c>
      <c r="S680" s="1651">
        <f t="shared" si="124"/>
        <v>233</v>
      </c>
    </row>
    <row r="681" spans="1:19">
      <c r="A681" s="1061" t="str">
        <f>清单!D804</f>
        <v>C-6-3-401</v>
      </c>
      <c r="B681" s="1061">
        <f>清单!F804</f>
        <v>49.24</v>
      </c>
      <c r="C681" s="3093">
        <f t="shared" si="115"/>
        <v>1</v>
      </c>
      <c r="D681" s="293"/>
      <c r="E681" s="3093">
        <f t="shared" si="116"/>
        <v>1</v>
      </c>
      <c r="F681" s="293"/>
      <c r="G681" s="3093">
        <f t="shared" si="117"/>
        <v>1</v>
      </c>
      <c r="H681" s="293"/>
      <c r="I681" s="3093">
        <f t="shared" si="118"/>
        <v>1</v>
      </c>
      <c r="J681" s="293"/>
      <c r="K681" s="3093">
        <f t="shared" si="119"/>
        <v>1</v>
      </c>
      <c r="L681" s="293"/>
      <c r="M681" s="3093">
        <f t="shared" si="120"/>
        <v>1</v>
      </c>
      <c r="N681" s="293"/>
      <c r="O681" s="3093">
        <f t="shared" si="121"/>
        <v>1</v>
      </c>
      <c r="P681" s="291" t="s">
        <v>3024</v>
      </c>
      <c r="Q681" s="3093">
        <f t="shared" si="122"/>
        <v>0.97</v>
      </c>
      <c r="R681" s="3093">
        <f t="shared" si="123"/>
        <v>27051</v>
      </c>
      <c r="S681" s="1651">
        <f t="shared" si="124"/>
        <v>133</v>
      </c>
    </row>
    <row r="682" spans="1:19">
      <c r="A682" s="1061" t="str">
        <f>清单!D787</f>
        <v>C-6-3-1502</v>
      </c>
      <c r="B682" s="1061">
        <f>清单!F787</f>
        <v>49.94</v>
      </c>
      <c r="C682" s="3093">
        <f t="shared" si="115"/>
        <v>1</v>
      </c>
      <c r="D682" s="293"/>
      <c r="E682" s="3093">
        <f t="shared" si="116"/>
        <v>1</v>
      </c>
      <c r="F682" s="293"/>
      <c r="G682" s="3093">
        <f t="shared" si="117"/>
        <v>1</v>
      </c>
      <c r="H682" s="293"/>
      <c r="I682" s="3093">
        <f t="shared" si="118"/>
        <v>1</v>
      </c>
      <c r="J682" s="293"/>
      <c r="K682" s="3093">
        <f t="shared" si="119"/>
        <v>1</v>
      </c>
      <c r="L682" s="293"/>
      <c r="M682" s="3093">
        <f t="shared" si="120"/>
        <v>1</v>
      </c>
      <c r="N682" s="293"/>
      <c r="O682" s="3093">
        <f t="shared" si="121"/>
        <v>1</v>
      </c>
      <c r="P682" s="291" t="s">
        <v>3020</v>
      </c>
      <c r="Q682" s="3093">
        <f t="shared" si="122"/>
        <v>1.03</v>
      </c>
      <c r="R682" s="3093">
        <f t="shared" si="123"/>
        <v>28725</v>
      </c>
      <c r="S682" s="1651">
        <f t="shared" si="124"/>
        <v>143</v>
      </c>
    </row>
    <row r="683" spans="1:19">
      <c r="A683" s="1061" t="str">
        <f>清单!D788</f>
        <v>C-6-3-1503</v>
      </c>
      <c r="B683" s="1061">
        <f>清单!F788</f>
        <v>49.99</v>
      </c>
      <c r="C683" s="3093">
        <f t="shared" si="115"/>
        <v>1</v>
      </c>
      <c r="D683" s="293"/>
      <c r="E683" s="3093">
        <f t="shared" si="116"/>
        <v>1</v>
      </c>
      <c r="F683" s="293"/>
      <c r="G683" s="3093">
        <f t="shared" si="117"/>
        <v>1</v>
      </c>
      <c r="H683" s="293"/>
      <c r="I683" s="3093">
        <f t="shared" si="118"/>
        <v>1</v>
      </c>
      <c r="J683" s="293"/>
      <c r="K683" s="3093">
        <f t="shared" si="119"/>
        <v>1</v>
      </c>
      <c r="L683" s="293"/>
      <c r="M683" s="3093">
        <f t="shared" si="120"/>
        <v>1</v>
      </c>
      <c r="N683" s="293"/>
      <c r="O683" s="3093">
        <f t="shared" si="121"/>
        <v>1</v>
      </c>
      <c r="P683" s="291" t="s">
        <v>3020</v>
      </c>
      <c r="Q683" s="3093">
        <f t="shared" si="122"/>
        <v>1.03</v>
      </c>
      <c r="R683" s="3093">
        <f t="shared" si="123"/>
        <v>28725</v>
      </c>
      <c r="S683" s="1651">
        <f t="shared" si="124"/>
        <v>144</v>
      </c>
    </row>
    <row r="684" spans="1:19">
      <c r="A684" s="1061" t="str">
        <f>清单!D807</f>
        <v>C-6-3-404</v>
      </c>
      <c r="B684" s="1061">
        <f>清单!F807</f>
        <v>64.099999999999994</v>
      </c>
      <c r="C684" s="3093">
        <f t="shared" si="115"/>
        <v>0.97</v>
      </c>
      <c r="D684" s="293"/>
      <c r="E684" s="3093">
        <f t="shared" si="116"/>
        <v>1</v>
      </c>
      <c r="F684" s="293"/>
      <c r="G684" s="3093">
        <f t="shared" si="117"/>
        <v>1</v>
      </c>
      <c r="H684" s="293"/>
      <c r="I684" s="3093">
        <f t="shared" si="118"/>
        <v>1</v>
      </c>
      <c r="J684" s="293"/>
      <c r="K684" s="3093">
        <f t="shared" si="119"/>
        <v>1</v>
      </c>
      <c r="L684" s="293"/>
      <c r="M684" s="3093">
        <f t="shared" si="120"/>
        <v>1</v>
      </c>
      <c r="N684" s="293"/>
      <c r="O684" s="3093">
        <f t="shared" si="121"/>
        <v>1</v>
      </c>
      <c r="P684" s="291" t="s">
        <v>3024</v>
      </c>
      <c r="Q684" s="3093">
        <f t="shared" si="122"/>
        <v>0.97</v>
      </c>
      <c r="R684" s="3093">
        <f t="shared" si="123"/>
        <v>26240</v>
      </c>
      <c r="S684" s="1651">
        <f t="shared" si="124"/>
        <v>168</v>
      </c>
    </row>
    <row r="685" spans="1:19">
      <c r="A685" s="1061" t="str">
        <f>清单!D808</f>
        <v>C-6-3-405</v>
      </c>
      <c r="B685" s="1061">
        <f>清单!F808</f>
        <v>64.2</v>
      </c>
      <c r="C685" s="3093">
        <f t="shared" si="115"/>
        <v>0.97</v>
      </c>
      <c r="D685" s="293"/>
      <c r="E685" s="3093">
        <f t="shared" si="116"/>
        <v>1</v>
      </c>
      <c r="F685" s="293"/>
      <c r="G685" s="3093">
        <f t="shared" si="117"/>
        <v>1</v>
      </c>
      <c r="H685" s="293"/>
      <c r="I685" s="3093">
        <f t="shared" si="118"/>
        <v>1</v>
      </c>
      <c r="J685" s="293"/>
      <c r="K685" s="3093">
        <f t="shared" si="119"/>
        <v>1</v>
      </c>
      <c r="L685" s="293"/>
      <c r="M685" s="3093">
        <f t="shared" si="120"/>
        <v>1</v>
      </c>
      <c r="N685" s="293"/>
      <c r="O685" s="3093">
        <f t="shared" si="121"/>
        <v>1</v>
      </c>
      <c r="P685" s="291" t="s">
        <v>3024</v>
      </c>
      <c r="Q685" s="3093">
        <f t="shared" si="122"/>
        <v>0.97</v>
      </c>
      <c r="R685" s="3093">
        <f t="shared" si="123"/>
        <v>26240</v>
      </c>
      <c r="S685" s="1651">
        <f t="shared" si="124"/>
        <v>168</v>
      </c>
    </row>
    <row r="686" spans="1:19">
      <c r="A686" s="1061" t="str">
        <f>清单!D791</f>
        <v>C-6-3-1506</v>
      </c>
      <c r="B686" s="1061">
        <f>清单!F791</f>
        <v>88.92</v>
      </c>
      <c r="C686" s="3093">
        <f t="shared" si="115"/>
        <v>0.97</v>
      </c>
      <c r="D686" s="293"/>
      <c r="E686" s="3093">
        <f t="shared" si="116"/>
        <v>1</v>
      </c>
      <c r="F686" s="293"/>
      <c r="G686" s="3093">
        <f t="shared" si="117"/>
        <v>1</v>
      </c>
      <c r="H686" s="293"/>
      <c r="I686" s="3093">
        <f t="shared" si="118"/>
        <v>1</v>
      </c>
      <c r="J686" s="293"/>
      <c r="K686" s="3093">
        <f t="shared" si="119"/>
        <v>1</v>
      </c>
      <c r="L686" s="293"/>
      <c r="M686" s="3093">
        <f t="shared" si="120"/>
        <v>1</v>
      </c>
      <c r="N686" s="293"/>
      <c r="O686" s="3093">
        <f t="shared" si="121"/>
        <v>1</v>
      </c>
      <c r="P686" s="291" t="s">
        <v>3020</v>
      </c>
      <c r="Q686" s="3093">
        <f t="shared" si="122"/>
        <v>1.03</v>
      </c>
      <c r="R686" s="3093">
        <f t="shared" si="123"/>
        <v>27863</v>
      </c>
      <c r="S686" s="1651">
        <f t="shared" si="124"/>
        <v>248</v>
      </c>
    </row>
    <row r="687" spans="1:19">
      <c r="A687" s="1061" t="str">
        <f>清单!D792</f>
        <v>C-6-3-201</v>
      </c>
      <c r="B687" s="1061">
        <f>清单!F792</f>
        <v>49.15</v>
      </c>
      <c r="C687" s="3093">
        <f t="shared" si="115"/>
        <v>1</v>
      </c>
      <c r="D687" s="293"/>
      <c r="E687" s="3093">
        <f t="shared" si="116"/>
        <v>1</v>
      </c>
      <c r="F687" s="293"/>
      <c r="G687" s="3093">
        <f t="shared" si="117"/>
        <v>1</v>
      </c>
      <c r="H687" s="293"/>
      <c r="I687" s="3093">
        <f t="shared" si="118"/>
        <v>1</v>
      </c>
      <c r="J687" s="293"/>
      <c r="K687" s="3093">
        <f t="shared" si="119"/>
        <v>1</v>
      </c>
      <c r="L687" s="293"/>
      <c r="M687" s="3093">
        <f t="shared" si="120"/>
        <v>1</v>
      </c>
      <c r="N687" s="293"/>
      <c r="O687" s="3093">
        <f t="shared" si="121"/>
        <v>1</v>
      </c>
      <c r="P687" s="291" t="s">
        <v>3024</v>
      </c>
      <c r="Q687" s="3093">
        <f t="shared" si="122"/>
        <v>0.97</v>
      </c>
      <c r="R687" s="3093">
        <f t="shared" si="123"/>
        <v>27051</v>
      </c>
      <c r="S687" s="1651">
        <f t="shared" si="124"/>
        <v>133</v>
      </c>
    </row>
    <row r="688" spans="1:19">
      <c r="A688" s="1061" t="str">
        <f>清单!D811</f>
        <v>C-6-3-502</v>
      </c>
      <c r="B688" s="1061">
        <f>清单!F811</f>
        <v>49.94</v>
      </c>
      <c r="C688" s="3093">
        <f t="shared" si="115"/>
        <v>1</v>
      </c>
      <c r="D688" s="293"/>
      <c r="E688" s="3093">
        <f t="shared" si="116"/>
        <v>1</v>
      </c>
      <c r="F688" s="293"/>
      <c r="G688" s="3093">
        <f t="shared" si="117"/>
        <v>1</v>
      </c>
      <c r="H688" s="293"/>
      <c r="I688" s="3093">
        <f t="shared" si="118"/>
        <v>1</v>
      </c>
      <c r="J688" s="293"/>
      <c r="K688" s="3093">
        <f t="shared" si="119"/>
        <v>1</v>
      </c>
      <c r="L688" s="293"/>
      <c r="M688" s="3093">
        <f t="shared" si="120"/>
        <v>1</v>
      </c>
      <c r="N688" s="293"/>
      <c r="O688" s="3093">
        <f t="shared" si="121"/>
        <v>1</v>
      </c>
      <c r="P688" s="291" t="s">
        <v>3024</v>
      </c>
      <c r="Q688" s="3093">
        <f t="shared" si="122"/>
        <v>0.97</v>
      </c>
      <c r="R688" s="3093">
        <f t="shared" si="123"/>
        <v>27051</v>
      </c>
      <c r="S688" s="1651">
        <f t="shared" si="124"/>
        <v>135</v>
      </c>
    </row>
    <row r="689" spans="1:19">
      <c r="A689" s="1061" t="str">
        <f>清单!D812</f>
        <v>C-6-3-503</v>
      </c>
      <c r="B689" s="1061">
        <f>清单!F812</f>
        <v>49.99</v>
      </c>
      <c r="C689" s="3093">
        <f t="shared" si="115"/>
        <v>1</v>
      </c>
      <c r="D689" s="293"/>
      <c r="E689" s="3093">
        <f t="shared" si="116"/>
        <v>1</v>
      </c>
      <c r="F689" s="293"/>
      <c r="G689" s="3093">
        <f t="shared" si="117"/>
        <v>1</v>
      </c>
      <c r="H689" s="293"/>
      <c r="I689" s="3093">
        <f t="shared" si="118"/>
        <v>1</v>
      </c>
      <c r="J689" s="293"/>
      <c r="K689" s="3093">
        <f t="shared" si="119"/>
        <v>1</v>
      </c>
      <c r="L689" s="293"/>
      <c r="M689" s="3093">
        <f t="shared" si="120"/>
        <v>1</v>
      </c>
      <c r="N689" s="293"/>
      <c r="O689" s="3093">
        <f t="shared" si="121"/>
        <v>1</v>
      </c>
      <c r="P689" s="291" t="s">
        <v>3024</v>
      </c>
      <c r="Q689" s="3093">
        <f t="shared" si="122"/>
        <v>0.97</v>
      </c>
      <c r="R689" s="3093">
        <f t="shared" si="123"/>
        <v>27051</v>
      </c>
      <c r="S689" s="1651">
        <f t="shared" si="124"/>
        <v>135</v>
      </c>
    </row>
    <row r="690" spans="1:19">
      <c r="A690" s="1061" t="str">
        <f>清单!D795</f>
        <v>C-6-3-204</v>
      </c>
      <c r="B690" s="1061">
        <f>清单!F795</f>
        <v>64.099999999999994</v>
      </c>
      <c r="C690" s="3093">
        <f t="shared" si="115"/>
        <v>0.97</v>
      </c>
      <c r="D690" s="293"/>
      <c r="E690" s="3093">
        <f t="shared" si="116"/>
        <v>1</v>
      </c>
      <c r="F690" s="293"/>
      <c r="G690" s="3093">
        <f t="shared" si="117"/>
        <v>1</v>
      </c>
      <c r="H690" s="293"/>
      <c r="I690" s="3093">
        <f t="shared" si="118"/>
        <v>1</v>
      </c>
      <c r="J690" s="293"/>
      <c r="K690" s="3093">
        <f t="shared" si="119"/>
        <v>1</v>
      </c>
      <c r="L690" s="293"/>
      <c r="M690" s="3093">
        <f t="shared" si="120"/>
        <v>1</v>
      </c>
      <c r="N690" s="293"/>
      <c r="O690" s="3093">
        <f t="shared" si="121"/>
        <v>1</v>
      </c>
      <c r="P690" s="291" t="s">
        <v>3024</v>
      </c>
      <c r="Q690" s="3093">
        <f t="shared" si="122"/>
        <v>0.97</v>
      </c>
      <c r="R690" s="3093">
        <f t="shared" si="123"/>
        <v>26240</v>
      </c>
      <c r="S690" s="1651">
        <f t="shared" si="124"/>
        <v>168</v>
      </c>
    </row>
    <row r="691" spans="1:19">
      <c r="A691" s="1061" t="str">
        <f>清单!D796</f>
        <v>C-6-3-205</v>
      </c>
      <c r="B691" s="1061">
        <f>清单!F796</f>
        <v>64.2</v>
      </c>
      <c r="C691" s="3093">
        <f t="shared" si="115"/>
        <v>0.97</v>
      </c>
      <c r="D691" s="293"/>
      <c r="E691" s="3093">
        <f t="shared" si="116"/>
        <v>1</v>
      </c>
      <c r="F691" s="293"/>
      <c r="G691" s="3093">
        <f t="shared" si="117"/>
        <v>1</v>
      </c>
      <c r="H691" s="293"/>
      <c r="I691" s="3093">
        <f t="shared" si="118"/>
        <v>1</v>
      </c>
      <c r="J691" s="293"/>
      <c r="K691" s="3093">
        <f t="shared" si="119"/>
        <v>1</v>
      </c>
      <c r="L691" s="293"/>
      <c r="M691" s="3093">
        <f t="shared" si="120"/>
        <v>1</v>
      </c>
      <c r="N691" s="293"/>
      <c r="O691" s="3093">
        <f t="shared" si="121"/>
        <v>1</v>
      </c>
      <c r="P691" s="291" t="s">
        <v>3024</v>
      </c>
      <c r="Q691" s="3093">
        <f t="shared" si="122"/>
        <v>0.97</v>
      </c>
      <c r="R691" s="3093">
        <f t="shared" si="123"/>
        <v>26240</v>
      </c>
      <c r="S691" s="1651">
        <f t="shared" si="124"/>
        <v>168</v>
      </c>
    </row>
    <row r="692" spans="1:19">
      <c r="A692" s="1061" t="str">
        <f>清单!D815</f>
        <v>C-6-3-506</v>
      </c>
      <c r="B692" s="1061">
        <f>清单!F815</f>
        <v>88.92</v>
      </c>
      <c r="C692" s="3093">
        <f t="shared" si="115"/>
        <v>0.97</v>
      </c>
      <c r="D692" s="293"/>
      <c r="E692" s="3093">
        <f t="shared" si="116"/>
        <v>1</v>
      </c>
      <c r="F692" s="293"/>
      <c r="G692" s="3093">
        <f t="shared" si="117"/>
        <v>1</v>
      </c>
      <c r="H692" s="293"/>
      <c r="I692" s="3093">
        <f t="shared" si="118"/>
        <v>1</v>
      </c>
      <c r="J692" s="293"/>
      <c r="K692" s="3093">
        <f t="shared" si="119"/>
        <v>1</v>
      </c>
      <c r="L692" s="293"/>
      <c r="M692" s="3093">
        <f t="shared" si="120"/>
        <v>1</v>
      </c>
      <c r="N692" s="293"/>
      <c r="O692" s="3093">
        <f t="shared" si="121"/>
        <v>1</v>
      </c>
      <c r="P692" s="291" t="s">
        <v>3024</v>
      </c>
      <c r="Q692" s="3093">
        <f t="shared" si="122"/>
        <v>0.97</v>
      </c>
      <c r="R692" s="3093">
        <f t="shared" si="123"/>
        <v>26240</v>
      </c>
      <c r="S692" s="1651">
        <f t="shared" si="124"/>
        <v>233</v>
      </c>
    </row>
    <row r="693" spans="1:19">
      <c r="A693" s="1061" t="str">
        <f>清单!D816</f>
        <v>C-6-3-601</v>
      </c>
      <c r="B693" s="1061">
        <f>清单!F816</f>
        <v>49.24</v>
      </c>
      <c r="C693" s="3093">
        <f t="shared" si="115"/>
        <v>1</v>
      </c>
      <c r="D693" s="293"/>
      <c r="E693" s="3093">
        <f t="shared" si="116"/>
        <v>1</v>
      </c>
      <c r="F693" s="293"/>
      <c r="G693" s="3093">
        <f t="shared" si="117"/>
        <v>1</v>
      </c>
      <c r="H693" s="293"/>
      <c r="I693" s="3093">
        <f t="shared" si="118"/>
        <v>1</v>
      </c>
      <c r="J693" s="293"/>
      <c r="K693" s="3093">
        <f t="shared" si="119"/>
        <v>1</v>
      </c>
      <c r="L693" s="293"/>
      <c r="M693" s="3093">
        <f t="shared" si="120"/>
        <v>1</v>
      </c>
      <c r="N693" s="293"/>
      <c r="O693" s="3093">
        <f t="shared" si="121"/>
        <v>1</v>
      </c>
      <c r="P693" s="291" t="s">
        <v>3022</v>
      </c>
      <c r="Q693" s="3093">
        <f t="shared" si="122"/>
        <v>1</v>
      </c>
      <c r="R693" s="3093">
        <f t="shared" si="123"/>
        <v>27888</v>
      </c>
      <c r="S693" s="1651">
        <f t="shared" si="124"/>
        <v>137</v>
      </c>
    </row>
    <row r="694" spans="1:19">
      <c r="A694" s="1061" t="str">
        <f>清单!D799</f>
        <v>C-6-3-302</v>
      </c>
      <c r="B694" s="1061">
        <f>清单!F799</f>
        <v>49.94</v>
      </c>
      <c r="C694" s="3093">
        <f t="shared" si="115"/>
        <v>1</v>
      </c>
      <c r="D694" s="293"/>
      <c r="E694" s="3093">
        <f t="shared" si="116"/>
        <v>1</v>
      </c>
      <c r="F694" s="293"/>
      <c r="G694" s="3093">
        <f t="shared" si="117"/>
        <v>1</v>
      </c>
      <c r="H694" s="293"/>
      <c r="I694" s="3093">
        <f t="shared" si="118"/>
        <v>1</v>
      </c>
      <c r="J694" s="293"/>
      <c r="K694" s="3093">
        <f t="shared" si="119"/>
        <v>1</v>
      </c>
      <c r="L694" s="293"/>
      <c r="M694" s="3093">
        <f t="shared" si="120"/>
        <v>1</v>
      </c>
      <c r="N694" s="293"/>
      <c r="O694" s="3093">
        <f t="shared" si="121"/>
        <v>1</v>
      </c>
      <c r="P694" s="291" t="s">
        <v>3024</v>
      </c>
      <c r="Q694" s="3093">
        <f t="shared" si="122"/>
        <v>0.97</v>
      </c>
      <c r="R694" s="3093">
        <f t="shared" si="123"/>
        <v>27051</v>
      </c>
      <c r="S694" s="1651">
        <f t="shared" si="124"/>
        <v>135</v>
      </c>
    </row>
    <row r="695" spans="1:19">
      <c r="A695" s="1061" t="str">
        <f>清单!D800</f>
        <v>C-6-3-303</v>
      </c>
      <c r="B695" s="1061">
        <f>清单!F800</f>
        <v>49.99</v>
      </c>
      <c r="C695" s="3093">
        <f t="shared" si="115"/>
        <v>1</v>
      </c>
      <c r="D695" s="293"/>
      <c r="E695" s="3093">
        <f t="shared" si="116"/>
        <v>1</v>
      </c>
      <c r="F695" s="293"/>
      <c r="G695" s="3093">
        <f t="shared" si="117"/>
        <v>1</v>
      </c>
      <c r="H695" s="293"/>
      <c r="I695" s="3093">
        <f t="shared" si="118"/>
        <v>1</v>
      </c>
      <c r="J695" s="293"/>
      <c r="K695" s="3093">
        <f t="shared" si="119"/>
        <v>1</v>
      </c>
      <c r="L695" s="293"/>
      <c r="M695" s="3093">
        <f t="shared" si="120"/>
        <v>1</v>
      </c>
      <c r="N695" s="293"/>
      <c r="O695" s="3093">
        <f t="shared" si="121"/>
        <v>1</v>
      </c>
      <c r="P695" s="291" t="s">
        <v>3024</v>
      </c>
      <c r="Q695" s="3093">
        <f t="shared" si="122"/>
        <v>0.97</v>
      </c>
      <c r="R695" s="3093">
        <f t="shared" si="123"/>
        <v>27051</v>
      </c>
      <c r="S695" s="1651">
        <f t="shared" si="124"/>
        <v>135</v>
      </c>
    </row>
    <row r="696" spans="1:19">
      <c r="A696" s="1061" t="str">
        <f>清单!D819</f>
        <v>C-6-3-604</v>
      </c>
      <c r="B696" s="1061">
        <f>清单!F819</f>
        <v>64.099999999999994</v>
      </c>
      <c r="C696" s="3093">
        <f t="shared" si="115"/>
        <v>0.97</v>
      </c>
      <c r="D696" s="293"/>
      <c r="E696" s="3093">
        <f t="shared" si="116"/>
        <v>1</v>
      </c>
      <c r="F696" s="293"/>
      <c r="G696" s="3093">
        <f t="shared" si="117"/>
        <v>1</v>
      </c>
      <c r="H696" s="293"/>
      <c r="I696" s="3093">
        <f t="shared" si="118"/>
        <v>1</v>
      </c>
      <c r="J696" s="293"/>
      <c r="K696" s="3093">
        <f t="shared" si="119"/>
        <v>1</v>
      </c>
      <c r="L696" s="293"/>
      <c r="M696" s="3093">
        <f t="shared" si="120"/>
        <v>1</v>
      </c>
      <c r="N696" s="293"/>
      <c r="O696" s="3093">
        <f t="shared" si="121"/>
        <v>1</v>
      </c>
      <c r="P696" s="291" t="s">
        <v>3022</v>
      </c>
      <c r="Q696" s="3093">
        <f t="shared" si="122"/>
        <v>1</v>
      </c>
      <c r="R696" s="3093">
        <f t="shared" si="123"/>
        <v>27051</v>
      </c>
      <c r="S696" s="1651">
        <f t="shared" si="124"/>
        <v>173</v>
      </c>
    </row>
    <row r="697" spans="1:19">
      <c r="A697" s="1061" t="str">
        <f>清单!D820</f>
        <v>C-6-3-605</v>
      </c>
      <c r="B697" s="1061">
        <f>清单!F820</f>
        <v>64.2</v>
      </c>
      <c r="C697" s="3093">
        <f t="shared" si="115"/>
        <v>0.97</v>
      </c>
      <c r="D697" s="293"/>
      <c r="E697" s="3093">
        <f t="shared" si="116"/>
        <v>1</v>
      </c>
      <c r="F697" s="293"/>
      <c r="G697" s="3093">
        <f t="shared" si="117"/>
        <v>1</v>
      </c>
      <c r="H697" s="293"/>
      <c r="I697" s="3093">
        <f t="shared" si="118"/>
        <v>1</v>
      </c>
      <c r="J697" s="293"/>
      <c r="K697" s="3093">
        <f t="shared" si="119"/>
        <v>1</v>
      </c>
      <c r="L697" s="293"/>
      <c r="M697" s="3093">
        <f t="shared" si="120"/>
        <v>1</v>
      </c>
      <c r="N697" s="293"/>
      <c r="O697" s="3093">
        <f t="shared" si="121"/>
        <v>1</v>
      </c>
      <c r="P697" s="291" t="s">
        <v>3022</v>
      </c>
      <c r="Q697" s="3093">
        <f t="shared" si="122"/>
        <v>1</v>
      </c>
      <c r="R697" s="3093">
        <f t="shared" si="123"/>
        <v>27051</v>
      </c>
      <c r="S697" s="1651">
        <f t="shared" si="124"/>
        <v>174</v>
      </c>
    </row>
    <row r="698" spans="1:19">
      <c r="A698" s="1061" t="str">
        <f>清单!D803</f>
        <v>C-6-3-306</v>
      </c>
      <c r="B698" s="1061">
        <f>清单!F803</f>
        <v>88.92</v>
      </c>
      <c r="C698" s="3093">
        <f t="shared" si="115"/>
        <v>0.97</v>
      </c>
      <c r="D698" s="293"/>
      <c r="E698" s="3093">
        <f t="shared" si="116"/>
        <v>1</v>
      </c>
      <c r="F698" s="293"/>
      <c r="G698" s="3093">
        <f t="shared" si="117"/>
        <v>1</v>
      </c>
      <c r="H698" s="293"/>
      <c r="I698" s="3093">
        <f t="shared" si="118"/>
        <v>1</v>
      </c>
      <c r="J698" s="293"/>
      <c r="K698" s="3093">
        <f t="shared" si="119"/>
        <v>1</v>
      </c>
      <c r="L698" s="293"/>
      <c r="M698" s="3093">
        <f t="shared" si="120"/>
        <v>1</v>
      </c>
      <c r="N698" s="293"/>
      <c r="O698" s="3093">
        <f t="shared" si="121"/>
        <v>1</v>
      </c>
      <c r="P698" s="291" t="s">
        <v>3024</v>
      </c>
      <c r="Q698" s="3093">
        <f t="shared" si="122"/>
        <v>0.97</v>
      </c>
      <c r="R698" s="3093">
        <f t="shared" si="123"/>
        <v>26240</v>
      </c>
      <c r="S698" s="1651">
        <f t="shared" si="124"/>
        <v>233</v>
      </c>
    </row>
    <row r="699" spans="1:19">
      <c r="A699" s="1061" t="str">
        <f>清单!D804</f>
        <v>C-6-3-401</v>
      </c>
      <c r="B699" s="1061">
        <f>清单!F804</f>
        <v>49.24</v>
      </c>
      <c r="C699" s="3093">
        <f t="shared" si="115"/>
        <v>1</v>
      </c>
      <c r="D699" s="293"/>
      <c r="E699" s="3093">
        <f t="shared" si="116"/>
        <v>1</v>
      </c>
      <c r="F699" s="293"/>
      <c r="G699" s="3093">
        <f t="shared" si="117"/>
        <v>1</v>
      </c>
      <c r="H699" s="293"/>
      <c r="I699" s="3093">
        <f t="shared" si="118"/>
        <v>1</v>
      </c>
      <c r="J699" s="293"/>
      <c r="K699" s="3093">
        <f t="shared" si="119"/>
        <v>1</v>
      </c>
      <c r="L699" s="293"/>
      <c r="M699" s="3093">
        <f t="shared" si="120"/>
        <v>1</v>
      </c>
      <c r="N699" s="293"/>
      <c r="O699" s="3093">
        <f t="shared" si="121"/>
        <v>1</v>
      </c>
      <c r="P699" s="291" t="s">
        <v>3024</v>
      </c>
      <c r="Q699" s="3093">
        <f t="shared" si="122"/>
        <v>0.97</v>
      </c>
      <c r="R699" s="3093">
        <f t="shared" si="123"/>
        <v>27051</v>
      </c>
      <c r="S699" s="1651">
        <f t="shared" si="124"/>
        <v>133</v>
      </c>
    </row>
    <row r="700" spans="1:19">
      <c r="A700" s="1061" t="str">
        <f>清单!D823</f>
        <v>C-6-3-702</v>
      </c>
      <c r="B700" s="1061">
        <f>清单!F823</f>
        <v>49.94</v>
      </c>
      <c r="C700" s="3093">
        <f t="shared" si="115"/>
        <v>1</v>
      </c>
      <c r="D700" s="293"/>
      <c r="E700" s="3093">
        <f t="shared" si="116"/>
        <v>1</v>
      </c>
      <c r="F700" s="293"/>
      <c r="G700" s="3093">
        <f t="shared" si="117"/>
        <v>1</v>
      </c>
      <c r="H700" s="293"/>
      <c r="I700" s="3093">
        <f t="shared" si="118"/>
        <v>1</v>
      </c>
      <c r="J700" s="293"/>
      <c r="K700" s="3093">
        <f t="shared" si="119"/>
        <v>1</v>
      </c>
      <c r="L700" s="293"/>
      <c r="M700" s="3093">
        <f t="shared" si="120"/>
        <v>1</v>
      </c>
      <c r="N700" s="293"/>
      <c r="O700" s="3093">
        <f t="shared" si="121"/>
        <v>1</v>
      </c>
      <c r="P700" s="291" t="s">
        <v>3022</v>
      </c>
      <c r="Q700" s="3093">
        <f t="shared" si="122"/>
        <v>1</v>
      </c>
      <c r="R700" s="3093">
        <f t="shared" si="123"/>
        <v>27888</v>
      </c>
      <c r="S700" s="1651">
        <f t="shared" si="124"/>
        <v>139</v>
      </c>
    </row>
    <row r="701" spans="1:19">
      <c r="A701" s="1061" t="str">
        <f>清单!D824</f>
        <v>C-6-3-703</v>
      </c>
      <c r="B701" s="1061">
        <f>清单!F824</f>
        <v>49.99</v>
      </c>
      <c r="C701" s="3093">
        <f t="shared" ref="C701:C764" si="125">IF(B701="",1,(LOOKUP(B701,$3:$3,$4:$4)-LOOKUP($B$24,$3:$3,$4:$4)+100)/100)</f>
        <v>1</v>
      </c>
      <c r="D701" s="293"/>
      <c r="E701" s="3093">
        <f t="shared" ref="E701:E764" si="126">(SUMIF($5:$5,D701,$6:$6)-SUMIF($5:$5,$D$24,$6:$6)+100)/100</f>
        <v>1</v>
      </c>
      <c r="F701" s="293"/>
      <c r="G701" s="3093">
        <f t="shared" ref="G701:G764" si="127">(SUMIF($7:$7,F701,$8:$8)-SUMIF($7:$7,$F$24,$8:$8)+100)/100</f>
        <v>1</v>
      </c>
      <c r="H701" s="293"/>
      <c r="I701" s="3093">
        <f t="shared" ref="I701:I764" si="128">(SUMIF($9:$9,H701,$10:$10)-SUMIF($9:$9,$H$24,$10:$10)+100)/100</f>
        <v>1</v>
      </c>
      <c r="J701" s="293"/>
      <c r="K701" s="3093">
        <f t="shared" ref="K701:K764" si="129">(SUMIF($11:$11,J701,$12:$12)-SUMIF($11:$11,$J$24,$12:$12)+100)/100</f>
        <v>1</v>
      </c>
      <c r="L701" s="293"/>
      <c r="M701" s="3093">
        <f t="shared" ref="M701:M764" si="130">(SUMIF($13:$13,L701,$14:$14)-SUMIF($13:$13,$L$24,$14:$14)+100)/100</f>
        <v>1</v>
      </c>
      <c r="N701" s="293"/>
      <c r="O701" s="3093">
        <f t="shared" ref="O701:O764" si="131">(SUMIF($15:$15,N701,$16:$16)-SUMIF($15:$15,$N$24,$16:$16)+100)/100</f>
        <v>1</v>
      </c>
      <c r="P701" s="291" t="s">
        <v>3022</v>
      </c>
      <c r="Q701" s="3093">
        <f t="shared" ref="Q701:Q764" si="132">(SUMIF($17:$17,P701,$18:$18)-SUMIF($17:$17,$P$24,$18:$18)+100)/100</f>
        <v>1</v>
      </c>
      <c r="R701" s="3093">
        <f t="shared" ref="R701:R764" si="133">IF(B701="",0,ROUND($R$24*C701*E701*G701*I701*K701*M701*O701*Q701,0))</f>
        <v>27888</v>
      </c>
      <c r="S701" s="1651">
        <f t="shared" ref="S701:S764" si="134">ROUND(R701*B701/10000,0)</f>
        <v>139</v>
      </c>
    </row>
    <row r="702" spans="1:19">
      <c r="A702" s="1061" t="str">
        <f>清单!D807</f>
        <v>C-6-3-404</v>
      </c>
      <c r="B702" s="1061">
        <f>清单!F807</f>
        <v>64.099999999999994</v>
      </c>
      <c r="C702" s="3093">
        <f t="shared" si="125"/>
        <v>0.97</v>
      </c>
      <c r="D702" s="293"/>
      <c r="E702" s="3093">
        <f t="shared" si="126"/>
        <v>1</v>
      </c>
      <c r="F702" s="293"/>
      <c r="G702" s="3093">
        <f t="shared" si="127"/>
        <v>1</v>
      </c>
      <c r="H702" s="293"/>
      <c r="I702" s="3093">
        <f t="shared" si="128"/>
        <v>1</v>
      </c>
      <c r="J702" s="293"/>
      <c r="K702" s="3093">
        <f t="shared" si="129"/>
        <v>1</v>
      </c>
      <c r="L702" s="293"/>
      <c r="M702" s="3093">
        <f t="shared" si="130"/>
        <v>1</v>
      </c>
      <c r="N702" s="293"/>
      <c r="O702" s="3093">
        <f t="shared" si="131"/>
        <v>1</v>
      </c>
      <c r="P702" s="291" t="s">
        <v>3024</v>
      </c>
      <c r="Q702" s="3093">
        <f t="shared" si="132"/>
        <v>0.97</v>
      </c>
      <c r="R702" s="3093">
        <f t="shared" si="133"/>
        <v>26240</v>
      </c>
      <c r="S702" s="1651">
        <f t="shared" si="134"/>
        <v>168</v>
      </c>
    </row>
    <row r="703" spans="1:19">
      <c r="A703" s="1061" t="str">
        <f>清单!D808</f>
        <v>C-6-3-405</v>
      </c>
      <c r="B703" s="1061">
        <f>清单!F808</f>
        <v>64.2</v>
      </c>
      <c r="C703" s="3093">
        <f t="shared" si="125"/>
        <v>0.97</v>
      </c>
      <c r="D703" s="293"/>
      <c r="E703" s="3093">
        <f t="shared" si="126"/>
        <v>1</v>
      </c>
      <c r="F703" s="293"/>
      <c r="G703" s="3093">
        <f t="shared" si="127"/>
        <v>1</v>
      </c>
      <c r="H703" s="293"/>
      <c r="I703" s="3093">
        <f t="shared" si="128"/>
        <v>1</v>
      </c>
      <c r="J703" s="293"/>
      <c r="K703" s="3093">
        <f t="shared" si="129"/>
        <v>1</v>
      </c>
      <c r="L703" s="293"/>
      <c r="M703" s="3093">
        <f t="shared" si="130"/>
        <v>1</v>
      </c>
      <c r="N703" s="293"/>
      <c r="O703" s="3093">
        <f t="shared" si="131"/>
        <v>1</v>
      </c>
      <c r="P703" s="291" t="s">
        <v>3024</v>
      </c>
      <c r="Q703" s="3093">
        <f t="shared" si="132"/>
        <v>0.97</v>
      </c>
      <c r="R703" s="3093">
        <f t="shared" si="133"/>
        <v>26240</v>
      </c>
      <c r="S703" s="1651">
        <f t="shared" si="134"/>
        <v>168</v>
      </c>
    </row>
    <row r="704" spans="1:19">
      <c r="A704" s="1061" t="str">
        <f>清单!D827</f>
        <v>C-6-3-706</v>
      </c>
      <c r="B704" s="1061">
        <f>清单!F827</f>
        <v>88.92</v>
      </c>
      <c r="C704" s="3093">
        <f t="shared" si="125"/>
        <v>0.97</v>
      </c>
      <c r="D704" s="293"/>
      <c r="E704" s="3093">
        <f t="shared" si="126"/>
        <v>1</v>
      </c>
      <c r="F704" s="293"/>
      <c r="G704" s="3093">
        <f t="shared" si="127"/>
        <v>1</v>
      </c>
      <c r="H704" s="293"/>
      <c r="I704" s="3093">
        <f t="shared" si="128"/>
        <v>1</v>
      </c>
      <c r="J704" s="293"/>
      <c r="K704" s="3093">
        <f t="shared" si="129"/>
        <v>1</v>
      </c>
      <c r="L704" s="293"/>
      <c r="M704" s="3093">
        <f t="shared" si="130"/>
        <v>1</v>
      </c>
      <c r="N704" s="293"/>
      <c r="O704" s="3093">
        <f t="shared" si="131"/>
        <v>1</v>
      </c>
      <c r="P704" s="291" t="s">
        <v>3022</v>
      </c>
      <c r="Q704" s="3093">
        <f t="shared" si="132"/>
        <v>1</v>
      </c>
      <c r="R704" s="3093">
        <f t="shared" si="133"/>
        <v>27051</v>
      </c>
      <c r="S704" s="1651">
        <f t="shared" si="134"/>
        <v>241</v>
      </c>
    </row>
    <row r="705" spans="1:19">
      <c r="A705" s="1061" t="str">
        <f>清单!D828</f>
        <v>C-6-3-801</v>
      </c>
      <c r="B705" s="1061">
        <f>清单!F828</f>
        <v>49.24</v>
      </c>
      <c r="C705" s="3093">
        <f t="shared" si="125"/>
        <v>1</v>
      </c>
      <c r="D705" s="293"/>
      <c r="E705" s="3093">
        <f t="shared" si="126"/>
        <v>1</v>
      </c>
      <c r="F705" s="293"/>
      <c r="G705" s="3093">
        <f t="shared" si="127"/>
        <v>1</v>
      </c>
      <c r="H705" s="293"/>
      <c r="I705" s="3093">
        <f t="shared" si="128"/>
        <v>1</v>
      </c>
      <c r="J705" s="293"/>
      <c r="K705" s="3093">
        <f t="shared" si="129"/>
        <v>1</v>
      </c>
      <c r="L705" s="293"/>
      <c r="M705" s="3093">
        <f t="shared" si="130"/>
        <v>1</v>
      </c>
      <c r="N705" s="293"/>
      <c r="O705" s="3093">
        <f t="shared" si="131"/>
        <v>1</v>
      </c>
      <c r="P705" s="291" t="s">
        <v>3022</v>
      </c>
      <c r="Q705" s="3093">
        <f t="shared" si="132"/>
        <v>1</v>
      </c>
      <c r="R705" s="3093">
        <f t="shared" si="133"/>
        <v>27888</v>
      </c>
      <c r="S705" s="1651">
        <f t="shared" si="134"/>
        <v>137</v>
      </c>
    </row>
    <row r="706" spans="1:19">
      <c r="A706" s="1061" t="str">
        <f>清单!D811</f>
        <v>C-6-3-502</v>
      </c>
      <c r="B706" s="1061">
        <f>清单!F811</f>
        <v>49.94</v>
      </c>
      <c r="C706" s="3093">
        <f t="shared" si="125"/>
        <v>1</v>
      </c>
      <c r="D706" s="293"/>
      <c r="E706" s="3093">
        <f t="shared" si="126"/>
        <v>1</v>
      </c>
      <c r="F706" s="293"/>
      <c r="G706" s="3093">
        <f t="shared" si="127"/>
        <v>1</v>
      </c>
      <c r="H706" s="293"/>
      <c r="I706" s="3093">
        <f t="shared" si="128"/>
        <v>1</v>
      </c>
      <c r="J706" s="293"/>
      <c r="K706" s="3093">
        <f t="shared" si="129"/>
        <v>1</v>
      </c>
      <c r="L706" s="293"/>
      <c r="M706" s="3093">
        <f t="shared" si="130"/>
        <v>1</v>
      </c>
      <c r="N706" s="293"/>
      <c r="O706" s="3093">
        <f t="shared" si="131"/>
        <v>1</v>
      </c>
      <c r="P706" s="291" t="s">
        <v>3024</v>
      </c>
      <c r="Q706" s="3093">
        <f t="shared" si="132"/>
        <v>0.97</v>
      </c>
      <c r="R706" s="3093">
        <f t="shared" si="133"/>
        <v>27051</v>
      </c>
      <c r="S706" s="1651">
        <f t="shared" si="134"/>
        <v>135</v>
      </c>
    </row>
    <row r="707" spans="1:19">
      <c r="A707" s="1061" t="str">
        <f>清单!D812</f>
        <v>C-6-3-503</v>
      </c>
      <c r="B707" s="1061">
        <f>清单!F812</f>
        <v>49.99</v>
      </c>
      <c r="C707" s="3093">
        <f t="shared" si="125"/>
        <v>1</v>
      </c>
      <c r="D707" s="293"/>
      <c r="E707" s="3093">
        <f t="shared" si="126"/>
        <v>1</v>
      </c>
      <c r="F707" s="293"/>
      <c r="G707" s="3093">
        <f t="shared" si="127"/>
        <v>1</v>
      </c>
      <c r="H707" s="293"/>
      <c r="I707" s="3093">
        <f t="shared" si="128"/>
        <v>1</v>
      </c>
      <c r="J707" s="293"/>
      <c r="K707" s="3093">
        <f t="shared" si="129"/>
        <v>1</v>
      </c>
      <c r="L707" s="293"/>
      <c r="M707" s="3093">
        <f t="shared" si="130"/>
        <v>1</v>
      </c>
      <c r="N707" s="293"/>
      <c r="O707" s="3093">
        <f t="shared" si="131"/>
        <v>1</v>
      </c>
      <c r="P707" s="291" t="s">
        <v>3024</v>
      </c>
      <c r="Q707" s="3093">
        <f t="shared" si="132"/>
        <v>0.97</v>
      </c>
      <c r="R707" s="3093">
        <f t="shared" si="133"/>
        <v>27051</v>
      </c>
      <c r="S707" s="1651">
        <f t="shared" si="134"/>
        <v>135</v>
      </c>
    </row>
    <row r="708" spans="1:19">
      <c r="A708" s="1061" t="str">
        <f>清单!D831</f>
        <v>C-6-3-804</v>
      </c>
      <c r="B708" s="1061">
        <f>清单!F831</f>
        <v>64.099999999999994</v>
      </c>
      <c r="C708" s="3093">
        <f t="shared" si="125"/>
        <v>0.97</v>
      </c>
      <c r="D708" s="293"/>
      <c r="E708" s="3093">
        <f t="shared" si="126"/>
        <v>1</v>
      </c>
      <c r="F708" s="293"/>
      <c r="G708" s="3093">
        <f t="shared" si="127"/>
        <v>1</v>
      </c>
      <c r="H708" s="293"/>
      <c r="I708" s="3093">
        <f t="shared" si="128"/>
        <v>1</v>
      </c>
      <c r="J708" s="293"/>
      <c r="K708" s="3093">
        <f t="shared" si="129"/>
        <v>1</v>
      </c>
      <c r="L708" s="293"/>
      <c r="M708" s="3093">
        <f t="shared" si="130"/>
        <v>1</v>
      </c>
      <c r="N708" s="293"/>
      <c r="O708" s="3093">
        <f t="shared" si="131"/>
        <v>1</v>
      </c>
      <c r="P708" s="291" t="s">
        <v>3022</v>
      </c>
      <c r="Q708" s="3093">
        <f t="shared" si="132"/>
        <v>1</v>
      </c>
      <c r="R708" s="3093">
        <f t="shared" si="133"/>
        <v>27051</v>
      </c>
      <c r="S708" s="1651">
        <f t="shared" si="134"/>
        <v>173</v>
      </c>
    </row>
    <row r="709" spans="1:19">
      <c r="A709" s="1061" t="str">
        <f>清单!D832</f>
        <v>C-6-3-805</v>
      </c>
      <c r="B709" s="1061">
        <f>清单!F832</f>
        <v>64.2</v>
      </c>
      <c r="C709" s="3093">
        <f t="shared" si="125"/>
        <v>0.97</v>
      </c>
      <c r="D709" s="293"/>
      <c r="E709" s="3093">
        <f t="shared" si="126"/>
        <v>1</v>
      </c>
      <c r="F709" s="293"/>
      <c r="G709" s="3093">
        <f t="shared" si="127"/>
        <v>1</v>
      </c>
      <c r="H709" s="293"/>
      <c r="I709" s="3093">
        <f t="shared" si="128"/>
        <v>1</v>
      </c>
      <c r="J709" s="293"/>
      <c r="K709" s="3093">
        <f t="shared" si="129"/>
        <v>1</v>
      </c>
      <c r="L709" s="293"/>
      <c r="M709" s="3093">
        <f t="shared" si="130"/>
        <v>1</v>
      </c>
      <c r="N709" s="293"/>
      <c r="O709" s="3093">
        <f t="shared" si="131"/>
        <v>1</v>
      </c>
      <c r="P709" s="291" t="s">
        <v>3022</v>
      </c>
      <c r="Q709" s="3093">
        <f t="shared" si="132"/>
        <v>1</v>
      </c>
      <c r="R709" s="3093">
        <f t="shared" si="133"/>
        <v>27051</v>
      </c>
      <c r="S709" s="1651">
        <f t="shared" si="134"/>
        <v>174</v>
      </c>
    </row>
    <row r="710" spans="1:19">
      <c r="A710" s="1061" t="str">
        <f>清单!D815</f>
        <v>C-6-3-506</v>
      </c>
      <c r="B710" s="1061">
        <f>清单!F815</f>
        <v>88.92</v>
      </c>
      <c r="C710" s="3093">
        <f t="shared" si="125"/>
        <v>0.97</v>
      </c>
      <c r="D710" s="293"/>
      <c r="E710" s="3093">
        <f t="shared" si="126"/>
        <v>1</v>
      </c>
      <c r="F710" s="293"/>
      <c r="G710" s="3093">
        <f t="shared" si="127"/>
        <v>1</v>
      </c>
      <c r="H710" s="293"/>
      <c r="I710" s="3093">
        <f t="shared" si="128"/>
        <v>1</v>
      </c>
      <c r="J710" s="293"/>
      <c r="K710" s="3093">
        <f t="shared" si="129"/>
        <v>1</v>
      </c>
      <c r="L710" s="293"/>
      <c r="M710" s="3093">
        <f t="shared" si="130"/>
        <v>1</v>
      </c>
      <c r="N710" s="293"/>
      <c r="O710" s="3093">
        <f t="shared" si="131"/>
        <v>1</v>
      </c>
      <c r="P710" s="291" t="s">
        <v>3024</v>
      </c>
      <c r="Q710" s="3093">
        <f t="shared" si="132"/>
        <v>0.97</v>
      </c>
      <c r="R710" s="3093">
        <f t="shared" si="133"/>
        <v>26240</v>
      </c>
      <c r="S710" s="1651">
        <f t="shared" si="134"/>
        <v>233</v>
      </c>
    </row>
    <row r="711" spans="1:19">
      <c r="A711" s="1061" t="str">
        <f>清单!D816</f>
        <v>C-6-3-601</v>
      </c>
      <c r="B711" s="1061">
        <f>清单!F816</f>
        <v>49.24</v>
      </c>
      <c r="C711" s="3093">
        <f t="shared" si="125"/>
        <v>1</v>
      </c>
      <c r="D711" s="293"/>
      <c r="E711" s="3093">
        <f t="shared" si="126"/>
        <v>1</v>
      </c>
      <c r="F711" s="293"/>
      <c r="G711" s="3093">
        <f t="shared" si="127"/>
        <v>1</v>
      </c>
      <c r="H711" s="293"/>
      <c r="I711" s="3093">
        <f t="shared" si="128"/>
        <v>1</v>
      </c>
      <c r="J711" s="293"/>
      <c r="K711" s="3093">
        <f t="shared" si="129"/>
        <v>1</v>
      </c>
      <c r="L711" s="293"/>
      <c r="M711" s="3093">
        <f t="shared" si="130"/>
        <v>1</v>
      </c>
      <c r="N711" s="293"/>
      <c r="O711" s="3093">
        <f t="shared" si="131"/>
        <v>1</v>
      </c>
      <c r="P711" s="291" t="s">
        <v>3022</v>
      </c>
      <c r="Q711" s="3093">
        <f t="shared" si="132"/>
        <v>1</v>
      </c>
      <c r="R711" s="3093">
        <f t="shared" si="133"/>
        <v>27888</v>
      </c>
      <c r="S711" s="1651">
        <f t="shared" si="134"/>
        <v>137</v>
      </c>
    </row>
    <row r="712" spans="1:19">
      <c r="A712" s="1061" t="str">
        <f>清单!D835</f>
        <v>C-6-3-902</v>
      </c>
      <c r="B712" s="1061">
        <f>清单!F835</f>
        <v>49.94</v>
      </c>
      <c r="C712" s="3093">
        <f t="shared" si="125"/>
        <v>1</v>
      </c>
      <c r="D712" s="293"/>
      <c r="E712" s="3093">
        <f t="shared" si="126"/>
        <v>1</v>
      </c>
      <c r="F712" s="293"/>
      <c r="G712" s="3093">
        <f t="shared" si="127"/>
        <v>1</v>
      </c>
      <c r="H712" s="293"/>
      <c r="I712" s="3093">
        <f t="shared" si="128"/>
        <v>1</v>
      </c>
      <c r="J712" s="293"/>
      <c r="K712" s="3093">
        <f t="shared" si="129"/>
        <v>1</v>
      </c>
      <c r="L712" s="293"/>
      <c r="M712" s="3093">
        <f t="shared" si="130"/>
        <v>1</v>
      </c>
      <c r="N712" s="293"/>
      <c r="O712" s="3093">
        <f t="shared" si="131"/>
        <v>1</v>
      </c>
      <c r="P712" s="291" t="s">
        <v>3022</v>
      </c>
      <c r="Q712" s="3093">
        <f t="shared" si="132"/>
        <v>1</v>
      </c>
      <c r="R712" s="3093">
        <f t="shared" si="133"/>
        <v>27888</v>
      </c>
      <c r="S712" s="1651">
        <f t="shared" si="134"/>
        <v>139</v>
      </c>
    </row>
    <row r="713" spans="1:19">
      <c r="A713" s="1061" t="str">
        <f>清单!D836</f>
        <v>C-6-3-903</v>
      </c>
      <c r="B713" s="1061">
        <f>清单!F836</f>
        <v>49.99</v>
      </c>
      <c r="C713" s="3093">
        <f t="shared" si="125"/>
        <v>1</v>
      </c>
      <c r="D713" s="293"/>
      <c r="E713" s="3093">
        <f t="shared" si="126"/>
        <v>1</v>
      </c>
      <c r="F713" s="293"/>
      <c r="G713" s="3093">
        <f t="shared" si="127"/>
        <v>1</v>
      </c>
      <c r="H713" s="293"/>
      <c r="I713" s="3093">
        <f t="shared" si="128"/>
        <v>1</v>
      </c>
      <c r="J713" s="293"/>
      <c r="K713" s="3093">
        <f t="shared" si="129"/>
        <v>1</v>
      </c>
      <c r="L713" s="293"/>
      <c r="M713" s="3093">
        <f t="shared" si="130"/>
        <v>1</v>
      </c>
      <c r="N713" s="293"/>
      <c r="O713" s="3093">
        <f t="shared" si="131"/>
        <v>1</v>
      </c>
      <c r="P713" s="291" t="s">
        <v>3022</v>
      </c>
      <c r="Q713" s="3093">
        <f t="shared" si="132"/>
        <v>1</v>
      </c>
      <c r="R713" s="3093">
        <f t="shared" si="133"/>
        <v>27888</v>
      </c>
      <c r="S713" s="1651">
        <f t="shared" si="134"/>
        <v>139</v>
      </c>
    </row>
    <row r="714" spans="1:19">
      <c r="A714" s="1061" t="str">
        <f>清单!D819</f>
        <v>C-6-3-604</v>
      </c>
      <c r="B714" s="1061">
        <f>清单!F819</f>
        <v>64.099999999999994</v>
      </c>
      <c r="C714" s="3093">
        <f t="shared" si="125"/>
        <v>0.97</v>
      </c>
      <c r="D714" s="293"/>
      <c r="E714" s="3093">
        <f t="shared" si="126"/>
        <v>1</v>
      </c>
      <c r="F714" s="293"/>
      <c r="G714" s="3093">
        <f t="shared" si="127"/>
        <v>1</v>
      </c>
      <c r="H714" s="293"/>
      <c r="I714" s="3093">
        <f t="shared" si="128"/>
        <v>1</v>
      </c>
      <c r="J714" s="293"/>
      <c r="K714" s="3093">
        <f t="shared" si="129"/>
        <v>1</v>
      </c>
      <c r="L714" s="293"/>
      <c r="M714" s="3093">
        <f t="shared" si="130"/>
        <v>1</v>
      </c>
      <c r="N714" s="293"/>
      <c r="O714" s="3093">
        <f t="shared" si="131"/>
        <v>1</v>
      </c>
      <c r="P714" s="291" t="s">
        <v>3022</v>
      </c>
      <c r="Q714" s="3093">
        <f t="shared" si="132"/>
        <v>1</v>
      </c>
      <c r="R714" s="3093">
        <f t="shared" si="133"/>
        <v>27051</v>
      </c>
      <c r="S714" s="1651">
        <f t="shared" si="134"/>
        <v>173</v>
      </c>
    </row>
    <row r="715" spans="1:19">
      <c r="A715" s="1061" t="str">
        <f>清单!D820</f>
        <v>C-6-3-605</v>
      </c>
      <c r="B715" s="1061">
        <f>清单!F820</f>
        <v>64.2</v>
      </c>
      <c r="C715" s="3093">
        <f t="shared" si="125"/>
        <v>0.97</v>
      </c>
      <c r="D715" s="293"/>
      <c r="E715" s="3093">
        <f t="shared" si="126"/>
        <v>1</v>
      </c>
      <c r="F715" s="293"/>
      <c r="G715" s="3093">
        <f t="shared" si="127"/>
        <v>1</v>
      </c>
      <c r="H715" s="293"/>
      <c r="I715" s="3093">
        <f t="shared" si="128"/>
        <v>1</v>
      </c>
      <c r="J715" s="293"/>
      <c r="K715" s="3093">
        <f t="shared" si="129"/>
        <v>1</v>
      </c>
      <c r="L715" s="293"/>
      <c r="M715" s="3093">
        <f t="shared" si="130"/>
        <v>1</v>
      </c>
      <c r="N715" s="293"/>
      <c r="O715" s="3093">
        <f t="shared" si="131"/>
        <v>1</v>
      </c>
      <c r="P715" s="291" t="s">
        <v>3022</v>
      </c>
      <c r="Q715" s="3093">
        <f t="shared" si="132"/>
        <v>1</v>
      </c>
      <c r="R715" s="3093">
        <f t="shared" si="133"/>
        <v>27051</v>
      </c>
      <c r="S715" s="1651">
        <f t="shared" si="134"/>
        <v>174</v>
      </c>
    </row>
    <row r="716" spans="1:19">
      <c r="A716" s="1061" t="str">
        <f>清单!D839</f>
        <v>C-6-3-906</v>
      </c>
      <c r="B716" s="1061">
        <f>清单!F839</f>
        <v>88.92</v>
      </c>
      <c r="C716" s="3093">
        <f t="shared" si="125"/>
        <v>0.97</v>
      </c>
      <c r="D716" s="293"/>
      <c r="E716" s="3093">
        <f t="shared" si="126"/>
        <v>1</v>
      </c>
      <c r="F716" s="293"/>
      <c r="G716" s="3093">
        <f t="shared" si="127"/>
        <v>1</v>
      </c>
      <c r="H716" s="293"/>
      <c r="I716" s="3093">
        <f t="shared" si="128"/>
        <v>1</v>
      </c>
      <c r="J716" s="293"/>
      <c r="K716" s="3093">
        <f t="shared" si="129"/>
        <v>1</v>
      </c>
      <c r="L716" s="293"/>
      <c r="M716" s="3093">
        <f t="shared" si="130"/>
        <v>1</v>
      </c>
      <c r="N716" s="293"/>
      <c r="O716" s="3093">
        <f t="shared" si="131"/>
        <v>1</v>
      </c>
      <c r="P716" s="291" t="s">
        <v>3022</v>
      </c>
      <c r="Q716" s="3093">
        <f t="shared" si="132"/>
        <v>1</v>
      </c>
      <c r="R716" s="3093">
        <f t="shared" si="133"/>
        <v>27051</v>
      </c>
      <c r="S716" s="1651">
        <f t="shared" si="134"/>
        <v>241</v>
      </c>
    </row>
    <row r="717" spans="1:19">
      <c r="A717" s="1061" t="str">
        <f>清单!D840</f>
        <v>C-8-1-1001</v>
      </c>
      <c r="B717" s="1061">
        <f>清单!F840</f>
        <v>52.12</v>
      </c>
      <c r="C717" s="3093">
        <f t="shared" si="125"/>
        <v>1</v>
      </c>
      <c r="D717" s="293"/>
      <c r="E717" s="3093">
        <f t="shared" si="126"/>
        <v>1</v>
      </c>
      <c r="F717" s="293"/>
      <c r="G717" s="3093">
        <f t="shared" si="127"/>
        <v>1</v>
      </c>
      <c r="H717" s="293"/>
      <c r="I717" s="3093">
        <f t="shared" si="128"/>
        <v>1</v>
      </c>
      <c r="J717" s="293"/>
      <c r="K717" s="3093">
        <f t="shared" si="129"/>
        <v>1</v>
      </c>
      <c r="L717" s="293"/>
      <c r="M717" s="3093">
        <f t="shared" si="130"/>
        <v>1</v>
      </c>
      <c r="N717" s="293"/>
      <c r="O717" s="3093">
        <f t="shared" si="131"/>
        <v>1</v>
      </c>
      <c r="P717" s="291" t="s">
        <v>3022</v>
      </c>
      <c r="Q717" s="3093">
        <f t="shared" si="132"/>
        <v>1</v>
      </c>
      <c r="R717" s="3093">
        <f t="shared" si="133"/>
        <v>27888</v>
      </c>
      <c r="S717" s="1651">
        <f t="shared" si="134"/>
        <v>145</v>
      </c>
    </row>
    <row r="718" spans="1:19">
      <c r="A718" s="1061" t="str">
        <f>清单!D823</f>
        <v>C-6-3-702</v>
      </c>
      <c r="B718" s="1061">
        <f>清单!F823</f>
        <v>49.94</v>
      </c>
      <c r="C718" s="3093">
        <f t="shared" si="125"/>
        <v>1</v>
      </c>
      <c r="D718" s="293"/>
      <c r="E718" s="3093">
        <f t="shared" si="126"/>
        <v>1</v>
      </c>
      <c r="F718" s="293"/>
      <c r="G718" s="3093">
        <f t="shared" si="127"/>
        <v>1</v>
      </c>
      <c r="H718" s="293"/>
      <c r="I718" s="3093">
        <f t="shared" si="128"/>
        <v>1</v>
      </c>
      <c r="J718" s="293"/>
      <c r="K718" s="3093">
        <f t="shared" si="129"/>
        <v>1</v>
      </c>
      <c r="L718" s="293"/>
      <c r="M718" s="3093">
        <f t="shared" si="130"/>
        <v>1</v>
      </c>
      <c r="N718" s="293"/>
      <c r="O718" s="3093">
        <f t="shared" si="131"/>
        <v>1</v>
      </c>
      <c r="P718" s="291" t="s">
        <v>3022</v>
      </c>
      <c r="Q718" s="3093">
        <f t="shared" si="132"/>
        <v>1</v>
      </c>
      <c r="R718" s="3093">
        <f t="shared" si="133"/>
        <v>27888</v>
      </c>
      <c r="S718" s="1651">
        <f t="shared" si="134"/>
        <v>139</v>
      </c>
    </row>
    <row r="719" spans="1:19">
      <c r="A719" s="1061" t="str">
        <f>清单!D824</f>
        <v>C-6-3-703</v>
      </c>
      <c r="B719" s="1061">
        <f>清单!F824</f>
        <v>49.99</v>
      </c>
      <c r="C719" s="3093">
        <f t="shared" si="125"/>
        <v>1</v>
      </c>
      <c r="D719" s="293"/>
      <c r="E719" s="3093">
        <f t="shared" si="126"/>
        <v>1</v>
      </c>
      <c r="F719" s="293"/>
      <c r="G719" s="3093">
        <f t="shared" si="127"/>
        <v>1</v>
      </c>
      <c r="H719" s="293"/>
      <c r="I719" s="3093">
        <f t="shared" si="128"/>
        <v>1</v>
      </c>
      <c r="J719" s="293"/>
      <c r="K719" s="3093">
        <f t="shared" si="129"/>
        <v>1</v>
      </c>
      <c r="L719" s="293"/>
      <c r="M719" s="3093">
        <f t="shared" si="130"/>
        <v>1</v>
      </c>
      <c r="N719" s="293"/>
      <c r="O719" s="3093">
        <f t="shared" si="131"/>
        <v>1</v>
      </c>
      <c r="P719" s="291" t="s">
        <v>3022</v>
      </c>
      <c r="Q719" s="3093">
        <f t="shared" si="132"/>
        <v>1</v>
      </c>
      <c r="R719" s="3093">
        <f t="shared" si="133"/>
        <v>27888</v>
      </c>
      <c r="S719" s="1651">
        <f t="shared" si="134"/>
        <v>139</v>
      </c>
    </row>
    <row r="720" spans="1:19">
      <c r="A720" s="1061" t="str">
        <f>清单!D843</f>
        <v>C-8-1-1004</v>
      </c>
      <c r="B720" s="1061">
        <f>清单!F843</f>
        <v>51.55</v>
      </c>
      <c r="C720" s="3093">
        <f t="shared" si="125"/>
        <v>1</v>
      </c>
      <c r="D720" s="293"/>
      <c r="E720" s="3093">
        <f t="shared" si="126"/>
        <v>1</v>
      </c>
      <c r="F720" s="293"/>
      <c r="G720" s="3093">
        <f t="shared" si="127"/>
        <v>1</v>
      </c>
      <c r="H720" s="293"/>
      <c r="I720" s="3093">
        <f t="shared" si="128"/>
        <v>1</v>
      </c>
      <c r="J720" s="293"/>
      <c r="K720" s="3093">
        <f t="shared" si="129"/>
        <v>1</v>
      </c>
      <c r="L720" s="293"/>
      <c r="M720" s="3093">
        <f t="shared" si="130"/>
        <v>1</v>
      </c>
      <c r="N720" s="293"/>
      <c r="O720" s="3093">
        <f t="shared" si="131"/>
        <v>1</v>
      </c>
      <c r="P720" s="291" t="s">
        <v>3022</v>
      </c>
      <c r="Q720" s="3093">
        <f t="shared" si="132"/>
        <v>1</v>
      </c>
      <c r="R720" s="3093">
        <f t="shared" si="133"/>
        <v>27888</v>
      </c>
      <c r="S720" s="1651">
        <f t="shared" si="134"/>
        <v>144</v>
      </c>
    </row>
    <row r="721" spans="1:19">
      <c r="A721" s="1061" t="str">
        <f>清单!D844</f>
        <v>C-8-1-101</v>
      </c>
      <c r="B721" s="1061">
        <f>清单!F844</f>
        <v>52.12</v>
      </c>
      <c r="C721" s="3093">
        <f t="shared" si="125"/>
        <v>1</v>
      </c>
      <c r="D721" s="293"/>
      <c r="E721" s="3093">
        <f t="shared" si="126"/>
        <v>1</v>
      </c>
      <c r="F721" s="293"/>
      <c r="G721" s="3093">
        <f t="shared" si="127"/>
        <v>1</v>
      </c>
      <c r="H721" s="293"/>
      <c r="I721" s="3093">
        <f t="shared" si="128"/>
        <v>1</v>
      </c>
      <c r="J721" s="293"/>
      <c r="K721" s="3093">
        <f t="shared" si="129"/>
        <v>1</v>
      </c>
      <c r="L721" s="293"/>
      <c r="M721" s="3093">
        <f t="shared" si="130"/>
        <v>1</v>
      </c>
      <c r="N721" s="293"/>
      <c r="O721" s="3093">
        <f t="shared" si="131"/>
        <v>1</v>
      </c>
      <c r="P721" s="291" t="s">
        <v>3024</v>
      </c>
      <c r="Q721" s="3093">
        <f t="shared" si="132"/>
        <v>0.97</v>
      </c>
      <c r="R721" s="3093">
        <f t="shared" si="133"/>
        <v>27051</v>
      </c>
      <c r="S721" s="1651">
        <f t="shared" si="134"/>
        <v>141</v>
      </c>
    </row>
    <row r="722" spans="1:19">
      <c r="A722" s="1061" t="str">
        <f>清单!D827</f>
        <v>C-6-3-706</v>
      </c>
      <c r="B722" s="1061">
        <f>清单!F827</f>
        <v>88.92</v>
      </c>
      <c r="C722" s="3093">
        <f t="shared" si="125"/>
        <v>0.97</v>
      </c>
      <c r="D722" s="293"/>
      <c r="E722" s="3093">
        <f t="shared" si="126"/>
        <v>1</v>
      </c>
      <c r="F722" s="293"/>
      <c r="G722" s="3093">
        <f t="shared" si="127"/>
        <v>1</v>
      </c>
      <c r="H722" s="293"/>
      <c r="I722" s="3093">
        <f t="shared" si="128"/>
        <v>1</v>
      </c>
      <c r="J722" s="293"/>
      <c r="K722" s="3093">
        <f t="shared" si="129"/>
        <v>1</v>
      </c>
      <c r="L722" s="293"/>
      <c r="M722" s="3093">
        <f t="shared" si="130"/>
        <v>1</v>
      </c>
      <c r="N722" s="293"/>
      <c r="O722" s="3093">
        <f t="shared" si="131"/>
        <v>1</v>
      </c>
      <c r="P722" s="291" t="s">
        <v>3022</v>
      </c>
      <c r="Q722" s="3093">
        <f t="shared" si="132"/>
        <v>1</v>
      </c>
      <c r="R722" s="3093">
        <f t="shared" si="133"/>
        <v>27051</v>
      </c>
      <c r="S722" s="1651">
        <f t="shared" si="134"/>
        <v>241</v>
      </c>
    </row>
    <row r="723" spans="1:19">
      <c r="A723" s="1061" t="str">
        <f>清单!D828</f>
        <v>C-6-3-801</v>
      </c>
      <c r="B723" s="1061">
        <f>清单!F828</f>
        <v>49.24</v>
      </c>
      <c r="C723" s="3093">
        <f t="shared" si="125"/>
        <v>1</v>
      </c>
      <c r="D723" s="293"/>
      <c r="E723" s="3093">
        <f t="shared" si="126"/>
        <v>1</v>
      </c>
      <c r="F723" s="293"/>
      <c r="G723" s="3093">
        <f t="shared" si="127"/>
        <v>1</v>
      </c>
      <c r="H723" s="293"/>
      <c r="I723" s="3093">
        <f t="shared" si="128"/>
        <v>1</v>
      </c>
      <c r="J723" s="293"/>
      <c r="K723" s="3093">
        <f t="shared" si="129"/>
        <v>1</v>
      </c>
      <c r="L723" s="293"/>
      <c r="M723" s="3093">
        <f t="shared" si="130"/>
        <v>1</v>
      </c>
      <c r="N723" s="293"/>
      <c r="O723" s="3093">
        <f t="shared" si="131"/>
        <v>1</v>
      </c>
      <c r="P723" s="291" t="s">
        <v>3022</v>
      </c>
      <c r="Q723" s="3093">
        <f t="shared" si="132"/>
        <v>1</v>
      </c>
      <c r="R723" s="3093">
        <f t="shared" si="133"/>
        <v>27888</v>
      </c>
      <c r="S723" s="1651">
        <f t="shared" si="134"/>
        <v>137</v>
      </c>
    </row>
    <row r="724" spans="1:19">
      <c r="A724" s="1061" t="str">
        <f>清单!D847</f>
        <v>C-8-1-1101</v>
      </c>
      <c r="B724" s="1061">
        <f>清单!F847</f>
        <v>52.12</v>
      </c>
      <c r="C724" s="3093">
        <f t="shared" si="125"/>
        <v>1</v>
      </c>
      <c r="D724" s="293"/>
      <c r="E724" s="3093">
        <f t="shared" si="126"/>
        <v>1</v>
      </c>
      <c r="F724" s="293"/>
      <c r="G724" s="3093">
        <f t="shared" si="127"/>
        <v>1</v>
      </c>
      <c r="H724" s="293"/>
      <c r="I724" s="3093">
        <f t="shared" si="128"/>
        <v>1</v>
      </c>
      <c r="J724" s="293"/>
      <c r="K724" s="3093">
        <f t="shared" si="129"/>
        <v>1</v>
      </c>
      <c r="L724" s="293"/>
      <c r="M724" s="3093">
        <f t="shared" si="130"/>
        <v>1</v>
      </c>
      <c r="N724" s="293"/>
      <c r="O724" s="3093">
        <f t="shared" si="131"/>
        <v>1</v>
      </c>
      <c r="P724" s="291" t="s">
        <v>3020</v>
      </c>
      <c r="Q724" s="3093">
        <f t="shared" si="132"/>
        <v>1.03</v>
      </c>
      <c r="R724" s="3093">
        <f t="shared" si="133"/>
        <v>28725</v>
      </c>
      <c r="S724" s="1651">
        <f t="shared" si="134"/>
        <v>150</v>
      </c>
    </row>
    <row r="725" spans="1:19">
      <c r="A725" s="1061" t="str">
        <f>清单!D848</f>
        <v>C-8-1-1102</v>
      </c>
      <c r="B725" s="1061">
        <f>清单!F848</f>
        <v>52.23</v>
      </c>
      <c r="C725" s="3093">
        <f t="shared" si="125"/>
        <v>1</v>
      </c>
      <c r="D725" s="293"/>
      <c r="E725" s="3093">
        <f t="shared" si="126"/>
        <v>1</v>
      </c>
      <c r="F725" s="293"/>
      <c r="G725" s="3093">
        <f t="shared" si="127"/>
        <v>1</v>
      </c>
      <c r="H725" s="293"/>
      <c r="I725" s="3093">
        <f t="shared" si="128"/>
        <v>1</v>
      </c>
      <c r="J725" s="293"/>
      <c r="K725" s="3093">
        <f t="shared" si="129"/>
        <v>1</v>
      </c>
      <c r="L725" s="293"/>
      <c r="M725" s="3093">
        <f t="shared" si="130"/>
        <v>1</v>
      </c>
      <c r="N725" s="293"/>
      <c r="O725" s="3093">
        <f t="shared" si="131"/>
        <v>1</v>
      </c>
      <c r="P725" s="291" t="s">
        <v>3020</v>
      </c>
      <c r="Q725" s="3093">
        <f t="shared" si="132"/>
        <v>1.03</v>
      </c>
      <c r="R725" s="3093">
        <f t="shared" si="133"/>
        <v>28725</v>
      </c>
      <c r="S725" s="1651">
        <f t="shared" si="134"/>
        <v>150</v>
      </c>
    </row>
    <row r="726" spans="1:19">
      <c r="A726" s="1061" t="str">
        <f>清单!D831</f>
        <v>C-6-3-804</v>
      </c>
      <c r="B726" s="1061">
        <f>清单!F831</f>
        <v>64.099999999999994</v>
      </c>
      <c r="C726" s="3093">
        <f t="shared" si="125"/>
        <v>0.97</v>
      </c>
      <c r="D726" s="293"/>
      <c r="E726" s="3093">
        <f t="shared" si="126"/>
        <v>1</v>
      </c>
      <c r="F726" s="293"/>
      <c r="G726" s="3093">
        <f t="shared" si="127"/>
        <v>1</v>
      </c>
      <c r="H726" s="293"/>
      <c r="I726" s="3093">
        <f t="shared" si="128"/>
        <v>1</v>
      </c>
      <c r="J726" s="293"/>
      <c r="K726" s="3093">
        <f t="shared" si="129"/>
        <v>1</v>
      </c>
      <c r="L726" s="293"/>
      <c r="M726" s="3093">
        <f t="shared" si="130"/>
        <v>1</v>
      </c>
      <c r="N726" s="293"/>
      <c r="O726" s="3093">
        <f t="shared" si="131"/>
        <v>1</v>
      </c>
      <c r="P726" s="291" t="s">
        <v>3022</v>
      </c>
      <c r="Q726" s="3093">
        <f t="shared" si="132"/>
        <v>1</v>
      </c>
      <c r="R726" s="3093">
        <f t="shared" si="133"/>
        <v>27051</v>
      </c>
      <c r="S726" s="1651">
        <f t="shared" si="134"/>
        <v>173</v>
      </c>
    </row>
    <row r="727" spans="1:19">
      <c r="A727" s="1061" t="str">
        <f>清单!D832</f>
        <v>C-6-3-805</v>
      </c>
      <c r="B727" s="1061">
        <f>清单!F832</f>
        <v>64.2</v>
      </c>
      <c r="C727" s="3093">
        <f t="shared" si="125"/>
        <v>0.97</v>
      </c>
      <c r="D727" s="293"/>
      <c r="E727" s="3093">
        <f t="shared" si="126"/>
        <v>1</v>
      </c>
      <c r="F727" s="293"/>
      <c r="G727" s="3093">
        <f t="shared" si="127"/>
        <v>1</v>
      </c>
      <c r="H727" s="293"/>
      <c r="I727" s="3093">
        <f t="shared" si="128"/>
        <v>1</v>
      </c>
      <c r="J727" s="293"/>
      <c r="K727" s="3093">
        <f t="shared" si="129"/>
        <v>1</v>
      </c>
      <c r="L727" s="293"/>
      <c r="M727" s="3093">
        <f t="shared" si="130"/>
        <v>1</v>
      </c>
      <c r="N727" s="293"/>
      <c r="O727" s="3093">
        <f t="shared" si="131"/>
        <v>1</v>
      </c>
      <c r="P727" s="291" t="s">
        <v>3022</v>
      </c>
      <c r="Q727" s="3093">
        <f t="shared" si="132"/>
        <v>1</v>
      </c>
      <c r="R727" s="3093">
        <f t="shared" si="133"/>
        <v>27051</v>
      </c>
      <c r="S727" s="1651">
        <f t="shared" si="134"/>
        <v>174</v>
      </c>
    </row>
    <row r="728" spans="1:19">
      <c r="A728" s="1061" t="str">
        <f>清单!D851</f>
        <v>C-8-1-1201</v>
      </c>
      <c r="B728" s="1061">
        <f>清单!F851</f>
        <v>52.12</v>
      </c>
      <c r="C728" s="3093">
        <f t="shared" si="125"/>
        <v>1</v>
      </c>
      <c r="D728" s="293"/>
      <c r="E728" s="3093">
        <f t="shared" si="126"/>
        <v>1</v>
      </c>
      <c r="F728" s="293"/>
      <c r="G728" s="3093">
        <f t="shared" si="127"/>
        <v>1</v>
      </c>
      <c r="H728" s="293"/>
      <c r="I728" s="3093">
        <f t="shared" si="128"/>
        <v>1</v>
      </c>
      <c r="J728" s="293"/>
      <c r="K728" s="3093">
        <f t="shared" si="129"/>
        <v>1</v>
      </c>
      <c r="L728" s="293"/>
      <c r="M728" s="3093">
        <f t="shared" si="130"/>
        <v>1</v>
      </c>
      <c r="N728" s="293"/>
      <c r="O728" s="3093">
        <f t="shared" si="131"/>
        <v>1</v>
      </c>
      <c r="P728" s="291" t="s">
        <v>3020</v>
      </c>
      <c r="Q728" s="3093">
        <f t="shared" si="132"/>
        <v>1.03</v>
      </c>
      <c r="R728" s="3093">
        <f t="shared" si="133"/>
        <v>28725</v>
      </c>
      <c r="S728" s="1651">
        <f t="shared" si="134"/>
        <v>150</v>
      </c>
    </row>
    <row r="729" spans="1:19">
      <c r="A729" s="1061" t="str">
        <f>清单!D852</f>
        <v>C-8-1-1202</v>
      </c>
      <c r="B729" s="1061">
        <f>清单!F852</f>
        <v>52.23</v>
      </c>
      <c r="C729" s="3093">
        <f t="shared" si="125"/>
        <v>1</v>
      </c>
      <c r="D729" s="293"/>
      <c r="E729" s="3093">
        <f t="shared" si="126"/>
        <v>1</v>
      </c>
      <c r="F729" s="293"/>
      <c r="G729" s="3093">
        <f t="shared" si="127"/>
        <v>1</v>
      </c>
      <c r="H729" s="293"/>
      <c r="I729" s="3093">
        <f t="shared" si="128"/>
        <v>1</v>
      </c>
      <c r="J729" s="293"/>
      <c r="K729" s="3093">
        <f t="shared" si="129"/>
        <v>1</v>
      </c>
      <c r="L729" s="293"/>
      <c r="M729" s="3093">
        <f t="shared" si="130"/>
        <v>1</v>
      </c>
      <c r="N729" s="293"/>
      <c r="O729" s="3093">
        <f t="shared" si="131"/>
        <v>1</v>
      </c>
      <c r="P729" s="291" t="s">
        <v>3020</v>
      </c>
      <c r="Q729" s="3093">
        <f t="shared" si="132"/>
        <v>1.03</v>
      </c>
      <c r="R729" s="3093">
        <f t="shared" si="133"/>
        <v>28725</v>
      </c>
      <c r="S729" s="1651">
        <f t="shared" si="134"/>
        <v>150</v>
      </c>
    </row>
    <row r="730" spans="1:19">
      <c r="A730" s="1061" t="str">
        <f>清单!D835</f>
        <v>C-6-3-902</v>
      </c>
      <c r="B730" s="1061">
        <f>清单!F835</f>
        <v>49.94</v>
      </c>
      <c r="C730" s="3093">
        <f t="shared" si="125"/>
        <v>1</v>
      </c>
      <c r="D730" s="293"/>
      <c r="E730" s="3093">
        <f t="shared" si="126"/>
        <v>1</v>
      </c>
      <c r="F730" s="293"/>
      <c r="G730" s="3093">
        <f t="shared" si="127"/>
        <v>1</v>
      </c>
      <c r="H730" s="293"/>
      <c r="I730" s="3093">
        <f t="shared" si="128"/>
        <v>1</v>
      </c>
      <c r="J730" s="293"/>
      <c r="K730" s="3093">
        <f t="shared" si="129"/>
        <v>1</v>
      </c>
      <c r="L730" s="293"/>
      <c r="M730" s="3093">
        <f t="shared" si="130"/>
        <v>1</v>
      </c>
      <c r="N730" s="293"/>
      <c r="O730" s="3093">
        <f t="shared" si="131"/>
        <v>1</v>
      </c>
      <c r="P730" s="291" t="s">
        <v>3022</v>
      </c>
      <c r="Q730" s="3093">
        <f t="shared" si="132"/>
        <v>1</v>
      </c>
      <c r="R730" s="3093">
        <f t="shared" si="133"/>
        <v>27888</v>
      </c>
      <c r="S730" s="1651">
        <f t="shared" si="134"/>
        <v>139</v>
      </c>
    </row>
    <row r="731" spans="1:19">
      <c r="A731" s="1061" t="str">
        <f>清单!D836</f>
        <v>C-6-3-903</v>
      </c>
      <c r="B731" s="1061">
        <f>清单!F836</f>
        <v>49.99</v>
      </c>
      <c r="C731" s="3093">
        <f t="shared" si="125"/>
        <v>1</v>
      </c>
      <c r="D731" s="293"/>
      <c r="E731" s="3093">
        <f t="shared" si="126"/>
        <v>1</v>
      </c>
      <c r="F731" s="293"/>
      <c r="G731" s="3093">
        <f t="shared" si="127"/>
        <v>1</v>
      </c>
      <c r="H731" s="293"/>
      <c r="I731" s="3093">
        <f t="shared" si="128"/>
        <v>1</v>
      </c>
      <c r="J731" s="293"/>
      <c r="K731" s="3093">
        <f t="shared" si="129"/>
        <v>1</v>
      </c>
      <c r="L731" s="293"/>
      <c r="M731" s="3093">
        <f t="shared" si="130"/>
        <v>1</v>
      </c>
      <c r="N731" s="293"/>
      <c r="O731" s="3093">
        <f t="shared" si="131"/>
        <v>1</v>
      </c>
      <c r="P731" s="291" t="s">
        <v>3022</v>
      </c>
      <c r="Q731" s="3093">
        <f t="shared" si="132"/>
        <v>1</v>
      </c>
      <c r="R731" s="3093">
        <f t="shared" si="133"/>
        <v>27888</v>
      </c>
      <c r="S731" s="1651">
        <f t="shared" si="134"/>
        <v>139</v>
      </c>
    </row>
    <row r="732" spans="1:19">
      <c r="A732" s="1061" t="str">
        <f>清单!D855</f>
        <v>C-8-1-1301</v>
      </c>
      <c r="B732" s="1061">
        <f>清单!F855</f>
        <v>52.12</v>
      </c>
      <c r="C732" s="3093">
        <f t="shared" si="125"/>
        <v>1</v>
      </c>
      <c r="D732" s="293"/>
      <c r="E732" s="3093">
        <f t="shared" si="126"/>
        <v>1</v>
      </c>
      <c r="F732" s="293"/>
      <c r="G732" s="3093">
        <f t="shared" si="127"/>
        <v>1</v>
      </c>
      <c r="H732" s="293"/>
      <c r="I732" s="3093">
        <f t="shared" si="128"/>
        <v>1</v>
      </c>
      <c r="J732" s="293"/>
      <c r="K732" s="3093">
        <f t="shared" si="129"/>
        <v>1</v>
      </c>
      <c r="L732" s="293"/>
      <c r="M732" s="3093">
        <f t="shared" si="130"/>
        <v>1</v>
      </c>
      <c r="N732" s="293"/>
      <c r="O732" s="3093">
        <f t="shared" si="131"/>
        <v>1</v>
      </c>
      <c r="P732" s="291" t="s">
        <v>3020</v>
      </c>
      <c r="Q732" s="3093">
        <f t="shared" si="132"/>
        <v>1.03</v>
      </c>
      <c r="R732" s="3093">
        <f t="shared" si="133"/>
        <v>28725</v>
      </c>
      <c r="S732" s="1651">
        <f t="shared" si="134"/>
        <v>150</v>
      </c>
    </row>
    <row r="733" spans="1:19">
      <c r="A733" s="1061" t="str">
        <f>清单!D856</f>
        <v>C-8-1-1302</v>
      </c>
      <c r="B733" s="1061">
        <f>清单!F856</f>
        <v>52.23</v>
      </c>
      <c r="C733" s="3093">
        <f t="shared" si="125"/>
        <v>1</v>
      </c>
      <c r="D733" s="293"/>
      <c r="E733" s="3093">
        <f t="shared" si="126"/>
        <v>1</v>
      </c>
      <c r="F733" s="293"/>
      <c r="G733" s="3093">
        <f t="shared" si="127"/>
        <v>1</v>
      </c>
      <c r="H733" s="293"/>
      <c r="I733" s="3093">
        <f t="shared" si="128"/>
        <v>1</v>
      </c>
      <c r="J733" s="293"/>
      <c r="K733" s="3093">
        <f t="shared" si="129"/>
        <v>1</v>
      </c>
      <c r="L733" s="293"/>
      <c r="M733" s="3093">
        <f t="shared" si="130"/>
        <v>1</v>
      </c>
      <c r="N733" s="293"/>
      <c r="O733" s="3093">
        <f t="shared" si="131"/>
        <v>1</v>
      </c>
      <c r="P733" s="291" t="s">
        <v>3020</v>
      </c>
      <c r="Q733" s="3093">
        <f t="shared" si="132"/>
        <v>1.03</v>
      </c>
      <c r="R733" s="3093">
        <f t="shared" si="133"/>
        <v>28725</v>
      </c>
      <c r="S733" s="1651">
        <f t="shared" si="134"/>
        <v>150</v>
      </c>
    </row>
    <row r="734" spans="1:19">
      <c r="A734" s="1061" t="str">
        <f>清单!D839</f>
        <v>C-6-3-906</v>
      </c>
      <c r="B734" s="1061">
        <f>清单!F839</f>
        <v>88.92</v>
      </c>
      <c r="C734" s="3093">
        <f t="shared" si="125"/>
        <v>0.97</v>
      </c>
      <c r="D734" s="293"/>
      <c r="E734" s="3093">
        <f t="shared" si="126"/>
        <v>1</v>
      </c>
      <c r="F734" s="293"/>
      <c r="G734" s="3093">
        <f t="shared" si="127"/>
        <v>1</v>
      </c>
      <c r="H734" s="293"/>
      <c r="I734" s="3093">
        <f t="shared" si="128"/>
        <v>1</v>
      </c>
      <c r="J734" s="293"/>
      <c r="K734" s="3093">
        <f t="shared" si="129"/>
        <v>1</v>
      </c>
      <c r="L734" s="293"/>
      <c r="M734" s="3093">
        <f t="shared" si="130"/>
        <v>1</v>
      </c>
      <c r="N734" s="293"/>
      <c r="O734" s="3093">
        <f t="shared" si="131"/>
        <v>1</v>
      </c>
      <c r="P734" s="291" t="s">
        <v>3022</v>
      </c>
      <c r="Q734" s="3093">
        <f t="shared" si="132"/>
        <v>1</v>
      </c>
      <c r="R734" s="3093">
        <f t="shared" si="133"/>
        <v>27051</v>
      </c>
      <c r="S734" s="1651">
        <f t="shared" si="134"/>
        <v>241</v>
      </c>
    </row>
    <row r="735" spans="1:19">
      <c r="A735" s="1061" t="str">
        <f>清单!D840</f>
        <v>C-8-1-1001</v>
      </c>
      <c r="B735" s="1061">
        <f>清单!F840</f>
        <v>52.12</v>
      </c>
      <c r="C735" s="3093">
        <f t="shared" si="125"/>
        <v>1</v>
      </c>
      <c r="D735" s="293"/>
      <c r="E735" s="3093">
        <f t="shared" si="126"/>
        <v>1</v>
      </c>
      <c r="F735" s="293"/>
      <c r="G735" s="3093">
        <f t="shared" si="127"/>
        <v>1</v>
      </c>
      <c r="H735" s="293"/>
      <c r="I735" s="3093">
        <f t="shared" si="128"/>
        <v>1</v>
      </c>
      <c r="J735" s="293"/>
      <c r="K735" s="3093">
        <f t="shared" si="129"/>
        <v>1</v>
      </c>
      <c r="L735" s="293"/>
      <c r="M735" s="3093">
        <f t="shared" si="130"/>
        <v>1</v>
      </c>
      <c r="N735" s="293"/>
      <c r="O735" s="3093">
        <f t="shared" si="131"/>
        <v>1</v>
      </c>
      <c r="P735" s="291" t="s">
        <v>3022</v>
      </c>
      <c r="Q735" s="3093">
        <f t="shared" si="132"/>
        <v>1</v>
      </c>
      <c r="R735" s="3093">
        <f t="shared" si="133"/>
        <v>27888</v>
      </c>
      <c r="S735" s="1651">
        <f t="shared" si="134"/>
        <v>145</v>
      </c>
    </row>
    <row r="736" spans="1:19">
      <c r="A736" s="1061" t="str">
        <f>清单!D859</f>
        <v>C-8-1-1401</v>
      </c>
      <c r="B736" s="1061">
        <f>清单!F859</f>
        <v>52.12</v>
      </c>
      <c r="C736" s="3093">
        <f t="shared" si="125"/>
        <v>1</v>
      </c>
      <c r="D736" s="293"/>
      <c r="E736" s="3093">
        <f t="shared" si="126"/>
        <v>1</v>
      </c>
      <c r="F736" s="293"/>
      <c r="G736" s="3093">
        <f t="shared" si="127"/>
        <v>1</v>
      </c>
      <c r="H736" s="293"/>
      <c r="I736" s="3093">
        <f t="shared" si="128"/>
        <v>1</v>
      </c>
      <c r="J736" s="293"/>
      <c r="K736" s="3093">
        <f t="shared" si="129"/>
        <v>1</v>
      </c>
      <c r="L736" s="293"/>
      <c r="M736" s="3093">
        <f t="shared" si="130"/>
        <v>1</v>
      </c>
      <c r="N736" s="293"/>
      <c r="O736" s="3093">
        <f t="shared" si="131"/>
        <v>1</v>
      </c>
      <c r="P736" s="291" t="s">
        <v>3020</v>
      </c>
      <c r="Q736" s="3093">
        <f t="shared" si="132"/>
        <v>1.03</v>
      </c>
      <c r="R736" s="3093">
        <f t="shared" si="133"/>
        <v>28725</v>
      </c>
      <c r="S736" s="1651">
        <f t="shared" si="134"/>
        <v>150</v>
      </c>
    </row>
    <row r="737" spans="1:19">
      <c r="A737" s="1061" t="str">
        <f>清单!D860</f>
        <v>C-8-1-1402</v>
      </c>
      <c r="B737" s="1061">
        <f>清单!F860</f>
        <v>52.23</v>
      </c>
      <c r="C737" s="3093">
        <f t="shared" si="125"/>
        <v>1</v>
      </c>
      <c r="D737" s="293"/>
      <c r="E737" s="3093">
        <f t="shared" si="126"/>
        <v>1</v>
      </c>
      <c r="F737" s="293"/>
      <c r="G737" s="3093">
        <f t="shared" si="127"/>
        <v>1</v>
      </c>
      <c r="H737" s="293"/>
      <c r="I737" s="3093">
        <f t="shared" si="128"/>
        <v>1</v>
      </c>
      <c r="J737" s="293"/>
      <c r="K737" s="3093">
        <f t="shared" si="129"/>
        <v>1</v>
      </c>
      <c r="L737" s="293"/>
      <c r="M737" s="3093">
        <f t="shared" si="130"/>
        <v>1</v>
      </c>
      <c r="N737" s="293"/>
      <c r="O737" s="3093">
        <f t="shared" si="131"/>
        <v>1</v>
      </c>
      <c r="P737" s="291" t="s">
        <v>3020</v>
      </c>
      <c r="Q737" s="3093">
        <f t="shared" si="132"/>
        <v>1.03</v>
      </c>
      <c r="R737" s="3093">
        <f t="shared" si="133"/>
        <v>28725</v>
      </c>
      <c r="S737" s="1651">
        <f t="shared" si="134"/>
        <v>150</v>
      </c>
    </row>
    <row r="738" spans="1:19">
      <c r="A738" s="1061" t="str">
        <f>清单!D843</f>
        <v>C-8-1-1004</v>
      </c>
      <c r="B738" s="1061">
        <f>清单!F843</f>
        <v>51.55</v>
      </c>
      <c r="C738" s="3093">
        <f t="shared" si="125"/>
        <v>1</v>
      </c>
      <c r="D738" s="293"/>
      <c r="E738" s="3093">
        <f t="shared" si="126"/>
        <v>1</v>
      </c>
      <c r="F738" s="293"/>
      <c r="G738" s="3093">
        <f t="shared" si="127"/>
        <v>1</v>
      </c>
      <c r="H738" s="293"/>
      <c r="I738" s="3093">
        <f t="shared" si="128"/>
        <v>1</v>
      </c>
      <c r="J738" s="293"/>
      <c r="K738" s="3093">
        <f t="shared" si="129"/>
        <v>1</v>
      </c>
      <c r="L738" s="293"/>
      <c r="M738" s="3093">
        <f t="shared" si="130"/>
        <v>1</v>
      </c>
      <c r="N738" s="293"/>
      <c r="O738" s="3093">
        <f t="shared" si="131"/>
        <v>1</v>
      </c>
      <c r="P738" s="291" t="s">
        <v>3022</v>
      </c>
      <c r="Q738" s="3093">
        <f t="shared" si="132"/>
        <v>1</v>
      </c>
      <c r="R738" s="3093">
        <f t="shared" si="133"/>
        <v>27888</v>
      </c>
      <c r="S738" s="1651">
        <f t="shared" si="134"/>
        <v>144</v>
      </c>
    </row>
    <row r="739" spans="1:19">
      <c r="A739" s="1061" t="str">
        <f>清单!D844</f>
        <v>C-8-1-101</v>
      </c>
      <c r="B739" s="1061">
        <f>清单!F844</f>
        <v>52.12</v>
      </c>
      <c r="C739" s="3093">
        <f t="shared" si="125"/>
        <v>1</v>
      </c>
      <c r="D739" s="293"/>
      <c r="E739" s="3093">
        <f t="shared" si="126"/>
        <v>1</v>
      </c>
      <c r="F739" s="293"/>
      <c r="G739" s="3093">
        <f t="shared" si="127"/>
        <v>1</v>
      </c>
      <c r="H739" s="293"/>
      <c r="I739" s="3093">
        <f t="shared" si="128"/>
        <v>1</v>
      </c>
      <c r="J739" s="293"/>
      <c r="K739" s="3093">
        <f t="shared" si="129"/>
        <v>1</v>
      </c>
      <c r="L739" s="293"/>
      <c r="M739" s="3093">
        <f t="shared" si="130"/>
        <v>1</v>
      </c>
      <c r="N739" s="293"/>
      <c r="O739" s="3093">
        <f t="shared" si="131"/>
        <v>1</v>
      </c>
      <c r="P739" s="291" t="s">
        <v>3024</v>
      </c>
      <c r="Q739" s="3093">
        <f t="shared" si="132"/>
        <v>0.97</v>
      </c>
      <c r="R739" s="3093">
        <f t="shared" si="133"/>
        <v>27051</v>
      </c>
      <c r="S739" s="1651">
        <f t="shared" si="134"/>
        <v>141</v>
      </c>
    </row>
    <row r="740" spans="1:19">
      <c r="A740" s="1061" t="str">
        <f>清单!D863</f>
        <v>C-8-1-1501</v>
      </c>
      <c r="B740" s="1061">
        <f>清单!F863</f>
        <v>52.12</v>
      </c>
      <c r="C740" s="3093">
        <f t="shared" si="125"/>
        <v>1</v>
      </c>
      <c r="D740" s="293"/>
      <c r="E740" s="3093">
        <f t="shared" si="126"/>
        <v>1</v>
      </c>
      <c r="F740" s="293"/>
      <c r="G740" s="3093">
        <f t="shared" si="127"/>
        <v>1</v>
      </c>
      <c r="H740" s="293"/>
      <c r="I740" s="3093">
        <f t="shared" si="128"/>
        <v>1</v>
      </c>
      <c r="J740" s="293"/>
      <c r="K740" s="3093">
        <f t="shared" si="129"/>
        <v>1</v>
      </c>
      <c r="L740" s="293"/>
      <c r="M740" s="3093">
        <f t="shared" si="130"/>
        <v>1</v>
      </c>
      <c r="N740" s="293"/>
      <c r="O740" s="3093">
        <f t="shared" si="131"/>
        <v>1</v>
      </c>
      <c r="P740" s="291" t="s">
        <v>3020</v>
      </c>
      <c r="Q740" s="3093">
        <f t="shared" si="132"/>
        <v>1.03</v>
      </c>
      <c r="R740" s="3093">
        <f t="shared" si="133"/>
        <v>28725</v>
      </c>
      <c r="S740" s="1651">
        <f t="shared" si="134"/>
        <v>150</v>
      </c>
    </row>
    <row r="741" spans="1:19">
      <c r="A741" s="1061" t="str">
        <f>清单!D864</f>
        <v>C-8-1-1502</v>
      </c>
      <c r="B741" s="1061">
        <f>清单!F864</f>
        <v>52.23</v>
      </c>
      <c r="C741" s="3093">
        <f t="shared" si="125"/>
        <v>1</v>
      </c>
      <c r="D741" s="293"/>
      <c r="E741" s="3093">
        <f t="shared" si="126"/>
        <v>1</v>
      </c>
      <c r="F741" s="293"/>
      <c r="G741" s="3093">
        <f t="shared" si="127"/>
        <v>1</v>
      </c>
      <c r="H741" s="293"/>
      <c r="I741" s="3093">
        <f t="shared" si="128"/>
        <v>1</v>
      </c>
      <c r="J741" s="293"/>
      <c r="K741" s="3093">
        <f t="shared" si="129"/>
        <v>1</v>
      </c>
      <c r="L741" s="293"/>
      <c r="M741" s="3093">
        <f t="shared" si="130"/>
        <v>1</v>
      </c>
      <c r="N741" s="293"/>
      <c r="O741" s="3093">
        <f t="shared" si="131"/>
        <v>1</v>
      </c>
      <c r="P741" s="291" t="s">
        <v>3020</v>
      </c>
      <c r="Q741" s="3093">
        <f t="shared" si="132"/>
        <v>1.03</v>
      </c>
      <c r="R741" s="3093">
        <f t="shared" si="133"/>
        <v>28725</v>
      </c>
      <c r="S741" s="1651">
        <f t="shared" si="134"/>
        <v>150</v>
      </c>
    </row>
    <row r="742" spans="1:19">
      <c r="A742" s="1061" t="str">
        <f>清单!D847</f>
        <v>C-8-1-1101</v>
      </c>
      <c r="B742" s="1061">
        <f>清单!F847</f>
        <v>52.12</v>
      </c>
      <c r="C742" s="3093">
        <f t="shared" si="125"/>
        <v>1</v>
      </c>
      <c r="D742" s="293"/>
      <c r="E742" s="3093">
        <f t="shared" si="126"/>
        <v>1</v>
      </c>
      <c r="F742" s="293"/>
      <c r="G742" s="3093">
        <f t="shared" si="127"/>
        <v>1</v>
      </c>
      <c r="H742" s="293"/>
      <c r="I742" s="3093">
        <f t="shared" si="128"/>
        <v>1</v>
      </c>
      <c r="J742" s="293"/>
      <c r="K742" s="3093">
        <f t="shared" si="129"/>
        <v>1</v>
      </c>
      <c r="L742" s="293"/>
      <c r="M742" s="3093">
        <f t="shared" si="130"/>
        <v>1</v>
      </c>
      <c r="N742" s="293"/>
      <c r="O742" s="3093">
        <f t="shared" si="131"/>
        <v>1</v>
      </c>
      <c r="P742" s="291" t="s">
        <v>3020</v>
      </c>
      <c r="Q742" s="3093">
        <f t="shared" si="132"/>
        <v>1.03</v>
      </c>
      <c r="R742" s="3093">
        <f t="shared" si="133"/>
        <v>28725</v>
      </c>
      <c r="S742" s="1651">
        <f t="shared" si="134"/>
        <v>150</v>
      </c>
    </row>
    <row r="743" spans="1:19">
      <c r="A743" s="1061" t="str">
        <f>清单!D848</f>
        <v>C-8-1-1102</v>
      </c>
      <c r="B743" s="1061">
        <f>清单!F848</f>
        <v>52.23</v>
      </c>
      <c r="C743" s="3093">
        <f t="shared" si="125"/>
        <v>1</v>
      </c>
      <c r="D743" s="293"/>
      <c r="E743" s="3093">
        <f t="shared" si="126"/>
        <v>1</v>
      </c>
      <c r="F743" s="293"/>
      <c r="G743" s="3093">
        <f t="shared" si="127"/>
        <v>1</v>
      </c>
      <c r="H743" s="293"/>
      <c r="I743" s="3093">
        <f t="shared" si="128"/>
        <v>1</v>
      </c>
      <c r="J743" s="293"/>
      <c r="K743" s="3093">
        <f t="shared" si="129"/>
        <v>1</v>
      </c>
      <c r="L743" s="293"/>
      <c r="M743" s="3093">
        <f t="shared" si="130"/>
        <v>1</v>
      </c>
      <c r="N743" s="293"/>
      <c r="O743" s="3093">
        <f t="shared" si="131"/>
        <v>1</v>
      </c>
      <c r="P743" s="291" t="s">
        <v>3020</v>
      </c>
      <c r="Q743" s="3093">
        <f t="shared" si="132"/>
        <v>1.03</v>
      </c>
      <c r="R743" s="3093">
        <f t="shared" si="133"/>
        <v>28725</v>
      </c>
      <c r="S743" s="1651">
        <f t="shared" si="134"/>
        <v>150</v>
      </c>
    </row>
    <row r="744" spans="1:19">
      <c r="A744" s="1061" t="str">
        <f>清单!D867</f>
        <v>C-8-1-201</v>
      </c>
      <c r="B744" s="1061">
        <f>清单!F867</f>
        <v>52.12</v>
      </c>
      <c r="C744" s="3093">
        <f t="shared" si="125"/>
        <v>1</v>
      </c>
      <c r="D744" s="293"/>
      <c r="E744" s="3093">
        <f t="shared" si="126"/>
        <v>1</v>
      </c>
      <c r="F744" s="293"/>
      <c r="G744" s="3093">
        <f t="shared" si="127"/>
        <v>1</v>
      </c>
      <c r="H744" s="293"/>
      <c r="I744" s="3093">
        <f t="shared" si="128"/>
        <v>1</v>
      </c>
      <c r="J744" s="293"/>
      <c r="K744" s="3093">
        <f t="shared" si="129"/>
        <v>1</v>
      </c>
      <c r="L744" s="293"/>
      <c r="M744" s="3093">
        <f t="shared" si="130"/>
        <v>1</v>
      </c>
      <c r="N744" s="293"/>
      <c r="O744" s="3093">
        <f t="shared" si="131"/>
        <v>1</v>
      </c>
      <c r="P744" s="291" t="s">
        <v>3024</v>
      </c>
      <c r="Q744" s="3093">
        <f t="shared" si="132"/>
        <v>0.97</v>
      </c>
      <c r="R744" s="3093">
        <f t="shared" si="133"/>
        <v>27051</v>
      </c>
      <c r="S744" s="1651">
        <f t="shared" si="134"/>
        <v>141</v>
      </c>
    </row>
    <row r="745" spans="1:19">
      <c r="A745" s="1061" t="str">
        <f>清单!D868</f>
        <v>C-8-1-202</v>
      </c>
      <c r="B745" s="1061">
        <f>清单!F868</f>
        <v>52.23</v>
      </c>
      <c r="C745" s="3093">
        <f t="shared" si="125"/>
        <v>1</v>
      </c>
      <c r="D745" s="293"/>
      <c r="E745" s="3093">
        <f t="shared" si="126"/>
        <v>1</v>
      </c>
      <c r="F745" s="293"/>
      <c r="G745" s="3093">
        <f t="shared" si="127"/>
        <v>1</v>
      </c>
      <c r="H745" s="293"/>
      <c r="I745" s="3093">
        <f t="shared" si="128"/>
        <v>1</v>
      </c>
      <c r="J745" s="293"/>
      <c r="K745" s="3093">
        <f t="shared" si="129"/>
        <v>1</v>
      </c>
      <c r="L745" s="293"/>
      <c r="M745" s="3093">
        <f t="shared" si="130"/>
        <v>1</v>
      </c>
      <c r="N745" s="293"/>
      <c r="O745" s="3093">
        <f t="shared" si="131"/>
        <v>1</v>
      </c>
      <c r="P745" s="291" t="s">
        <v>3024</v>
      </c>
      <c r="Q745" s="3093">
        <f t="shared" si="132"/>
        <v>0.97</v>
      </c>
      <c r="R745" s="3093">
        <f t="shared" si="133"/>
        <v>27051</v>
      </c>
      <c r="S745" s="1651">
        <f t="shared" si="134"/>
        <v>141</v>
      </c>
    </row>
    <row r="746" spans="1:19">
      <c r="A746" s="1061" t="str">
        <f>清单!D851</f>
        <v>C-8-1-1201</v>
      </c>
      <c r="B746" s="1061">
        <f>清单!F851</f>
        <v>52.12</v>
      </c>
      <c r="C746" s="3093">
        <f t="shared" si="125"/>
        <v>1</v>
      </c>
      <c r="D746" s="293"/>
      <c r="E746" s="3093">
        <f t="shared" si="126"/>
        <v>1</v>
      </c>
      <c r="F746" s="293"/>
      <c r="G746" s="3093">
        <f t="shared" si="127"/>
        <v>1</v>
      </c>
      <c r="H746" s="293"/>
      <c r="I746" s="3093">
        <f t="shared" si="128"/>
        <v>1</v>
      </c>
      <c r="J746" s="293"/>
      <c r="K746" s="3093">
        <f t="shared" si="129"/>
        <v>1</v>
      </c>
      <c r="L746" s="293"/>
      <c r="M746" s="3093">
        <f t="shared" si="130"/>
        <v>1</v>
      </c>
      <c r="N746" s="293"/>
      <c r="O746" s="3093">
        <f t="shared" si="131"/>
        <v>1</v>
      </c>
      <c r="P746" s="291" t="s">
        <v>3020</v>
      </c>
      <c r="Q746" s="3093">
        <f t="shared" si="132"/>
        <v>1.03</v>
      </c>
      <c r="R746" s="3093">
        <f t="shared" si="133"/>
        <v>28725</v>
      </c>
      <c r="S746" s="1651">
        <f t="shared" si="134"/>
        <v>150</v>
      </c>
    </row>
    <row r="747" spans="1:19">
      <c r="A747" s="1061" t="str">
        <f>清单!D852</f>
        <v>C-8-1-1202</v>
      </c>
      <c r="B747" s="1061">
        <f>清单!F852</f>
        <v>52.23</v>
      </c>
      <c r="C747" s="3093">
        <f t="shared" si="125"/>
        <v>1</v>
      </c>
      <c r="D747" s="293"/>
      <c r="E747" s="3093">
        <f t="shared" si="126"/>
        <v>1</v>
      </c>
      <c r="F747" s="293"/>
      <c r="G747" s="3093">
        <f t="shared" si="127"/>
        <v>1</v>
      </c>
      <c r="H747" s="293"/>
      <c r="I747" s="3093">
        <f t="shared" si="128"/>
        <v>1</v>
      </c>
      <c r="J747" s="293"/>
      <c r="K747" s="3093">
        <f t="shared" si="129"/>
        <v>1</v>
      </c>
      <c r="L747" s="293"/>
      <c r="M747" s="3093">
        <f t="shared" si="130"/>
        <v>1</v>
      </c>
      <c r="N747" s="293"/>
      <c r="O747" s="3093">
        <f t="shared" si="131"/>
        <v>1</v>
      </c>
      <c r="P747" s="291" t="s">
        <v>3020</v>
      </c>
      <c r="Q747" s="3093">
        <f t="shared" si="132"/>
        <v>1.03</v>
      </c>
      <c r="R747" s="3093">
        <f t="shared" si="133"/>
        <v>28725</v>
      </c>
      <c r="S747" s="1651">
        <f t="shared" si="134"/>
        <v>150</v>
      </c>
    </row>
    <row r="748" spans="1:19">
      <c r="A748" s="1061" t="str">
        <f>清单!D871</f>
        <v>C-8-1-301</v>
      </c>
      <c r="B748" s="1061">
        <f>清单!F871</f>
        <v>52.12</v>
      </c>
      <c r="C748" s="3093">
        <f t="shared" si="125"/>
        <v>1</v>
      </c>
      <c r="D748" s="293"/>
      <c r="E748" s="3093">
        <f t="shared" si="126"/>
        <v>1</v>
      </c>
      <c r="F748" s="293"/>
      <c r="G748" s="3093">
        <f t="shared" si="127"/>
        <v>1</v>
      </c>
      <c r="H748" s="293"/>
      <c r="I748" s="3093">
        <f t="shared" si="128"/>
        <v>1</v>
      </c>
      <c r="J748" s="293"/>
      <c r="K748" s="3093">
        <f t="shared" si="129"/>
        <v>1</v>
      </c>
      <c r="L748" s="293"/>
      <c r="M748" s="3093">
        <f t="shared" si="130"/>
        <v>1</v>
      </c>
      <c r="N748" s="293"/>
      <c r="O748" s="3093">
        <f t="shared" si="131"/>
        <v>1</v>
      </c>
      <c r="P748" s="291" t="s">
        <v>3024</v>
      </c>
      <c r="Q748" s="3093">
        <f t="shared" si="132"/>
        <v>0.97</v>
      </c>
      <c r="R748" s="3093">
        <f t="shared" si="133"/>
        <v>27051</v>
      </c>
      <c r="S748" s="1651">
        <f t="shared" si="134"/>
        <v>141</v>
      </c>
    </row>
    <row r="749" spans="1:19">
      <c r="A749" s="1061" t="str">
        <f>清单!D872</f>
        <v>C-8-1-302</v>
      </c>
      <c r="B749" s="1061">
        <f>清单!F872</f>
        <v>52.23</v>
      </c>
      <c r="C749" s="3093">
        <f t="shared" si="125"/>
        <v>1</v>
      </c>
      <c r="D749" s="293"/>
      <c r="E749" s="3093">
        <f t="shared" si="126"/>
        <v>1</v>
      </c>
      <c r="F749" s="293"/>
      <c r="G749" s="3093">
        <f t="shared" si="127"/>
        <v>1</v>
      </c>
      <c r="H749" s="293"/>
      <c r="I749" s="3093">
        <f t="shared" si="128"/>
        <v>1</v>
      </c>
      <c r="J749" s="293"/>
      <c r="K749" s="3093">
        <f t="shared" si="129"/>
        <v>1</v>
      </c>
      <c r="L749" s="293"/>
      <c r="M749" s="3093">
        <f t="shared" si="130"/>
        <v>1</v>
      </c>
      <c r="N749" s="293"/>
      <c r="O749" s="3093">
        <f t="shared" si="131"/>
        <v>1</v>
      </c>
      <c r="P749" s="291" t="s">
        <v>3024</v>
      </c>
      <c r="Q749" s="3093">
        <f t="shared" si="132"/>
        <v>0.97</v>
      </c>
      <c r="R749" s="3093">
        <f t="shared" si="133"/>
        <v>27051</v>
      </c>
      <c r="S749" s="1651">
        <f t="shared" si="134"/>
        <v>141</v>
      </c>
    </row>
    <row r="750" spans="1:19">
      <c r="A750" s="1061" t="str">
        <f>清单!D855</f>
        <v>C-8-1-1301</v>
      </c>
      <c r="B750" s="1061">
        <f>清单!F855</f>
        <v>52.12</v>
      </c>
      <c r="C750" s="3093">
        <f t="shared" si="125"/>
        <v>1</v>
      </c>
      <c r="D750" s="293"/>
      <c r="E750" s="3093">
        <f t="shared" si="126"/>
        <v>1</v>
      </c>
      <c r="F750" s="293"/>
      <c r="G750" s="3093">
        <f t="shared" si="127"/>
        <v>1</v>
      </c>
      <c r="H750" s="293"/>
      <c r="I750" s="3093">
        <f t="shared" si="128"/>
        <v>1</v>
      </c>
      <c r="J750" s="293"/>
      <c r="K750" s="3093">
        <f t="shared" si="129"/>
        <v>1</v>
      </c>
      <c r="L750" s="293"/>
      <c r="M750" s="3093">
        <f t="shared" si="130"/>
        <v>1</v>
      </c>
      <c r="N750" s="293"/>
      <c r="O750" s="3093">
        <f t="shared" si="131"/>
        <v>1</v>
      </c>
      <c r="P750" s="291" t="s">
        <v>3020</v>
      </c>
      <c r="Q750" s="3093">
        <f t="shared" si="132"/>
        <v>1.03</v>
      </c>
      <c r="R750" s="3093">
        <f t="shared" si="133"/>
        <v>28725</v>
      </c>
      <c r="S750" s="1651">
        <f t="shared" si="134"/>
        <v>150</v>
      </c>
    </row>
    <row r="751" spans="1:19">
      <c r="A751" s="1061" t="str">
        <f>清单!D856</f>
        <v>C-8-1-1302</v>
      </c>
      <c r="B751" s="1061">
        <f>清单!F856</f>
        <v>52.23</v>
      </c>
      <c r="C751" s="3093">
        <f t="shared" si="125"/>
        <v>1</v>
      </c>
      <c r="D751" s="293"/>
      <c r="E751" s="3093">
        <f t="shared" si="126"/>
        <v>1</v>
      </c>
      <c r="F751" s="293"/>
      <c r="G751" s="3093">
        <f t="shared" si="127"/>
        <v>1</v>
      </c>
      <c r="H751" s="293"/>
      <c r="I751" s="3093">
        <f t="shared" si="128"/>
        <v>1</v>
      </c>
      <c r="J751" s="293"/>
      <c r="K751" s="3093">
        <f t="shared" si="129"/>
        <v>1</v>
      </c>
      <c r="L751" s="293"/>
      <c r="M751" s="3093">
        <f t="shared" si="130"/>
        <v>1</v>
      </c>
      <c r="N751" s="293"/>
      <c r="O751" s="3093">
        <f t="shared" si="131"/>
        <v>1</v>
      </c>
      <c r="P751" s="291" t="s">
        <v>3020</v>
      </c>
      <c r="Q751" s="3093">
        <f t="shared" si="132"/>
        <v>1.03</v>
      </c>
      <c r="R751" s="3093">
        <f t="shared" si="133"/>
        <v>28725</v>
      </c>
      <c r="S751" s="1651">
        <f t="shared" si="134"/>
        <v>150</v>
      </c>
    </row>
    <row r="752" spans="1:19">
      <c r="A752" s="1061" t="str">
        <f>清单!D875</f>
        <v>C-8-1-401</v>
      </c>
      <c r="B752" s="1061">
        <f>清单!F875</f>
        <v>52.12</v>
      </c>
      <c r="C752" s="3093">
        <f t="shared" si="125"/>
        <v>1</v>
      </c>
      <c r="D752" s="293"/>
      <c r="E752" s="3093">
        <f t="shared" si="126"/>
        <v>1</v>
      </c>
      <c r="F752" s="293"/>
      <c r="G752" s="3093">
        <f t="shared" si="127"/>
        <v>1</v>
      </c>
      <c r="H752" s="293"/>
      <c r="I752" s="3093">
        <f t="shared" si="128"/>
        <v>1</v>
      </c>
      <c r="J752" s="293"/>
      <c r="K752" s="3093">
        <f t="shared" si="129"/>
        <v>1</v>
      </c>
      <c r="L752" s="293"/>
      <c r="M752" s="3093">
        <f t="shared" si="130"/>
        <v>1</v>
      </c>
      <c r="N752" s="293"/>
      <c r="O752" s="3093">
        <f t="shared" si="131"/>
        <v>1</v>
      </c>
      <c r="P752" s="291" t="s">
        <v>3024</v>
      </c>
      <c r="Q752" s="3093">
        <f t="shared" si="132"/>
        <v>0.97</v>
      </c>
      <c r="R752" s="3093">
        <f t="shared" si="133"/>
        <v>27051</v>
      </c>
      <c r="S752" s="1651">
        <f t="shared" si="134"/>
        <v>141</v>
      </c>
    </row>
    <row r="753" spans="1:19">
      <c r="A753" s="1061" t="str">
        <f>清单!D876</f>
        <v>C-8-1-402</v>
      </c>
      <c r="B753" s="1061">
        <f>清单!F876</f>
        <v>52.23</v>
      </c>
      <c r="C753" s="3093">
        <f t="shared" si="125"/>
        <v>1</v>
      </c>
      <c r="D753" s="293"/>
      <c r="E753" s="3093">
        <f t="shared" si="126"/>
        <v>1</v>
      </c>
      <c r="F753" s="293"/>
      <c r="G753" s="3093">
        <f t="shared" si="127"/>
        <v>1</v>
      </c>
      <c r="H753" s="293"/>
      <c r="I753" s="3093">
        <f t="shared" si="128"/>
        <v>1</v>
      </c>
      <c r="J753" s="293"/>
      <c r="K753" s="3093">
        <f t="shared" si="129"/>
        <v>1</v>
      </c>
      <c r="L753" s="293"/>
      <c r="M753" s="3093">
        <f t="shared" si="130"/>
        <v>1</v>
      </c>
      <c r="N753" s="293"/>
      <c r="O753" s="3093">
        <f t="shared" si="131"/>
        <v>1</v>
      </c>
      <c r="P753" s="291" t="s">
        <v>3024</v>
      </c>
      <c r="Q753" s="3093">
        <f t="shared" si="132"/>
        <v>0.97</v>
      </c>
      <c r="R753" s="3093">
        <f t="shared" si="133"/>
        <v>27051</v>
      </c>
      <c r="S753" s="1651">
        <f t="shared" si="134"/>
        <v>141</v>
      </c>
    </row>
    <row r="754" spans="1:19">
      <c r="A754" s="1061" t="str">
        <f>清单!D859</f>
        <v>C-8-1-1401</v>
      </c>
      <c r="B754" s="1061">
        <f>清单!F859</f>
        <v>52.12</v>
      </c>
      <c r="C754" s="3093">
        <f t="shared" si="125"/>
        <v>1</v>
      </c>
      <c r="D754" s="293"/>
      <c r="E754" s="3093">
        <f t="shared" si="126"/>
        <v>1</v>
      </c>
      <c r="F754" s="293"/>
      <c r="G754" s="3093">
        <f t="shared" si="127"/>
        <v>1</v>
      </c>
      <c r="H754" s="293"/>
      <c r="I754" s="3093">
        <f t="shared" si="128"/>
        <v>1</v>
      </c>
      <c r="J754" s="293"/>
      <c r="K754" s="3093">
        <f t="shared" si="129"/>
        <v>1</v>
      </c>
      <c r="L754" s="293"/>
      <c r="M754" s="3093">
        <f t="shared" si="130"/>
        <v>1</v>
      </c>
      <c r="N754" s="293"/>
      <c r="O754" s="3093">
        <f t="shared" si="131"/>
        <v>1</v>
      </c>
      <c r="P754" s="291" t="s">
        <v>3020</v>
      </c>
      <c r="Q754" s="3093">
        <f t="shared" si="132"/>
        <v>1.03</v>
      </c>
      <c r="R754" s="3093">
        <f t="shared" si="133"/>
        <v>28725</v>
      </c>
      <c r="S754" s="1651">
        <f t="shared" si="134"/>
        <v>150</v>
      </c>
    </row>
    <row r="755" spans="1:19">
      <c r="A755" s="1061" t="str">
        <f>清单!D860</f>
        <v>C-8-1-1402</v>
      </c>
      <c r="B755" s="1061">
        <f>清单!F860</f>
        <v>52.23</v>
      </c>
      <c r="C755" s="3093">
        <f t="shared" si="125"/>
        <v>1</v>
      </c>
      <c r="D755" s="293"/>
      <c r="E755" s="3093">
        <f t="shared" si="126"/>
        <v>1</v>
      </c>
      <c r="F755" s="293"/>
      <c r="G755" s="3093">
        <f t="shared" si="127"/>
        <v>1</v>
      </c>
      <c r="H755" s="293"/>
      <c r="I755" s="3093">
        <f t="shared" si="128"/>
        <v>1</v>
      </c>
      <c r="J755" s="293"/>
      <c r="K755" s="3093">
        <f t="shared" si="129"/>
        <v>1</v>
      </c>
      <c r="L755" s="293"/>
      <c r="M755" s="3093">
        <f t="shared" si="130"/>
        <v>1</v>
      </c>
      <c r="N755" s="293"/>
      <c r="O755" s="3093">
        <f t="shared" si="131"/>
        <v>1</v>
      </c>
      <c r="P755" s="291" t="s">
        <v>3020</v>
      </c>
      <c r="Q755" s="3093">
        <f t="shared" si="132"/>
        <v>1.03</v>
      </c>
      <c r="R755" s="3093">
        <f t="shared" si="133"/>
        <v>28725</v>
      </c>
      <c r="S755" s="1651">
        <f t="shared" si="134"/>
        <v>150</v>
      </c>
    </row>
    <row r="756" spans="1:19">
      <c r="A756" s="1061" t="str">
        <f>清单!D879</f>
        <v>C-8-1-501</v>
      </c>
      <c r="B756" s="1061">
        <f>清单!F879</f>
        <v>52.12</v>
      </c>
      <c r="C756" s="3093">
        <f t="shared" si="125"/>
        <v>1</v>
      </c>
      <c r="D756" s="293"/>
      <c r="E756" s="3093">
        <f t="shared" si="126"/>
        <v>1</v>
      </c>
      <c r="F756" s="293"/>
      <c r="G756" s="3093">
        <f t="shared" si="127"/>
        <v>1</v>
      </c>
      <c r="H756" s="293"/>
      <c r="I756" s="3093">
        <f t="shared" si="128"/>
        <v>1</v>
      </c>
      <c r="J756" s="293"/>
      <c r="K756" s="3093">
        <f t="shared" si="129"/>
        <v>1</v>
      </c>
      <c r="L756" s="293"/>
      <c r="M756" s="3093">
        <f t="shared" si="130"/>
        <v>1</v>
      </c>
      <c r="N756" s="293"/>
      <c r="O756" s="3093">
        <f t="shared" si="131"/>
        <v>1</v>
      </c>
      <c r="P756" s="291" t="s">
        <v>3024</v>
      </c>
      <c r="Q756" s="3093">
        <f t="shared" si="132"/>
        <v>0.97</v>
      </c>
      <c r="R756" s="3093">
        <f t="shared" si="133"/>
        <v>27051</v>
      </c>
      <c r="S756" s="1651">
        <f t="shared" si="134"/>
        <v>141</v>
      </c>
    </row>
    <row r="757" spans="1:19">
      <c r="A757" s="1061" t="str">
        <f>清单!D880</f>
        <v>C-8-1-502</v>
      </c>
      <c r="B757" s="1061">
        <f>清单!F880</f>
        <v>52.23</v>
      </c>
      <c r="C757" s="3093">
        <f t="shared" si="125"/>
        <v>1</v>
      </c>
      <c r="D757" s="293"/>
      <c r="E757" s="3093">
        <f t="shared" si="126"/>
        <v>1</v>
      </c>
      <c r="F757" s="293"/>
      <c r="G757" s="3093">
        <f t="shared" si="127"/>
        <v>1</v>
      </c>
      <c r="H757" s="293"/>
      <c r="I757" s="3093">
        <f t="shared" si="128"/>
        <v>1</v>
      </c>
      <c r="J757" s="293"/>
      <c r="K757" s="3093">
        <f t="shared" si="129"/>
        <v>1</v>
      </c>
      <c r="L757" s="293"/>
      <c r="M757" s="3093">
        <f t="shared" si="130"/>
        <v>1</v>
      </c>
      <c r="N757" s="293"/>
      <c r="O757" s="3093">
        <f t="shared" si="131"/>
        <v>1</v>
      </c>
      <c r="P757" s="291" t="s">
        <v>3024</v>
      </c>
      <c r="Q757" s="3093">
        <f t="shared" si="132"/>
        <v>0.97</v>
      </c>
      <c r="R757" s="3093">
        <f t="shared" si="133"/>
        <v>27051</v>
      </c>
      <c r="S757" s="1651">
        <f t="shared" si="134"/>
        <v>141</v>
      </c>
    </row>
    <row r="758" spans="1:19">
      <c r="A758" s="1061" t="str">
        <f>清单!D863</f>
        <v>C-8-1-1501</v>
      </c>
      <c r="B758" s="1061">
        <f>清单!F863</f>
        <v>52.12</v>
      </c>
      <c r="C758" s="3093">
        <f t="shared" si="125"/>
        <v>1</v>
      </c>
      <c r="D758" s="293"/>
      <c r="E758" s="3093">
        <f t="shared" si="126"/>
        <v>1</v>
      </c>
      <c r="F758" s="293"/>
      <c r="G758" s="3093">
        <f t="shared" si="127"/>
        <v>1</v>
      </c>
      <c r="H758" s="293"/>
      <c r="I758" s="3093">
        <f t="shared" si="128"/>
        <v>1</v>
      </c>
      <c r="J758" s="293"/>
      <c r="K758" s="3093">
        <f t="shared" si="129"/>
        <v>1</v>
      </c>
      <c r="L758" s="293"/>
      <c r="M758" s="3093">
        <f t="shared" si="130"/>
        <v>1</v>
      </c>
      <c r="N758" s="293"/>
      <c r="O758" s="3093">
        <f t="shared" si="131"/>
        <v>1</v>
      </c>
      <c r="P758" s="291" t="s">
        <v>3020</v>
      </c>
      <c r="Q758" s="3093">
        <f t="shared" si="132"/>
        <v>1.03</v>
      </c>
      <c r="R758" s="3093">
        <f t="shared" si="133"/>
        <v>28725</v>
      </c>
      <c r="S758" s="1651">
        <f t="shared" si="134"/>
        <v>150</v>
      </c>
    </row>
    <row r="759" spans="1:19">
      <c r="A759" s="1061" t="str">
        <f>清单!D864</f>
        <v>C-8-1-1502</v>
      </c>
      <c r="B759" s="1061">
        <f>清单!F864</f>
        <v>52.23</v>
      </c>
      <c r="C759" s="3093">
        <f t="shared" si="125"/>
        <v>1</v>
      </c>
      <c r="D759" s="293"/>
      <c r="E759" s="3093">
        <f t="shared" si="126"/>
        <v>1</v>
      </c>
      <c r="F759" s="293"/>
      <c r="G759" s="3093">
        <f t="shared" si="127"/>
        <v>1</v>
      </c>
      <c r="H759" s="293"/>
      <c r="I759" s="3093">
        <f t="shared" si="128"/>
        <v>1</v>
      </c>
      <c r="J759" s="293"/>
      <c r="K759" s="3093">
        <f t="shared" si="129"/>
        <v>1</v>
      </c>
      <c r="L759" s="293"/>
      <c r="M759" s="3093">
        <f t="shared" si="130"/>
        <v>1</v>
      </c>
      <c r="N759" s="293"/>
      <c r="O759" s="3093">
        <f t="shared" si="131"/>
        <v>1</v>
      </c>
      <c r="P759" s="291" t="s">
        <v>3020</v>
      </c>
      <c r="Q759" s="3093">
        <f t="shared" si="132"/>
        <v>1.03</v>
      </c>
      <c r="R759" s="3093">
        <f t="shared" si="133"/>
        <v>28725</v>
      </c>
      <c r="S759" s="1651">
        <f t="shared" si="134"/>
        <v>150</v>
      </c>
    </row>
    <row r="760" spans="1:19">
      <c r="A760" s="1061" t="str">
        <f>清单!D883</f>
        <v>C-8-1-601</v>
      </c>
      <c r="B760" s="1061">
        <f>清单!F883</f>
        <v>52.12</v>
      </c>
      <c r="C760" s="3093">
        <f t="shared" si="125"/>
        <v>1</v>
      </c>
      <c r="D760" s="293"/>
      <c r="E760" s="3093">
        <f t="shared" si="126"/>
        <v>1</v>
      </c>
      <c r="F760" s="293"/>
      <c r="G760" s="3093">
        <f t="shared" si="127"/>
        <v>1</v>
      </c>
      <c r="H760" s="293"/>
      <c r="I760" s="3093">
        <f t="shared" si="128"/>
        <v>1</v>
      </c>
      <c r="J760" s="293"/>
      <c r="K760" s="3093">
        <f t="shared" si="129"/>
        <v>1</v>
      </c>
      <c r="L760" s="293"/>
      <c r="M760" s="3093">
        <f t="shared" si="130"/>
        <v>1</v>
      </c>
      <c r="N760" s="293"/>
      <c r="O760" s="3093">
        <f t="shared" si="131"/>
        <v>1</v>
      </c>
      <c r="P760" s="291" t="s">
        <v>3022</v>
      </c>
      <c r="Q760" s="3093">
        <f t="shared" si="132"/>
        <v>1</v>
      </c>
      <c r="R760" s="3093">
        <f t="shared" si="133"/>
        <v>27888</v>
      </c>
      <c r="S760" s="1651">
        <f t="shared" si="134"/>
        <v>145</v>
      </c>
    </row>
    <row r="761" spans="1:19">
      <c r="A761" s="1061" t="str">
        <f>清单!D884</f>
        <v>C-8-1-602</v>
      </c>
      <c r="B761" s="1061">
        <f>清单!F884</f>
        <v>52.23</v>
      </c>
      <c r="C761" s="3093">
        <f t="shared" si="125"/>
        <v>1</v>
      </c>
      <c r="D761" s="293"/>
      <c r="E761" s="3093">
        <f t="shared" si="126"/>
        <v>1</v>
      </c>
      <c r="F761" s="293"/>
      <c r="G761" s="3093">
        <f t="shared" si="127"/>
        <v>1</v>
      </c>
      <c r="H761" s="293"/>
      <c r="I761" s="3093">
        <f t="shared" si="128"/>
        <v>1</v>
      </c>
      <c r="J761" s="293"/>
      <c r="K761" s="3093">
        <f t="shared" si="129"/>
        <v>1</v>
      </c>
      <c r="L761" s="293"/>
      <c r="M761" s="3093">
        <f t="shared" si="130"/>
        <v>1</v>
      </c>
      <c r="N761" s="293"/>
      <c r="O761" s="3093">
        <f t="shared" si="131"/>
        <v>1</v>
      </c>
      <c r="P761" s="291" t="s">
        <v>3022</v>
      </c>
      <c r="Q761" s="3093">
        <f t="shared" si="132"/>
        <v>1</v>
      </c>
      <c r="R761" s="3093">
        <f t="shared" si="133"/>
        <v>27888</v>
      </c>
      <c r="S761" s="1651">
        <f t="shared" si="134"/>
        <v>146</v>
      </c>
    </row>
    <row r="762" spans="1:19">
      <c r="A762" s="1061" t="str">
        <f>清单!D867</f>
        <v>C-8-1-201</v>
      </c>
      <c r="B762" s="1061">
        <f>清单!F867</f>
        <v>52.12</v>
      </c>
      <c r="C762" s="3093">
        <f t="shared" si="125"/>
        <v>1</v>
      </c>
      <c r="D762" s="293"/>
      <c r="E762" s="3093">
        <f t="shared" si="126"/>
        <v>1</v>
      </c>
      <c r="F762" s="293"/>
      <c r="G762" s="3093">
        <f t="shared" si="127"/>
        <v>1</v>
      </c>
      <c r="H762" s="293"/>
      <c r="I762" s="3093">
        <f t="shared" si="128"/>
        <v>1</v>
      </c>
      <c r="J762" s="293"/>
      <c r="K762" s="3093">
        <f t="shared" si="129"/>
        <v>1</v>
      </c>
      <c r="L762" s="293"/>
      <c r="M762" s="3093">
        <f t="shared" si="130"/>
        <v>1</v>
      </c>
      <c r="N762" s="293"/>
      <c r="O762" s="3093">
        <f t="shared" si="131"/>
        <v>1</v>
      </c>
      <c r="P762" s="291" t="s">
        <v>3024</v>
      </c>
      <c r="Q762" s="3093">
        <f t="shared" si="132"/>
        <v>0.97</v>
      </c>
      <c r="R762" s="3093">
        <f t="shared" si="133"/>
        <v>27051</v>
      </c>
      <c r="S762" s="1651">
        <f t="shared" si="134"/>
        <v>141</v>
      </c>
    </row>
    <row r="763" spans="1:19">
      <c r="A763" s="1061" t="str">
        <f>清单!D868</f>
        <v>C-8-1-202</v>
      </c>
      <c r="B763" s="1061">
        <f>清单!F868</f>
        <v>52.23</v>
      </c>
      <c r="C763" s="3093">
        <f t="shared" si="125"/>
        <v>1</v>
      </c>
      <c r="D763" s="293"/>
      <c r="E763" s="3093">
        <f t="shared" si="126"/>
        <v>1</v>
      </c>
      <c r="F763" s="293"/>
      <c r="G763" s="3093">
        <f t="shared" si="127"/>
        <v>1</v>
      </c>
      <c r="H763" s="293"/>
      <c r="I763" s="3093">
        <f t="shared" si="128"/>
        <v>1</v>
      </c>
      <c r="J763" s="293"/>
      <c r="K763" s="3093">
        <f t="shared" si="129"/>
        <v>1</v>
      </c>
      <c r="L763" s="293"/>
      <c r="M763" s="3093">
        <f t="shared" si="130"/>
        <v>1</v>
      </c>
      <c r="N763" s="293"/>
      <c r="O763" s="3093">
        <f t="shared" si="131"/>
        <v>1</v>
      </c>
      <c r="P763" s="291" t="s">
        <v>3024</v>
      </c>
      <c r="Q763" s="3093">
        <f t="shared" si="132"/>
        <v>0.97</v>
      </c>
      <c r="R763" s="3093">
        <f t="shared" si="133"/>
        <v>27051</v>
      </c>
      <c r="S763" s="1651">
        <f t="shared" si="134"/>
        <v>141</v>
      </c>
    </row>
    <row r="764" spans="1:19">
      <c r="A764" s="1061" t="str">
        <f>清单!D887</f>
        <v>C-8-1-701</v>
      </c>
      <c r="B764" s="1061">
        <f>清单!F887</f>
        <v>52.12</v>
      </c>
      <c r="C764" s="3093">
        <f t="shared" si="125"/>
        <v>1</v>
      </c>
      <c r="D764" s="293"/>
      <c r="E764" s="3093">
        <f t="shared" si="126"/>
        <v>1</v>
      </c>
      <c r="F764" s="293"/>
      <c r="G764" s="3093">
        <f t="shared" si="127"/>
        <v>1</v>
      </c>
      <c r="H764" s="293"/>
      <c r="I764" s="3093">
        <f t="shared" si="128"/>
        <v>1</v>
      </c>
      <c r="J764" s="293"/>
      <c r="K764" s="3093">
        <f t="shared" si="129"/>
        <v>1</v>
      </c>
      <c r="L764" s="293"/>
      <c r="M764" s="3093">
        <f t="shared" si="130"/>
        <v>1</v>
      </c>
      <c r="N764" s="293"/>
      <c r="O764" s="3093">
        <f t="shared" si="131"/>
        <v>1</v>
      </c>
      <c r="P764" s="291" t="s">
        <v>3022</v>
      </c>
      <c r="Q764" s="3093">
        <f t="shared" si="132"/>
        <v>1</v>
      </c>
      <c r="R764" s="3093">
        <f t="shared" si="133"/>
        <v>27888</v>
      </c>
      <c r="S764" s="1651">
        <f t="shared" si="134"/>
        <v>145</v>
      </c>
    </row>
    <row r="765" spans="1:19">
      <c r="A765" s="1061" t="str">
        <f>清单!D870</f>
        <v>C-8-1-204</v>
      </c>
      <c r="B765" s="1061">
        <f>清单!F870</f>
        <v>51.55</v>
      </c>
      <c r="C765" s="3093">
        <f t="shared" ref="C765:C828" si="135">IF(B765="",1,(LOOKUP(B765,$3:$3,$4:$4)-LOOKUP($B$24,$3:$3,$4:$4)+100)/100)</f>
        <v>1</v>
      </c>
      <c r="D765" s="293"/>
      <c r="E765" s="3093">
        <f t="shared" ref="E765:E828" si="136">(SUMIF($5:$5,D765,$6:$6)-SUMIF($5:$5,$D$24,$6:$6)+100)/100</f>
        <v>1</v>
      </c>
      <c r="F765" s="293"/>
      <c r="G765" s="3093">
        <f t="shared" ref="G765:G828" si="137">(SUMIF($7:$7,F765,$8:$8)-SUMIF($7:$7,$F$24,$8:$8)+100)/100</f>
        <v>1</v>
      </c>
      <c r="H765" s="293"/>
      <c r="I765" s="3093">
        <f t="shared" ref="I765:I828" si="138">(SUMIF($9:$9,H765,$10:$10)-SUMIF($9:$9,$H$24,$10:$10)+100)/100</f>
        <v>1</v>
      </c>
      <c r="J765" s="293"/>
      <c r="K765" s="3093">
        <f t="shared" ref="K765:K828" si="139">(SUMIF($11:$11,J765,$12:$12)-SUMIF($11:$11,$J$24,$12:$12)+100)/100</f>
        <v>1</v>
      </c>
      <c r="L765" s="293"/>
      <c r="M765" s="3093">
        <f t="shared" ref="M765:M828" si="140">(SUMIF($13:$13,L765,$14:$14)-SUMIF($13:$13,$L$24,$14:$14)+100)/100</f>
        <v>1</v>
      </c>
      <c r="N765" s="293"/>
      <c r="O765" s="3093">
        <f t="shared" ref="O765:O828" si="141">(SUMIF($15:$15,N765,$16:$16)-SUMIF($15:$15,$N$24,$16:$16)+100)/100</f>
        <v>1</v>
      </c>
      <c r="P765" s="291" t="s">
        <v>3024</v>
      </c>
      <c r="Q765" s="3093">
        <f t="shared" ref="Q765:Q828" si="142">(SUMIF($17:$17,P765,$18:$18)-SUMIF($17:$17,$P$24,$18:$18)+100)/100</f>
        <v>0.97</v>
      </c>
      <c r="R765" s="3093">
        <f t="shared" ref="R765:R828" si="143">IF(B765="",0,ROUND($R$24*C765*E765*G765*I765*K765*M765*O765*Q765,0))</f>
        <v>27051</v>
      </c>
      <c r="S765" s="1651">
        <f t="shared" ref="S765:S828" si="144">ROUND(R765*B765/10000,0)</f>
        <v>139</v>
      </c>
    </row>
    <row r="766" spans="1:19">
      <c r="A766" s="1061" t="str">
        <f>清单!D889</f>
        <v>C-8-1-703</v>
      </c>
      <c r="B766" s="1061">
        <f>清单!F889</f>
        <v>52.23</v>
      </c>
      <c r="C766" s="3093">
        <f t="shared" si="135"/>
        <v>1</v>
      </c>
      <c r="D766" s="293"/>
      <c r="E766" s="3093">
        <f t="shared" si="136"/>
        <v>1</v>
      </c>
      <c r="F766" s="293"/>
      <c r="G766" s="3093">
        <f t="shared" si="137"/>
        <v>1</v>
      </c>
      <c r="H766" s="293"/>
      <c r="I766" s="3093">
        <f t="shared" si="138"/>
        <v>1</v>
      </c>
      <c r="J766" s="293"/>
      <c r="K766" s="3093">
        <f t="shared" si="139"/>
        <v>1</v>
      </c>
      <c r="L766" s="293"/>
      <c r="M766" s="3093">
        <f t="shared" si="140"/>
        <v>1</v>
      </c>
      <c r="N766" s="293"/>
      <c r="O766" s="3093">
        <f t="shared" si="141"/>
        <v>1</v>
      </c>
      <c r="P766" s="291" t="s">
        <v>3022</v>
      </c>
      <c r="Q766" s="3093">
        <f t="shared" si="142"/>
        <v>1</v>
      </c>
      <c r="R766" s="3093">
        <f t="shared" si="143"/>
        <v>27888</v>
      </c>
      <c r="S766" s="1651">
        <f t="shared" si="144"/>
        <v>146</v>
      </c>
    </row>
    <row r="767" spans="1:19">
      <c r="A767" s="1061" t="str">
        <f>清单!D890</f>
        <v>C-8-1-704</v>
      </c>
      <c r="B767" s="1061">
        <f>清单!F890</f>
        <v>51.55</v>
      </c>
      <c r="C767" s="3093">
        <f t="shared" si="135"/>
        <v>1</v>
      </c>
      <c r="D767" s="293"/>
      <c r="E767" s="3093">
        <f t="shared" si="136"/>
        <v>1</v>
      </c>
      <c r="F767" s="293"/>
      <c r="G767" s="3093">
        <f t="shared" si="137"/>
        <v>1</v>
      </c>
      <c r="H767" s="293"/>
      <c r="I767" s="3093">
        <f t="shared" si="138"/>
        <v>1</v>
      </c>
      <c r="J767" s="293"/>
      <c r="K767" s="3093">
        <f t="shared" si="139"/>
        <v>1</v>
      </c>
      <c r="L767" s="293"/>
      <c r="M767" s="3093">
        <f t="shared" si="140"/>
        <v>1</v>
      </c>
      <c r="N767" s="293"/>
      <c r="O767" s="3093">
        <f t="shared" si="141"/>
        <v>1</v>
      </c>
      <c r="P767" s="291" t="s">
        <v>3022</v>
      </c>
      <c r="Q767" s="3093">
        <f t="shared" si="142"/>
        <v>1</v>
      </c>
      <c r="R767" s="3093">
        <f t="shared" si="143"/>
        <v>27888</v>
      </c>
      <c r="S767" s="1651">
        <f t="shared" si="144"/>
        <v>144</v>
      </c>
    </row>
    <row r="768" spans="1:19">
      <c r="A768" s="1061" t="str">
        <f>清单!D873</f>
        <v>C-8-1-303</v>
      </c>
      <c r="B768" s="1061">
        <f>清单!F873</f>
        <v>52.23</v>
      </c>
      <c r="C768" s="3093">
        <f t="shared" si="135"/>
        <v>1</v>
      </c>
      <c r="D768" s="293"/>
      <c r="E768" s="3093">
        <f t="shared" si="136"/>
        <v>1</v>
      </c>
      <c r="F768" s="293"/>
      <c r="G768" s="3093">
        <f t="shared" si="137"/>
        <v>1</v>
      </c>
      <c r="H768" s="293"/>
      <c r="I768" s="3093">
        <f t="shared" si="138"/>
        <v>1</v>
      </c>
      <c r="J768" s="293"/>
      <c r="K768" s="3093">
        <f t="shared" si="139"/>
        <v>1</v>
      </c>
      <c r="L768" s="293"/>
      <c r="M768" s="3093">
        <f t="shared" si="140"/>
        <v>1</v>
      </c>
      <c r="N768" s="293"/>
      <c r="O768" s="3093">
        <f t="shared" si="141"/>
        <v>1</v>
      </c>
      <c r="P768" s="291" t="s">
        <v>3024</v>
      </c>
      <c r="Q768" s="3093">
        <f t="shared" si="142"/>
        <v>0.97</v>
      </c>
      <c r="R768" s="3093">
        <f t="shared" si="143"/>
        <v>27051</v>
      </c>
      <c r="S768" s="1651">
        <f t="shared" si="144"/>
        <v>141</v>
      </c>
    </row>
    <row r="769" spans="1:19">
      <c r="A769" s="1061" t="str">
        <f>清单!D874</f>
        <v>C-8-1-304</v>
      </c>
      <c r="B769" s="1061">
        <f>清单!F874</f>
        <v>51.55</v>
      </c>
      <c r="C769" s="3093">
        <f t="shared" si="135"/>
        <v>1</v>
      </c>
      <c r="D769" s="293"/>
      <c r="E769" s="3093">
        <f t="shared" si="136"/>
        <v>1</v>
      </c>
      <c r="F769" s="293"/>
      <c r="G769" s="3093">
        <f t="shared" si="137"/>
        <v>1</v>
      </c>
      <c r="H769" s="293"/>
      <c r="I769" s="3093">
        <f t="shared" si="138"/>
        <v>1</v>
      </c>
      <c r="J769" s="293"/>
      <c r="K769" s="3093">
        <f t="shared" si="139"/>
        <v>1</v>
      </c>
      <c r="L769" s="293"/>
      <c r="M769" s="3093">
        <f t="shared" si="140"/>
        <v>1</v>
      </c>
      <c r="N769" s="293"/>
      <c r="O769" s="3093">
        <f t="shared" si="141"/>
        <v>1</v>
      </c>
      <c r="P769" s="291" t="s">
        <v>3024</v>
      </c>
      <c r="Q769" s="3093">
        <f t="shared" si="142"/>
        <v>0.97</v>
      </c>
      <c r="R769" s="3093">
        <f t="shared" si="143"/>
        <v>27051</v>
      </c>
      <c r="S769" s="1651">
        <f t="shared" si="144"/>
        <v>139</v>
      </c>
    </row>
    <row r="770" spans="1:19">
      <c r="A770" s="1061" t="str">
        <f>清单!D893</f>
        <v>C-8-1-803</v>
      </c>
      <c r="B770" s="1061">
        <f>清单!F893</f>
        <v>52.23</v>
      </c>
      <c r="C770" s="3093">
        <f t="shared" si="135"/>
        <v>1</v>
      </c>
      <c r="D770" s="293"/>
      <c r="E770" s="3093">
        <f t="shared" si="136"/>
        <v>1</v>
      </c>
      <c r="F770" s="293"/>
      <c r="G770" s="3093">
        <f t="shared" si="137"/>
        <v>1</v>
      </c>
      <c r="H770" s="293"/>
      <c r="I770" s="3093">
        <f t="shared" si="138"/>
        <v>1</v>
      </c>
      <c r="J770" s="293"/>
      <c r="K770" s="3093">
        <f t="shared" si="139"/>
        <v>1</v>
      </c>
      <c r="L770" s="293"/>
      <c r="M770" s="3093">
        <f t="shared" si="140"/>
        <v>1</v>
      </c>
      <c r="N770" s="293"/>
      <c r="O770" s="3093">
        <f t="shared" si="141"/>
        <v>1</v>
      </c>
      <c r="P770" s="291" t="s">
        <v>3022</v>
      </c>
      <c r="Q770" s="3093">
        <f t="shared" si="142"/>
        <v>1</v>
      </c>
      <c r="R770" s="3093">
        <f t="shared" si="143"/>
        <v>27888</v>
      </c>
      <c r="S770" s="1651">
        <f t="shared" si="144"/>
        <v>146</v>
      </c>
    </row>
    <row r="771" spans="1:19">
      <c r="A771" s="1061" t="str">
        <f>清单!D894</f>
        <v>C-8-1-804</v>
      </c>
      <c r="B771" s="1061">
        <f>清单!F894</f>
        <v>51.55</v>
      </c>
      <c r="C771" s="3093">
        <f t="shared" si="135"/>
        <v>1</v>
      </c>
      <c r="D771" s="293"/>
      <c r="E771" s="3093">
        <f t="shared" si="136"/>
        <v>1</v>
      </c>
      <c r="F771" s="293"/>
      <c r="G771" s="3093">
        <f t="shared" si="137"/>
        <v>1</v>
      </c>
      <c r="H771" s="293"/>
      <c r="I771" s="3093">
        <f t="shared" si="138"/>
        <v>1</v>
      </c>
      <c r="J771" s="293"/>
      <c r="K771" s="3093">
        <f t="shared" si="139"/>
        <v>1</v>
      </c>
      <c r="L771" s="293"/>
      <c r="M771" s="3093">
        <f t="shared" si="140"/>
        <v>1</v>
      </c>
      <c r="N771" s="293"/>
      <c r="O771" s="3093">
        <f t="shared" si="141"/>
        <v>1</v>
      </c>
      <c r="P771" s="291" t="s">
        <v>3022</v>
      </c>
      <c r="Q771" s="3093">
        <f t="shared" si="142"/>
        <v>1</v>
      </c>
      <c r="R771" s="3093">
        <f t="shared" si="143"/>
        <v>27888</v>
      </c>
      <c r="S771" s="1651">
        <f t="shared" si="144"/>
        <v>144</v>
      </c>
    </row>
    <row r="772" spans="1:19">
      <c r="A772" s="1061" t="str">
        <f>清单!D877</f>
        <v>C-8-1-403</v>
      </c>
      <c r="B772" s="1061">
        <f>清单!F877</f>
        <v>52.23</v>
      </c>
      <c r="C772" s="3093">
        <f t="shared" si="135"/>
        <v>1</v>
      </c>
      <c r="D772" s="293"/>
      <c r="E772" s="3093">
        <f t="shared" si="136"/>
        <v>1</v>
      </c>
      <c r="F772" s="293"/>
      <c r="G772" s="3093">
        <f t="shared" si="137"/>
        <v>1</v>
      </c>
      <c r="H772" s="293"/>
      <c r="I772" s="3093">
        <f t="shared" si="138"/>
        <v>1</v>
      </c>
      <c r="J772" s="293"/>
      <c r="K772" s="3093">
        <f t="shared" si="139"/>
        <v>1</v>
      </c>
      <c r="L772" s="293"/>
      <c r="M772" s="3093">
        <f t="shared" si="140"/>
        <v>1</v>
      </c>
      <c r="N772" s="293"/>
      <c r="O772" s="3093">
        <f t="shared" si="141"/>
        <v>1</v>
      </c>
      <c r="P772" s="291" t="s">
        <v>3024</v>
      </c>
      <c r="Q772" s="3093">
        <f t="shared" si="142"/>
        <v>0.97</v>
      </c>
      <c r="R772" s="3093">
        <f t="shared" si="143"/>
        <v>27051</v>
      </c>
      <c r="S772" s="1651">
        <f t="shared" si="144"/>
        <v>141</v>
      </c>
    </row>
    <row r="773" spans="1:19">
      <c r="A773" s="1061" t="str">
        <f>清单!D878</f>
        <v>C-8-1-404</v>
      </c>
      <c r="B773" s="1061">
        <f>清单!F878</f>
        <v>51.55</v>
      </c>
      <c r="C773" s="3093">
        <f t="shared" si="135"/>
        <v>1</v>
      </c>
      <c r="D773" s="293"/>
      <c r="E773" s="3093">
        <f t="shared" si="136"/>
        <v>1</v>
      </c>
      <c r="F773" s="293"/>
      <c r="G773" s="3093">
        <f t="shared" si="137"/>
        <v>1</v>
      </c>
      <c r="H773" s="293"/>
      <c r="I773" s="3093">
        <f t="shared" si="138"/>
        <v>1</v>
      </c>
      <c r="J773" s="293"/>
      <c r="K773" s="3093">
        <f t="shared" si="139"/>
        <v>1</v>
      </c>
      <c r="L773" s="293"/>
      <c r="M773" s="3093">
        <f t="shared" si="140"/>
        <v>1</v>
      </c>
      <c r="N773" s="293"/>
      <c r="O773" s="3093">
        <f t="shared" si="141"/>
        <v>1</v>
      </c>
      <c r="P773" s="291" t="s">
        <v>3024</v>
      </c>
      <c r="Q773" s="3093">
        <f t="shared" si="142"/>
        <v>0.97</v>
      </c>
      <c r="R773" s="3093">
        <f t="shared" si="143"/>
        <v>27051</v>
      </c>
      <c r="S773" s="1651">
        <f t="shared" si="144"/>
        <v>139</v>
      </c>
    </row>
    <row r="774" spans="1:19">
      <c r="A774" s="1061" t="str">
        <f>清单!D897</f>
        <v>C-8-1-903</v>
      </c>
      <c r="B774" s="1061">
        <f>清单!F897</f>
        <v>52.23</v>
      </c>
      <c r="C774" s="3093">
        <f t="shared" si="135"/>
        <v>1</v>
      </c>
      <c r="D774" s="293"/>
      <c r="E774" s="3093">
        <f t="shared" si="136"/>
        <v>1</v>
      </c>
      <c r="F774" s="293"/>
      <c r="G774" s="3093">
        <f t="shared" si="137"/>
        <v>1</v>
      </c>
      <c r="H774" s="293"/>
      <c r="I774" s="3093">
        <f t="shared" si="138"/>
        <v>1</v>
      </c>
      <c r="J774" s="293"/>
      <c r="K774" s="3093">
        <f t="shared" si="139"/>
        <v>1</v>
      </c>
      <c r="L774" s="293"/>
      <c r="M774" s="3093">
        <f t="shared" si="140"/>
        <v>1</v>
      </c>
      <c r="N774" s="293"/>
      <c r="O774" s="3093">
        <f t="shared" si="141"/>
        <v>1</v>
      </c>
      <c r="P774" s="291" t="s">
        <v>3022</v>
      </c>
      <c r="Q774" s="3093">
        <f t="shared" si="142"/>
        <v>1</v>
      </c>
      <c r="R774" s="3093">
        <f t="shared" si="143"/>
        <v>27888</v>
      </c>
      <c r="S774" s="1651">
        <f t="shared" si="144"/>
        <v>146</v>
      </c>
    </row>
    <row r="775" spans="1:19">
      <c r="A775" s="1061" t="str">
        <f>清单!D898</f>
        <v>C-8-1-904</v>
      </c>
      <c r="B775" s="1061">
        <f>清单!F898</f>
        <v>51.55</v>
      </c>
      <c r="C775" s="3093">
        <f t="shared" si="135"/>
        <v>1</v>
      </c>
      <c r="D775" s="293"/>
      <c r="E775" s="3093">
        <f t="shared" si="136"/>
        <v>1</v>
      </c>
      <c r="F775" s="293"/>
      <c r="G775" s="3093">
        <f t="shared" si="137"/>
        <v>1</v>
      </c>
      <c r="H775" s="293"/>
      <c r="I775" s="3093">
        <f t="shared" si="138"/>
        <v>1</v>
      </c>
      <c r="J775" s="293"/>
      <c r="K775" s="3093">
        <f t="shared" si="139"/>
        <v>1</v>
      </c>
      <c r="L775" s="293"/>
      <c r="M775" s="3093">
        <f t="shared" si="140"/>
        <v>1</v>
      </c>
      <c r="N775" s="293"/>
      <c r="O775" s="3093">
        <f t="shared" si="141"/>
        <v>1</v>
      </c>
      <c r="P775" s="291" t="s">
        <v>3022</v>
      </c>
      <c r="Q775" s="3093">
        <f t="shared" si="142"/>
        <v>1</v>
      </c>
      <c r="R775" s="3093">
        <f t="shared" si="143"/>
        <v>27888</v>
      </c>
      <c r="S775" s="1651">
        <f t="shared" si="144"/>
        <v>144</v>
      </c>
    </row>
    <row r="776" spans="1:19">
      <c r="A776" s="1061" t="str">
        <f>清单!D881</f>
        <v>C-8-1-503</v>
      </c>
      <c r="B776" s="1061">
        <f>清单!F881</f>
        <v>52.23</v>
      </c>
      <c r="C776" s="3093">
        <f t="shared" si="135"/>
        <v>1</v>
      </c>
      <c r="D776" s="293"/>
      <c r="E776" s="3093">
        <f t="shared" si="136"/>
        <v>1</v>
      </c>
      <c r="F776" s="293"/>
      <c r="G776" s="3093">
        <f t="shared" si="137"/>
        <v>1</v>
      </c>
      <c r="H776" s="293"/>
      <c r="I776" s="3093">
        <f t="shared" si="138"/>
        <v>1</v>
      </c>
      <c r="J776" s="293"/>
      <c r="K776" s="3093">
        <f t="shared" si="139"/>
        <v>1</v>
      </c>
      <c r="L776" s="293"/>
      <c r="M776" s="3093">
        <f t="shared" si="140"/>
        <v>1</v>
      </c>
      <c r="N776" s="293"/>
      <c r="O776" s="3093">
        <f t="shared" si="141"/>
        <v>1</v>
      </c>
      <c r="P776" s="291" t="s">
        <v>3024</v>
      </c>
      <c r="Q776" s="3093">
        <f t="shared" si="142"/>
        <v>0.97</v>
      </c>
      <c r="R776" s="3093">
        <f t="shared" si="143"/>
        <v>27051</v>
      </c>
      <c r="S776" s="1651">
        <f t="shared" si="144"/>
        <v>141</v>
      </c>
    </row>
    <row r="777" spans="1:19">
      <c r="A777" s="1061" t="str">
        <f>清单!D882</f>
        <v>C-8-1-504</v>
      </c>
      <c r="B777" s="1061">
        <f>清单!F882</f>
        <v>51.55</v>
      </c>
      <c r="C777" s="3093">
        <f t="shared" si="135"/>
        <v>1</v>
      </c>
      <c r="D777" s="293"/>
      <c r="E777" s="3093">
        <f t="shared" si="136"/>
        <v>1</v>
      </c>
      <c r="F777" s="293"/>
      <c r="G777" s="3093">
        <f t="shared" si="137"/>
        <v>1</v>
      </c>
      <c r="H777" s="293"/>
      <c r="I777" s="3093">
        <f t="shared" si="138"/>
        <v>1</v>
      </c>
      <c r="J777" s="293"/>
      <c r="K777" s="3093">
        <f t="shared" si="139"/>
        <v>1</v>
      </c>
      <c r="L777" s="293"/>
      <c r="M777" s="3093">
        <f t="shared" si="140"/>
        <v>1</v>
      </c>
      <c r="N777" s="293"/>
      <c r="O777" s="3093">
        <f t="shared" si="141"/>
        <v>1</v>
      </c>
      <c r="P777" s="291" t="s">
        <v>3024</v>
      </c>
      <c r="Q777" s="3093">
        <f t="shared" si="142"/>
        <v>0.97</v>
      </c>
      <c r="R777" s="3093">
        <f t="shared" si="143"/>
        <v>27051</v>
      </c>
      <c r="S777" s="1651">
        <f t="shared" si="144"/>
        <v>139</v>
      </c>
    </row>
    <row r="778" spans="1:19">
      <c r="A778" s="1061" t="str">
        <f>清单!D901</f>
        <v>C-8-2-1003</v>
      </c>
      <c r="B778" s="1061">
        <f>清单!F901</f>
        <v>52.23</v>
      </c>
      <c r="C778" s="3093">
        <f t="shared" si="135"/>
        <v>1</v>
      </c>
      <c r="D778" s="293"/>
      <c r="E778" s="3093">
        <f t="shared" si="136"/>
        <v>1</v>
      </c>
      <c r="F778" s="293"/>
      <c r="G778" s="3093">
        <f t="shared" si="137"/>
        <v>1</v>
      </c>
      <c r="H778" s="293"/>
      <c r="I778" s="3093">
        <f t="shared" si="138"/>
        <v>1</v>
      </c>
      <c r="J778" s="293"/>
      <c r="K778" s="3093">
        <f t="shared" si="139"/>
        <v>1</v>
      </c>
      <c r="L778" s="293"/>
      <c r="M778" s="3093">
        <f t="shared" si="140"/>
        <v>1</v>
      </c>
      <c r="N778" s="293"/>
      <c r="O778" s="3093">
        <f t="shared" si="141"/>
        <v>1</v>
      </c>
      <c r="P778" s="291" t="s">
        <v>3022</v>
      </c>
      <c r="Q778" s="3093">
        <f t="shared" si="142"/>
        <v>1</v>
      </c>
      <c r="R778" s="3093">
        <f t="shared" si="143"/>
        <v>27888</v>
      </c>
      <c r="S778" s="1651">
        <f t="shared" si="144"/>
        <v>146</v>
      </c>
    </row>
    <row r="779" spans="1:19">
      <c r="A779" s="1061" t="str">
        <f>清单!D902</f>
        <v>C-8-2-1004</v>
      </c>
      <c r="B779" s="1061">
        <f>清单!F902</f>
        <v>51.66</v>
      </c>
      <c r="C779" s="3093">
        <f t="shared" si="135"/>
        <v>1</v>
      </c>
      <c r="D779" s="293"/>
      <c r="E779" s="3093">
        <f t="shared" si="136"/>
        <v>1</v>
      </c>
      <c r="F779" s="293"/>
      <c r="G779" s="3093">
        <f t="shared" si="137"/>
        <v>1</v>
      </c>
      <c r="H779" s="293"/>
      <c r="I779" s="3093">
        <f t="shared" si="138"/>
        <v>1</v>
      </c>
      <c r="J779" s="293"/>
      <c r="K779" s="3093">
        <f t="shared" si="139"/>
        <v>1</v>
      </c>
      <c r="L779" s="293"/>
      <c r="M779" s="3093">
        <f t="shared" si="140"/>
        <v>1</v>
      </c>
      <c r="N779" s="293"/>
      <c r="O779" s="3093">
        <f t="shared" si="141"/>
        <v>1</v>
      </c>
      <c r="P779" s="291" t="s">
        <v>3022</v>
      </c>
      <c r="Q779" s="3093">
        <f t="shared" si="142"/>
        <v>1</v>
      </c>
      <c r="R779" s="3093">
        <f t="shared" si="143"/>
        <v>27888</v>
      </c>
      <c r="S779" s="1651">
        <f t="shared" si="144"/>
        <v>144</v>
      </c>
    </row>
    <row r="780" spans="1:19">
      <c r="A780" s="1061" t="str">
        <f>清单!D885</f>
        <v>C-8-1-603</v>
      </c>
      <c r="B780" s="1061">
        <f>清单!F885</f>
        <v>52.23</v>
      </c>
      <c r="C780" s="3093">
        <f t="shared" si="135"/>
        <v>1</v>
      </c>
      <c r="D780" s="293"/>
      <c r="E780" s="3093">
        <f t="shared" si="136"/>
        <v>1</v>
      </c>
      <c r="F780" s="293"/>
      <c r="G780" s="3093">
        <f t="shared" si="137"/>
        <v>1</v>
      </c>
      <c r="H780" s="293"/>
      <c r="I780" s="3093">
        <f t="shared" si="138"/>
        <v>1</v>
      </c>
      <c r="J780" s="293"/>
      <c r="K780" s="3093">
        <f t="shared" si="139"/>
        <v>1</v>
      </c>
      <c r="L780" s="293"/>
      <c r="M780" s="3093">
        <f t="shared" si="140"/>
        <v>1</v>
      </c>
      <c r="N780" s="293"/>
      <c r="O780" s="3093">
        <f t="shared" si="141"/>
        <v>1</v>
      </c>
      <c r="P780" s="291" t="s">
        <v>3022</v>
      </c>
      <c r="Q780" s="3093">
        <f t="shared" si="142"/>
        <v>1</v>
      </c>
      <c r="R780" s="3093">
        <f t="shared" si="143"/>
        <v>27888</v>
      </c>
      <c r="S780" s="1651">
        <f t="shared" si="144"/>
        <v>146</v>
      </c>
    </row>
    <row r="781" spans="1:19">
      <c r="A781" s="1061" t="str">
        <f>清单!D886</f>
        <v>C-8-1-604</v>
      </c>
      <c r="B781" s="1061">
        <f>清单!F886</f>
        <v>51.55</v>
      </c>
      <c r="C781" s="3093">
        <f t="shared" si="135"/>
        <v>1</v>
      </c>
      <c r="D781" s="293"/>
      <c r="E781" s="3093">
        <f t="shared" si="136"/>
        <v>1</v>
      </c>
      <c r="F781" s="293"/>
      <c r="G781" s="3093">
        <f t="shared" si="137"/>
        <v>1</v>
      </c>
      <c r="H781" s="293"/>
      <c r="I781" s="3093">
        <f t="shared" si="138"/>
        <v>1</v>
      </c>
      <c r="J781" s="293"/>
      <c r="K781" s="3093">
        <f t="shared" si="139"/>
        <v>1</v>
      </c>
      <c r="L781" s="293"/>
      <c r="M781" s="3093">
        <f t="shared" si="140"/>
        <v>1</v>
      </c>
      <c r="N781" s="293"/>
      <c r="O781" s="3093">
        <f t="shared" si="141"/>
        <v>1</v>
      </c>
      <c r="P781" s="291" t="s">
        <v>3022</v>
      </c>
      <c r="Q781" s="3093">
        <f t="shared" si="142"/>
        <v>1</v>
      </c>
      <c r="R781" s="3093">
        <f t="shared" si="143"/>
        <v>27888</v>
      </c>
      <c r="S781" s="1651">
        <f t="shared" si="144"/>
        <v>144</v>
      </c>
    </row>
    <row r="782" spans="1:19">
      <c r="A782" s="1061" t="str">
        <f>清单!D905</f>
        <v>C-8-2-103</v>
      </c>
      <c r="B782" s="1061">
        <f>清单!F905</f>
        <v>80.56</v>
      </c>
      <c r="C782" s="3093">
        <f t="shared" si="135"/>
        <v>0.97</v>
      </c>
      <c r="D782" s="293"/>
      <c r="E782" s="3093">
        <f t="shared" si="136"/>
        <v>1</v>
      </c>
      <c r="F782" s="293"/>
      <c r="G782" s="3093">
        <f t="shared" si="137"/>
        <v>1</v>
      </c>
      <c r="H782" s="293"/>
      <c r="I782" s="3093">
        <f t="shared" si="138"/>
        <v>1</v>
      </c>
      <c r="J782" s="293"/>
      <c r="K782" s="3093">
        <f t="shared" si="139"/>
        <v>1</v>
      </c>
      <c r="L782" s="293"/>
      <c r="M782" s="3093">
        <f t="shared" si="140"/>
        <v>1</v>
      </c>
      <c r="N782" s="293"/>
      <c r="O782" s="3093">
        <f t="shared" si="141"/>
        <v>1</v>
      </c>
      <c r="P782" s="291" t="s">
        <v>3024</v>
      </c>
      <c r="Q782" s="3093">
        <f t="shared" si="142"/>
        <v>0.97</v>
      </c>
      <c r="R782" s="3093">
        <f t="shared" si="143"/>
        <v>26240</v>
      </c>
      <c r="S782" s="1651">
        <f t="shared" si="144"/>
        <v>211</v>
      </c>
    </row>
    <row r="783" spans="1:19">
      <c r="A783" s="1061" t="str">
        <f>清单!D906</f>
        <v>C-8-2-1101</v>
      </c>
      <c r="B783" s="1061">
        <f>清单!F906</f>
        <v>51.48</v>
      </c>
      <c r="C783" s="3093">
        <f t="shared" si="135"/>
        <v>1</v>
      </c>
      <c r="D783" s="293"/>
      <c r="E783" s="3093">
        <f t="shared" si="136"/>
        <v>1</v>
      </c>
      <c r="F783" s="293"/>
      <c r="G783" s="3093">
        <f t="shared" si="137"/>
        <v>1</v>
      </c>
      <c r="H783" s="293"/>
      <c r="I783" s="3093">
        <f t="shared" si="138"/>
        <v>1</v>
      </c>
      <c r="J783" s="293"/>
      <c r="K783" s="3093">
        <f t="shared" si="139"/>
        <v>1</v>
      </c>
      <c r="L783" s="293"/>
      <c r="M783" s="3093">
        <f t="shared" si="140"/>
        <v>1</v>
      </c>
      <c r="N783" s="293"/>
      <c r="O783" s="3093">
        <f t="shared" si="141"/>
        <v>1</v>
      </c>
      <c r="P783" s="291" t="s">
        <v>3020</v>
      </c>
      <c r="Q783" s="3093">
        <f t="shared" si="142"/>
        <v>1.03</v>
      </c>
      <c r="R783" s="3093">
        <f t="shared" si="143"/>
        <v>28725</v>
      </c>
      <c r="S783" s="1651">
        <f t="shared" si="144"/>
        <v>148</v>
      </c>
    </row>
    <row r="784" spans="1:19">
      <c r="A784" s="1061" t="str">
        <f>清单!D889</f>
        <v>C-8-1-703</v>
      </c>
      <c r="B784" s="1061">
        <f>清单!F889</f>
        <v>52.23</v>
      </c>
      <c r="C784" s="3093">
        <f t="shared" si="135"/>
        <v>1</v>
      </c>
      <c r="D784" s="293"/>
      <c r="E784" s="3093">
        <f t="shared" si="136"/>
        <v>1</v>
      </c>
      <c r="F784" s="293"/>
      <c r="G784" s="3093">
        <f t="shared" si="137"/>
        <v>1</v>
      </c>
      <c r="H784" s="293"/>
      <c r="I784" s="3093">
        <f t="shared" si="138"/>
        <v>1</v>
      </c>
      <c r="J784" s="293"/>
      <c r="K784" s="3093">
        <f t="shared" si="139"/>
        <v>1</v>
      </c>
      <c r="L784" s="293"/>
      <c r="M784" s="3093">
        <f t="shared" si="140"/>
        <v>1</v>
      </c>
      <c r="N784" s="293"/>
      <c r="O784" s="3093">
        <f t="shared" si="141"/>
        <v>1</v>
      </c>
      <c r="P784" s="291" t="s">
        <v>3022</v>
      </c>
      <c r="Q784" s="3093">
        <f t="shared" si="142"/>
        <v>1</v>
      </c>
      <c r="R784" s="3093">
        <f t="shared" si="143"/>
        <v>27888</v>
      </c>
      <c r="S784" s="1651">
        <f t="shared" si="144"/>
        <v>146</v>
      </c>
    </row>
    <row r="785" spans="1:19">
      <c r="A785" s="1061" t="str">
        <f>清单!D890</f>
        <v>C-8-1-704</v>
      </c>
      <c r="B785" s="1061">
        <f>清单!F890</f>
        <v>51.55</v>
      </c>
      <c r="C785" s="3093">
        <f t="shared" si="135"/>
        <v>1</v>
      </c>
      <c r="D785" s="293"/>
      <c r="E785" s="3093">
        <f t="shared" si="136"/>
        <v>1</v>
      </c>
      <c r="F785" s="293"/>
      <c r="G785" s="3093">
        <f t="shared" si="137"/>
        <v>1</v>
      </c>
      <c r="H785" s="293"/>
      <c r="I785" s="3093">
        <f t="shared" si="138"/>
        <v>1</v>
      </c>
      <c r="J785" s="293"/>
      <c r="K785" s="3093">
        <f t="shared" si="139"/>
        <v>1</v>
      </c>
      <c r="L785" s="293"/>
      <c r="M785" s="3093">
        <f t="shared" si="140"/>
        <v>1</v>
      </c>
      <c r="N785" s="293"/>
      <c r="O785" s="3093">
        <f t="shared" si="141"/>
        <v>1</v>
      </c>
      <c r="P785" s="291" t="s">
        <v>3022</v>
      </c>
      <c r="Q785" s="3093">
        <f t="shared" si="142"/>
        <v>1</v>
      </c>
      <c r="R785" s="3093">
        <f t="shared" si="143"/>
        <v>27888</v>
      </c>
      <c r="S785" s="1651">
        <f t="shared" si="144"/>
        <v>144</v>
      </c>
    </row>
    <row r="786" spans="1:19">
      <c r="A786" s="1061" t="str">
        <f>清单!D909</f>
        <v>C-8-2-1104</v>
      </c>
      <c r="B786" s="1061">
        <f>清单!F909</f>
        <v>51.66</v>
      </c>
      <c r="C786" s="3093">
        <f t="shared" si="135"/>
        <v>1</v>
      </c>
      <c r="D786" s="293"/>
      <c r="E786" s="3093">
        <f t="shared" si="136"/>
        <v>1</v>
      </c>
      <c r="F786" s="293"/>
      <c r="G786" s="3093">
        <f t="shared" si="137"/>
        <v>1</v>
      </c>
      <c r="H786" s="293"/>
      <c r="I786" s="3093">
        <f t="shared" si="138"/>
        <v>1</v>
      </c>
      <c r="J786" s="293"/>
      <c r="K786" s="3093">
        <f t="shared" si="139"/>
        <v>1</v>
      </c>
      <c r="L786" s="293"/>
      <c r="M786" s="3093">
        <f t="shared" si="140"/>
        <v>1</v>
      </c>
      <c r="N786" s="293"/>
      <c r="O786" s="3093">
        <f t="shared" si="141"/>
        <v>1</v>
      </c>
      <c r="P786" s="291" t="s">
        <v>3020</v>
      </c>
      <c r="Q786" s="3093">
        <f t="shared" si="142"/>
        <v>1.03</v>
      </c>
      <c r="R786" s="3093">
        <f t="shared" si="143"/>
        <v>28725</v>
      </c>
      <c r="S786" s="1651">
        <f t="shared" si="144"/>
        <v>148</v>
      </c>
    </row>
    <row r="787" spans="1:19">
      <c r="A787" s="1061" t="str">
        <f>清单!D910</f>
        <v>C-8-2-1201</v>
      </c>
      <c r="B787" s="1061">
        <f>清单!F910</f>
        <v>51.48</v>
      </c>
      <c r="C787" s="3093">
        <f t="shared" si="135"/>
        <v>1</v>
      </c>
      <c r="D787" s="293"/>
      <c r="E787" s="3093">
        <f t="shared" si="136"/>
        <v>1</v>
      </c>
      <c r="F787" s="293"/>
      <c r="G787" s="3093">
        <f t="shared" si="137"/>
        <v>1</v>
      </c>
      <c r="H787" s="293"/>
      <c r="I787" s="3093">
        <f t="shared" si="138"/>
        <v>1</v>
      </c>
      <c r="J787" s="293"/>
      <c r="K787" s="3093">
        <f t="shared" si="139"/>
        <v>1</v>
      </c>
      <c r="L787" s="293"/>
      <c r="M787" s="3093">
        <f t="shared" si="140"/>
        <v>1</v>
      </c>
      <c r="N787" s="293"/>
      <c r="O787" s="3093">
        <f t="shared" si="141"/>
        <v>1</v>
      </c>
      <c r="P787" s="291" t="s">
        <v>3020</v>
      </c>
      <c r="Q787" s="3093">
        <f t="shared" si="142"/>
        <v>1.03</v>
      </c>
      <c r="R787" s="3093">
        <f t="shared" si="143"/>
        <v>28725</v>
      </c>
      <c r="S787" s="1651">
        <f t="shared" si="144"/>
        <v>148</v>
      </c>
    </row>
    <row r="788" spans="1:19">
      <c r="A788" s="1061" t="str">
        <f>清单!D893</f>
        <v>C-8-1-803</v>
      </c>
      <c r="B788" s="1061">
        <f>清单!F893</f>
        <v>52.23</v>
      </c>
      <c r="C788" s="3093">
        <f t="shared" si="135"/>
        <v>1</v>
      </c>
      <c r="D788" s="293"/>
      <c r="E788" s="3093">
        <f t="shared" si="136"/>
        <v>1</v>
      </c>
      <c r="F788" s="293"/>
      <c r="G788" s="3093">
        <f t="shared" si="137"/>
        <v>1</v>
      </c>
      <c r="H788" s="293"/>
      <c r="I788" s="3093">
        <f t="shared" si="138"/>
        <v>1</v>
      </c>
      <c r="J788" s="293"/>
      <c r="K788" s="3093">
        <f t="shared" si="139"/>
        <v>1</v>
      </c>
      <c r="L788" s="293"/>
      <c r="M788" s="3093">
        <f t="shared" si="140"/>
        <v>1</v>
      </c>
      <c r="N788" s="293"/>
      <c r="O788" s="3093">
        <f t="shared" si="141"/>
        <v>1</v>
      </c>
      <c r="P788" s="291" t="s">
        <v>3022</v>
      </c>
      <c r="Q788" s="3093">
        <f t="shared" si="142"/>
        <v>1</v>
      </c>
      <c r="R788" s="3093">
        <f t="shared" si="143"/>
        <v>27888</v>
      </c>
      <c r="S788" s="1651">
        <f t="shared" si="144"/>
        <v>146</v>
      </c>
    </row>
    <row r="789" spans="1:19">
      <c r="A789" s="1061" t="str">
        <f>清单!D894</f>
        <v>C-8-1-804</v>
      </c>
      <c r="B789" s="1061">
        <f>清单!F894</f>
        <v>51.55</v>
      </c>
      <c r="C789" s="3093">
        <f t="shared" si="135"/>
        <v>1</v>
      </c>
      <c r="D789" s="293"/>
      <c r="E789" s="3093">
        <f t="shared" si="136"/>
        <v>1</v>
      </c>
      <c r="F789" s="293"/>
      <c r="G789" s="3093">
        <f t="shared" si="137"/>
        <v>1</v>
      </c>
      <c r="H789" s="293"/>
      <c r="I789" s="3093">
        <f t="shared" si="138"/>
        <v>1</v>
      </c>
      <c r="J789" s="293"/>
      <c r="K789" s="3093">
        <f t="shared" si="139"/>
        <v>1</v>
      </c>
      <c r="L789" s="293"/>
      <c r="M789" s="3093">
        <f t="shared" si="140"/>
        <v>1</v>
      </c>
      <c r="N789" s="293"/>
      <c r="O789" s="3093">
        <f t="shared" si="141"/>
        <v>1</v>
      </c>
      <c r="P789" s="291" t="s">
        <v>3022</v>
      </c>
      <c r="Q789" s="3093">
        <f t="shared" si="142"/>
        <v>1</v>
      </c>
      <c r="R789" s="3093">
        <f t="shared" si="143"/>
        <v>27888</v>
      </c>
      <c r="S789" s="1651">
        <f t="shared" si="144"/>
        <v>144</v>
      </c>
    </row>
    <row r="790" spans="1:19">
      <c r="A790" s="1061" t="str">
        <f>清单!D913</f>
        <v>C-8-2-1204</v>
      </c>
      <c r="B790" s="1061">
        <f>清单!F913</f>
        <v>51.66</v>
      </c>
      <c r="C790" s="3093">
        <f t="shared" si="135"/>
        <v>1</v>
      </c>
      <c r="D790" s="293"/>
      <c r="E790" s="3093">
        <f t="shared" si="136"/>
        <v>1</v>
      </c>
      <c r="F790" s="293"/>
      <c r="G790" s="3093">
        <f t="shared" si="137"/>
        <v>1</v>
      </c>
      <c r="H790" s="293"/>
      <c r="I790" s="3093">
        <f t="shared" si="138"/>
        <v>1</v>
      </c>
      <c r="J790" s="293"/>
      <c r="K790" s="3093">
        <f t="shared" si="139"/>
        <v>1</v>
      </c>
      <c r="L790" s="293"/>
      <c r="M790" s="3093">
        <f t="shared" si="140"/>
        <v>1</v>
      </c>
      <c r="N790" s="293"/>
      <c r="O790" s="3093">
        <f t="shared" si="141"/>
        <v>1</v>
      </c>
      <c r="P790" s="291" t="s">
        <v>3020</v>
      </c>
      <c r="Q790" s="3093">
        <f t="shared" si="142"/>
        <v>1.03</v>
      </c>
      <c r="R790" s="3093">
        <f t="shared" si="143"/>
        <v>28725</v>
      </c>
      <c r="S790" s="1651">
        <f t="shared" si="144"/>
        <v>148</v>
      </c>
    </row>
    <row r="791" spans="1:19">
      <c r="A791" s="1061" t="str">
        <f>清单!D896</f>
        <v>C-8-1-902</v>
      </c>
      <c r="B791" s="1061">
        <f>清单!F896</f>
        <v>52.23</v>
      </c>
      <c r="C791" s="3093">
        <f t="shared" si="135"/>
        <v>1</v>
      </c>
      <c r="D791" s="293"/>
      <c r="E791" s="3093">
        <f t="shared" si="136"/>
        <v>1</v>
      </c>
      <c r="F791" s="293"/>
      <c r="G791" s="3093">
        <f t="shared" si="137"/>
        <v>1</v>
      </c>
      <c r="H791" s="293"/>
      <c r="I791" s="3093">
        <f t="shared" si="138"/>
        <v>1</v>
      </c>
      <c r="J791" s="293"/>
      <c r="K791" s="3093">
        <f t="shared" si="139"/>
        <v>1</v>
      </c>
      <c r="L791" s="293"/>
      <c r="M791" s="3093">
        <f t="shared" si="140"/>
        <v>1</v>
      </c>
      <c r="N791" s="293"/>
      <c r="O791" s="3093">
        <f t="shared" si="141"/>
        <v>1</v>
      </c>
      <c r="P791" s="291" t="s">
        <v>3022</v>
      </c>
      <c r="Q791" s="3093">
        <f t="shared" si="142"/>
        <v>1</v>
      </c>
      <c r="R791" s="3093">
        <f t="shared" si="143"/>
        <v>27888</v>
      </c>
      <c r="S791" s="1651">
        <f t="shared" si="144"/>
        <v>146</v>
      </c>
    </row>
    <row r="792" spans="1:19">
      <c r="A792" s="1061" t="str">
        <f>清单!D915</f>
        <v>C-8-2-1302</v>
      </c>
      <c r="B792" s="1061">
        <f>清单!F915</f>
        <v>52.23</v>
      </c>
      <c r="C792" s="3093">
        <f t="shared" si="135"/>
        <v>1</v>
      </c>
      <c r="D792" s="293"/>
      <c r="E792" s="3093">
        <f t="shared" si="136"/>
        <v>1</v>
      </c>
      <c r="F792" s="293"/>
      <c r="G792" s="3093">
        <f t="shared" si="137"/>
        <v>1</v>
      </c>
      <c r="H792" s="293"/>
      <c r="I792" s="3093">
        <f t="shared" si="138"/>
        <v>1</v>
      </c>
      <c r="J792" s="293"/>
      <c r="K792" s="3093">
        <f t="shared" si="139"/>
        <v>1</v>
      </c>
      <c r="L792" s="293"/>
      <c r="M792" s="3093">
        <f t="shared" si="140"/>
        <v>1</v>
      </c>
      <c r="N792" s="293"/>
      <c r="O792" s="3093">
        <f t="shared" si="141"/>
        <v>1</v>
      </c>
      <c r="P792" s="291" t="s">
        <v>3020</v>
      </c>
      <c r="Q792" s="3093">
        <f t="shared" si="142"/>
        <v>1.03</v>
      </c>
      <c r="R792" s="3093">
        <f t="shared" si="143"/>
        <v>28725</v>
      </c>
      <c r="S792" s="1651">
        <f t="shared" si="144"/>
        <v>150</v>
      </c>
    </row>
    <row r="793" spans="1:19">
      <c r="A793" s="1061" t="str">
        <f>清单!D916</f>
        <v>C-8-2-1303</v>
      </c>
      <c r="B793" s="1061">
        <f>清单!F916</f>
        <v>52.23</v>
      </c>
      <c r="C793" s="3093">
        <f t="shared" si="135"/>
        <v>1</v>
      </c>
      <c r="D793" s="293"/>
      <c r="E793" s="3093">
        <f t="shared" si="136"/>
        <v>1</v>
      </c>
      <c r="F793" s="293"/>
      <c r="G793" s="3093">
        <f t="shared" si="137"/>
        <v>1</v>
      </c>
      <c r="H793" s="293"/>
      <c r="I793" s="3093">
        <f t="shared" si="138"/>
        <v>1</v>
      </c>
      <c r="J793" s="293"/>
      <c r="K793" s="3093">
        <f t="shared" si="139"/>
        <v>1</v>
      </c>
      <c r="L793" s="293"/>
      <c r="M793" s="3093">
        <f t="shared" si="140"/>
        <v>1</v>
      </c>
      <c r="N793" s="293"/>
      <c r="O793" s="3093">
        <f t="shared" si="141"/>
        <v>1</v>
      </c>
      <c r="P793" s="291" t="s">
        <v>3020</v>
      </c>
      <c r="Q793" s="3093">
        <f t="shared" si="142"/>
        <v>1.03</v>
      </c>
      <c r="R793" s="3093">
        <f t="shared" si="143"/>
        <v>28725</v>
      </c>
      <c r="S793" s="1651">
        <f t="shared" si="144"/>
        <v>150</v>
      </c>
    </row>
    <row r="794" spans="1:19">
      <c r="A794" s="1061" t="str">
        <f>清单!D899</f>
        <v>C-8-2-1001</v>
      </c>
      <c r="B794" s="1061">
        <f>清单!F899</f>
        <v>51.48</v>
      </c>
      <c r="C794" s="3093">
        <f t="shared" si="135"/>
        <v>1</v>
      </c>
      <c r="D794" s="293"/>
      <c r="E794" s="3093">
        <f t="shared" si="136"/>
        <v>1</v>
      </c>
      <c r="F794" s="293"/>
      <c r="G794" s="3093">
        <f t="shared" si="137"/>
        <v>1</v>
      </c>
      <c r="H794" s="293"/>
      <c r="I794" s="3093">
        <f t="shared" si="138"/>
        <v>1</v>
      </c>
      <c r="J794" s="293"/>
      <c r="K794" s="3093">
        <f t="shared" si="139"/>
        <v>1</v>
      </c>
      <c r="L794" s="293"/>
      <c r="M794" s="3093">
        <f t="shared" si="140"/>
        <v>1</v>
      </c>
      <c r="N794" s="293"/>
      <c r="O794" s="3093">
        <f t="shared" si="141"/>
        <v>1</v>
      </c>
      <c r="P794" s="291" t="s">
        <v>3022</v>
      </c>
      <c r="Q794" s="3093">
        <f t="shared" si="142"/>
        <v>1</v>
      </c>
      <c r="R794" s="3093">
        <f t="shared" si="143"/>
        <v>27888</v>
      </c>
      <c r="S794" s="1651">
        <f t="shared" si="144"/>
        <v>144</v>
      </c>
    </row>
    <row r="795" spans="1:19">
      <c r="A795" s="1061" t="str">
        <f>清单!D900</f>
        <v>C-8-2-1002</v>
      </c>
      <c r="B795" s="1061">
        <f>清单!F900</f>
        <v>52.23</v>
      </c>
      <c r="C795" s="3093">
        <f t="shared" si="135"/>
        <v>1</v>
      </c>
      <c r="D795" s="293"/>
      <c r="E795" s="3093">
        <f t="shared" si="136"/>
        <v>1</v>
      </c>
      <c r="F795" s="293"/>
      <c r="G795" s="3093">
        <f t="shared" si="137"/>
        <v>1</v>
      </c>
      <c r="H795" s="293"/>
      <c r="I795" s="3093">
        <f t="shared" si="138"/>
        <v>1</v>
      </c>
      <c r="J795" s="293"/>
      <c r="K795" s="3093">
        <f t="shared" si="139"/>
        <v>1</v>
      </c>
      <c r="L795" s="293"/>
      <c r="M795" s="3093">
        <f t="shared" si="140"/>
        <v>1</v>
      </c>
      <c r="N795" s="293"/>
      <c r="O795" s="3093">
        <f t="shared" si="141"/>
        <v>1</v>
      </c>
      <c r="P795" s="291" t="s">
        <v>3022</v>
      </c>
      <c r="Q795" s="3093">
        <f t="shared" si="142"/>
        <v>1</v>
      </c>
      <c r="R795" s="3093">
        <f t="shared" si="143"/>
        <v>27888</v>
      </c>
      <c r="S795" s="1651">
        <f t="shared" si="144"/>
        <v>146</v>
      </c>
    </row>
    <row r="796" spans="1:19">
      <c r="A796" s="1061" t="str">
        <f>清单!D919</f>
        <v>C-8-2-1402</v>
      </c>
      <c r="B796" s="1061">
        <f>清单!F919</f>
        <v>52.23</v>
      </c>
      <c r="C796" s="3093">
        <f t="shared" si="135"/>
        <v>1</v>
      </c>
      <c r="D796" s="293"/>
      <c r="E796" s="3093">
        <f t="shared" si="136"/>
        <v>1</v>
      </c>
      <c r="F796" s="293"/>
      <c r="G796" s="3093">
        <f t="shared" si="137"/>
        <v>1</v>
      </c>
      <c r="H796" s="293"/>
      <c r="I796" s="3093">
        <f t="shared" si="138"/>
        <v>1</v>
      </c>
      <c r="J796" s="293"/>
      <c r="K796" s="3093">
        <f t="shared" si="139"/>
        <v>1</v>
      </c>
      <c r="L796" s="293"/>
      <c r="M796" s="3093">
        <f t="shared" si="140"/>
        <v>1</v>
      </c>
      <c r="N796" s="293"/>
      <c r="O796" s="3093">
        <f t="shared" si="141"/>
        <v>1</v>
      </c>
      <c r="P796" s="291" t="s">
        <v>3020</v>
      </c>
      <c r="Q796" s="3093">
        <f t="shared" si="142"/>
        <v>1.03</v>
      </c>
      <c r="R796" s="3093">
        <f t="shared" si="143"/>
        <v>28725</v>
      </c>
      <c r="S796" s="1651">
        <f t="shared" si="144"/>
        <v>150</v>
      </c>
    </row>
    <row r="797" spans="1:19">
      <c r="A797" s="1061" t="str">
        <f>清单!D920</f>
        <v>C-8-2-1403</v>
      </c>
      <c r="B797" s="1061">
        <f>清单!F920</f>
        <v>52.23</v>
      </c>
      <c r="C797" s="3093">
        <f t="shared" si="135"/>
        <v>1</v>
      </c>
      <c r="D797" s="293"/>
      <c r="E797" s="3093">
        <f t="shared" si="136"/>
        <v>1</v>
      </c>
      <c r="F797" s="293"/>
      <c r="G797" s="3093">
        <f t="shared" si="137"/>
        <v>1</v>
      </c>
      <c r="H797" s="293"/>
      <c r="I797" s="3093">
        <f t="shared" si="138"/>
        <v>1</v>
      </c>
      <c r="J797" s="293"/>
      <c r="K797" s="3093">
        <f t="shared" si="139"/>
        <v>1</v>
      </c>
      <c r="L797" s="293"/>
      <c r="M797" s="3093">
        <f t="shared" si="140"/>
        <v>1</v>
      </c>
      <c r="N797" s="293"/>
      <c r="O797" s="3093">
        <f t="shared" si="141"/>
        <v>1</v>
      </c>
      <c r="P797" s="291" t="s">
        <v>3020</v>
      </c>
      <c r="Q797" s="3093">
        <f t="shared" si="142"/>
        <v>1.03</v>
      </c>
      <c r="R797" s="3093">
        <f t="shared" si="143"/>
        <v>28725</v>
      </c>
      <c r="S797" s="1651">
        <f t="shared" si="144"/>
        <v>150</v>
      </c>
    </row>
    <row r="798" spans="1:19">
      <c r="A798" s="1061" t="str">
        <f>清单!D903</f>
        <v>C-8-2-101</v>
      </c>
      <c r="B798" s="1061">
        <f>清单!F903</f>
        <v>51.48</v>
      </c>
      <c r="C798" s="3093">
        <f t="shared" si="135"/>
        <v>1</v>
      </c>
      <c r="D798" s="293"/>
      <c r="E798" s="3093">
        <f t="shared" si="136"/>
        <v>1</v>
      </c>
      <c r="F798" s="293"/>
      <c r="G798" s="3093">
        <f t="shared" si="137"/>
        <v>1</v>
      </c>
      <c r="H798" s="293"/>
      <c r="I798" s="3093">
        <f t="shared" si="138"/>
        <v>1</v>
      </c>
      <c r="J798" s="293"/>
      <c r="K798" s="3093">
        <f t="shared" si="139"/>
        <v>1</v>
      </c>
      <c r="L798" s="293"/>
      <c r="M798" s="3093">
        <f t="shared" si="140"/>
        <v>1</v>
      </c>
      <c r="N798" s="293"/>
      <c r="O798" s="3093">
        <f t="shared" si="141"/>
        <v>1</v>
      </c>
      <c r="P798" s="291" t="s">
        <v>3024</v>
      </c>
      <c r="Q798" s="3093">
        <f t="shared" si="142"/>
        <v>0.97</v>
      </c>
      <c r="R798" s="3093">
        <f t="shared" si="143"/>
        <v>27051</v>
      </c>
      <c r="S798" s="1651">
        <f t="shared" si="144"/>
        <v>139</v>
      </c>
    </row>
    <row r="799" spans="1:19">
      <c r="A799" s="1061" t="str">
        <f>清单!D904</f>
        <v>C-8-2-102</v>
      </c>
      <c r="B799" s="1061">
        <f>清单!F904</f>
        <v>52.12</v>
      </c>
      <c r="C799" s="3093">
        <f t="shared" si="135"/>
        <v>1</v>
      </c>
      <c r="D799" s="293"/>
      <c r="E799" s="3093">
        <f t="shared" si="136"/>
        <v>1</v>
      </c>
      <c r="F799" s="293"/>
      <c r="G799" s="3093">
        <f t="shared" si="137"/>
        <v>1</v>
      </c>
      <c r="H799" s="293"/>
      <c r="I799" s="3093">
        <f t="shared" si="138"/>
        <v>1</v>
      </c>
      <c r="J799" s="293"/>
      <c r="K799" s="3093">
        <f t="shared" si="139"/>
        <v>1</v>
      </c>
      <c r="L799" s="293"/>
      <c r="M799" s="3093">
        <f t="shared" si="140"/>
        <v>1</v>
      </c>
      <c r="N799" s="293"/>
      <c r="O799" s="3093">
        <f t="shared" si="141"/>
        <v>1</v>
      </c>
      <c r="P799" s="291" t="s">
        <v>3024</v>
      </c>
      <c r="Q799" s="3093">
        <f t="shared" si="142"/>
        <v>0.97</v>
      </c>
      <c r="R799" s="3093">
        <f t="shared" si="143"/>
        <v>27051</v>
      </c>
      <c r="S799" s="1651">
        <f t="shared" si="144"/>
        <v>141</v>
      </c>
    </row>
    <row r="800" spans="1:19">
      <c r="A800" s="1061" t="str">
        <f>清单!D923</f>
        <v>C-8-2-1502</v>
      </c>
      <c r="B800" s="1061">
        <f>清单!F923</f>
        <v>52.23</v>
      </c>
      <c r="C800" s="3093">
        <f t="shared" si="135"/>
        <v>1</v>
      </c>
      <c r="D800" s="293"/>
      <c r="E800" s="3093">
        <f t="shared" si="136"/>
        <v>1</v>
      </c>
      <c r="F800" s="293"/>
      <c r="G800" s="3093">
        <f t="shared" si="137"/>
        <v>1</v>
      </c>
      <c r="H800" s="293"/>
      <c r="I800" s="3093">
        <f t="shared" si="138"/>
        <v>1</v>
      </c>
      <c r="J800" s="293"/>
      <c r="K800" s="3093">
        <f t="shared" si="139"/>
        <v>1</v>
      </c>
      <c r="L800" s="293"/>
      <c r="M800" s="3093">
        <f t="shared" si="140"/>
        <v>1</v>
      </c>
      <c r="N800" s="293"/>
      <c r="O800" s="3093">
        <f t="shared" si="141"/>
        <v>1</v>
      </c>
      <c r="P800" s="291" t="s">
        <v>3020</v>
      </c>
      <c r="Q800" s="3093">
        <f t="shared" si="142"/>
        <v>1.03</v>
      </c>
      <c r="R800" s="3093">
        <f t="shared" si="143"/>
        <v>28725</v>
      </c>
      <c r="S800" s="1651">
        <f t="shared" si="144"/>
        <v>150</v>
      </c>
    </row>
    <row r="801" spans="1:19">
      <c r="A801" s="1061" t="str">
        <f>清单!D924</f>
        <v>C-8-2-1503</v>
      </c>
      <c r="B801" s="1061">
        <f>清单!F924</f>
        <v>52.23</v>
      </c>
      <c r="C801" s="3093">
        <f t="shared" si="135"/>
        <v>1</v>
      </c>
      <c r="D801" s="293"/>
      <c r="E801" s="3093">
        <f t="shared" si="136"/>
        <v>1</v>
      </c>
      <c r="F801" s="293"/>
      <c r="G801" s="3093">
        <f t="shared" si="137"/>
        <v>1</v>
      </c>
      <c r="H801" s="293"/>
      <c r="I801" s="3093">
        <f t="shared" si="138"/>
        <v>1</v>
      </c>
      <c r="J801" s="293"/>
      <c r="K801" s="3093">
        <f t="shared" si="139"/>
        <v>1</v>
      </c>
      <c r="L801" s="293"/>
      <c r="M801" s="3093">
        <f t="shared" si="140"/>
        <v>1</v>
      </c>
      <c r="N801" s="293"/>
      <c r="O801" s="3093">
        <f t="shared" si="141"/>
        <v>1</v>
      </c>
      <c r="P801" s="291" t="s">
        <v>3020</v>
      </c>
      <c r="Q801" s="3093">
        <f t="shared" si="142"/>
        <v>1.03</v>
      </c>
      <c r="R801" s="3093">
        <f t="shared" si="143"/>
        <v>28725</v>
      </c>
      <c r="S801" s="1651">
        <f t="shared" si="144"/>
        <v>150</v>
      </c>
    </row>
    <row r="802" spans="1:19">
      <c r="A802" s="1061" t="str">
        <f>清单!D907</f>
        <v>C-8-2-1102</v>
      </c>
      <c r="B802" s="1061">
        <f>清单!F907</f>
        <v>52.23</v>
      </c>
      <c r="C802" s="3093">
        <f t="shared" si="135"/>
        <v>1</v>
      </c>
      <c r="D802" s="293"/>
      <c r="E802" s="3093">
        <f t="shared" si="136"/>
        <v>1</v>
      </c>
      <c r="F802" s="293"/>
      <c r="G802" s="3093">
        <f t="shared" si="137"/>
        <v>1</v>
      </c>
      <c r="H802" s="293"/>
      <c r="I802" s="3093">
        <f t="shared" si="138"/>
        <v>1</v>
      </c>
      <c r="J802" s="293"/>
      <c r="K802" s="3093">
        <f t="shared" si="139"/>
        <v>1</v>
      </c>
      <c r="L802" s="293"/>
      <c r="M802" s="3093">
        <f t="shared" si="140"/>
        <v>1</v>
      </c>
      <c r="N802" s="293"/>
      <c r="O802" s="3093">
        <f t="shared" si="141"/>
        <v>1</v>
      </c>
      <c r="P802" s="291" t="s">
        <v>3020</v>
      </c>
      <c r="Q802" s="3093">
        <f t="shared" si="142"/>
        <v>1.03</v>
      </c>
      <c r="R802" s="3093">
        <f t="shared" si="143"/>
        <v>28725</v>
      </c>
      <c r="S802" s="1651">
        <f t="shared" si="144"/>
        <v>150</v>
      </c>
    </row>
    <row r="803" spans="1:19">
      <c r="A803" s="1061" t="str">
        <f>清单!D908</f>
        <v>C-8-2-1103</v>
      </c>
      <c r="B803" s="1061">
        <f>清单!F908</f>
        <v>52.23</v>
      </c>
      <c r="C803" s="3093">
        <f t="shared" si="135"/>
        <v>1</v>
      </c>
      <c r="D803" s="293"/>
      <c r="E803" s="3093">
        <f t="shared" si="136"/>
        <v>1</v>
      </c>
      <c r="F803" s="293"/>
      <c r="G803" s="3093">
        <f t="shared" si="137"/>
        <v>1</v>
      </c>
      <c r="H803" s="293"/>
      <c r="I803" s="3093">
        <f t="shared" si="138"/>
        <v>1</v>
      </c>
      <c r="J803" s="293"/>
      <c r="K803" s="3093">
        <f t="shared" si="139"/>
        <v>1</v>
      </c>
      <c r="L803" s="293"/>
      <c r="M803" s="3093">
        <f t="shared" si="140"/>
        <v>1</v>
      </c>
      <c r="N803" s="293"/>
      <c r="O803" s="3093">
        <f t="shared" si="141"/>
        <v>1</v>
      </c>
      <c r="P803" s="291" t="s">
        <v>3020</v>
      </c>
      <c r="Q803" s="3093">
        <f t="shared" si="142"/>
        <v>1.03</v>
      </c>
      <c r="R803" s="3093">
        <f t="shared" si="143"/>
        <v>28725</v>
      </c>
      <c r="S803" s="1651">
        <f t="shared" si="144"/>
        <v>150</v>
      </c>
    </row>
    <row r="804" spans="1:19">
      <c r="A804" s="1061" t="str">
        <f>清单!D927</f>
        <v>C-8-2-202</v>
      </c>
      <c r="B804" s="1061">
        <f>清单!F927</f>
        <v>52.23</v>
      </c>
      <c r="C804" s="3093">
        <f t="shared" si="135"/>
        <v>1</v>
      </c>
      <c r="D804" s="293"/>
      <c r="E804" s="3093">
        <f t="shared" si="136"/>
        <v>1</v>
      </c>
      <c r="F804" s="293"/>
      <c r="G804" s="3093">
        <f t="shared" si="137"/>
        <v>1</v>
      </c>
      <c r="H804" s="293"/>
      <c r="I804" s="3093">
        <f t="shared" si="138"/>
        <v>1</v>
      </c>
      <c r="J804" s="293"/>
      <c r="K804" s="3093">
        <f t="shared" si="139"/>
        <v>1</v>
      </c>
      <c r="L804" s="293"/>
      <c r="M804" s="3093">
        <f t="shared" si="140"/>
        <v>1</v>
      </c>
      <c r="N804" s="293"/>
      <c r="O804" s="3093">
        <f t="shared" si="141"/>
        <v>1</v>
      </c>
      <c r="P804" s="291" t="s">
        <v>3024</v>
      </c>
      <c r="Q804" s="3093">
        <f t="shared" si="142"/>
        <v>0.97</v>
      </c>
      <c r="R804" s="3093">
        <f t="shared" si="143"/>
        <v>27051</v>
      </c>
      <c r="S804" s="1651">
        <f t="shared" si="144"/>
        <v>141</v>
      </c>
    </row>
    <row r="805" spans="1:19">
      <c r="A805" s="1061" t="str">
        <f>清单!D928</f>
        <v>C-8-2-203</v>
      </c>
      <c r="B805" s="1061">
        <f>清单!F928</f>
        <v>52.23</v>
      </c>
      <c r="C805" s="3093">
        <f t="shared" si="135"/>
        <v>1</v>
      </c>
      <c r="D805" s="293"/>
      <c r="E805" s="3093">
        <f t="shared" si="136"/>
        <v>1</v>
      </c>
      <c r="F805" s="293"/>
      <c r="G805" s="3093">
        <f t="shared" si="137"/>
        <v>1</v>
      </c>
      <c r="H805" s="293"/>
      <c r="I805" s="3093">
        <f t="shared" si="138"/>
        <v>1</v>
      </c>
      <c r="J805" s="293"/>
      <c r="K805" s="3093">
        <f t="shared" si="139"/>
        <v>1</v>
      </c>
      <c r="L805" s="293"/>
      <c r="M805" s="3093">
        <f t="shared" si="140"/>
        <v>1</v>
      </c>
      <c r="N805" s="293"/>
      <c r="O805" s="3093">
        <f t="shared" si="141"/>
        <v>1</v>
      </c>
      <c r="P805" s="291" t="s">
        <v>3024</v>
      </c>
      <c r="Q805" s="3093">
        <f t="shared" si="142"/>
        <v>0.97</v>
      </c>
      <c r="R805" s="3093">
        <f t="shared" si="143"/>
        <v>27051</v>
      </c>
      <c r="S805" s="1651">
        <f t="shared" si="144"/>
        <v>141</v>
      </c>
    </row>
    <row r="806" spans="1:19">
      <c r="A806" s="1061" t="str">
        <f>清单!D911</f>
        <v>C-8-2-1202</v>
      </c>
      <c r="B806" s="1061">
        <f>清单!F911</f>
        <v>52.23</v>
      </c>
      <c r="C806" s="3093">
        <f t="shared" si="135"/>
        <v>1</v>
      </c>
      <c r="D806" s="293"/>
      <c r="E806" s="3093">
        <f t="shared" si="136"/>
        <v>1</v>
      </c>
      <c r="F806" s="293"/>
      <c r="G806" s="3093">
        <f t="shared" si="137"/>
        <v>1</v>
      </c>
      <c r="H806" s="293"/>
      <c r="I806" s="3093">
        <f t="shared" si="138"/>
        <v>1</v>
      </c>
      <c r="J806" s="293"/>
      <c r="K806" s="3093">
        <f t="shared" si="139"/>
        <v>1</v>
      </c>
      <c r="L806" s="293"/>
      <c r="M806" s="3093">
        <f t="shared" si="140"/>
        <v>1</v>
      </c>
      <c r="N806" s="293"/>
      <c r="O806" s="3093">
        <f t="shared" si="141"/>
        <v>1</v>
      </c>
      <c r="P806" s="291" t="s">
        <v>3020</v>
      </c>
      <c r="Q806" s="3093">
        <f t="shared" si="142"/>
        <v>1.03</v>
      </c>
      <c r="R806" s="3093">
        <f t="shared" si="143"/>
        <v>28725</v>
      </c>
      <c r="S806" s="1651">
        <f t="shared" si="144"/>
        <v>150</v>
      </c>
    </row>
    <row r="807" spans="1:19">
      <c r="A807" s="1061" t="str">
        <f>清单!D912</f>
        <v>C-8-2-1203</v>
      </c>
      <c r="B807" s="1061">
        <f>清单!F912</f>
        <v>52.23</v>
      </c>
      <c r="C807" s="3093">
        <f t="shared" si="135"/>
        <v>1</v>
      </c>
      <c r="D807" s="293"/>
      <c r="E807" s="3093">
        <f t="shared" si="136"/>
        <v>1</v>
      </c>
      <c r="F807" s="293"/>
      <c r="G807" s="3093">
        <f t="shared" si="137"/>
        <v>1</v>
      </c>
      <c r="H807" s="293"/>
      <c r="I807" s="3093">
        <f t="shared" si="138"/>
        <v>1</v>
      </c>
      <c r="J807" s="293"/>
      <c r="K807" s="3093">
        <f t="shared" si="139"/>
        <v>1</v>
      </c>
      <c r="L807" s="293"/>
      <c r="M807" s="3093">
        <f t="shared" si="140"/>
        <v>1</v>
      </c>
      <c r="N807" s="293"/>
      <c r="O807" s="3093">
        <f t="shared" si="141"/>
        <v>1</v>
      </c>
      <c r="P807" s="291" t="s">
        <v>3020</v>
      </c>
      <c r="Q807" s="3093">
        <f t="shared" si="142"/>
        <v>1.03</v>
      </c>
      <c r="R807" s="3093">
        <f t="shared" si="143"/>
        <v>28725</v>
      </c>
      <c r="S807" s="1651">
        <f t="shared" si="144"/>
        <v>150</v>
      </c>
    </row>
    <row r="808" spans="1:19">
      <c r="A808" s="1061" t="str">
        <f>清单!D931</f>
        <v>C-8-2-302</v>
      </c>
      <c r="B808" s="1061">
        <f>清单!F931</f>
        <v>52.23</v>
      </c>
      <c r="C808" s="3093">
        <f t="shared" si="135"/>
        <v>1</v>
      </c>
      <c r="D808" s="293"/>
      <c r="E808" s="3093">
        <f t="shared" si="136"/>
        <v>1</v>
      </c>
      <c r="F808" s="293"/>
      <c r="G808" s="3093">
        <f t="shared" si="137"/>
        <v>1</v>
      </c>
      <c r="H808" s="293"/>
      <c r="I808" s="3093">
        <f t="shared" si="138"/>
        <v>1</v>
      </c>
      <c r="J808" s="293"/>
      <c r="K808" s="3093">
        <f t="shared" si="139"/>
        <v>1</v>
      </c>
      <c r="L808" s="293"/>
      <c r="M808" s="3093">
        <f t="shared" si="140"/>
        <v>1</v>
      </c>
      <c r="N808" s="293"/>
      <c r="O808" s="3093">
        <f t="shared" si="141"/>
        <v>1</v>
      </c>
      <c r="P808" s="291" t="s">
        <v>3024</v>
      </c>
      <c r="Q808" s="3093">
        <f t="shared" si="142"/>
        <v>0.97</v>
      </c>
      <c r="R808" s="3093">
        <f t="shared" si="143"/>
        <v>27051</v>
      </c>
      <c r="S808" s="1651">
        <f t="shared" si="144"/>
        <v>141</v>
      </c>
    </row>
    <row r="809" spans="1:19">
      <c r="A809" s="1061" t="str">
        <f>清单!D932</f>
        <v>C-8-2-303</v>
      </c>
      <c r="B809" s="1061">
        <f>清单!F932</f>
        <v>52.23</v>
      </c>
      <c r="C809" s="3093">
        <f t="shared" si="135"/>
        <v>1</v>
      </c>
      <c r="D809" s="293"/>
      <c r="E809" s="3093">
        <f t="shared" si="136"/>
        <v>1</v>
      </c>
      <c r="F809" s="293"/>
      <c r="G809" s="3093">
        <f t="shared" si="137"/>
        <v>1</v>
      </c>
      <c r="H809" s="293"/>
      <c r="I809" s="3093">
        <f t="shared" si="138"/>
        <v>1</v>
      </c>
      <c r="J809" s="293"/>
      <c r="K809" s="3093">
        <f t="shared" si="139"/>
        <v>1</v>
      </c>
      <c r="L809" s="293"/>
      <c r="M809" s="3093">
        <f t="shared" si="140"/>
        <v>1</v>
      </c>
      <c r="N809" s="293"/>
      <c r="O809" s="3093">
        <f t="shared" si="141"/>
        <v>1</v>
      </c>
      <c r="P809" s="291" t="s">
        <v>3024</v>
      </c>
      <c r="Q809" s="3093">
        <f t="shared" si="142"/>
        <v>0.97</v>
      </c>
      <c r="R809" s="3093">
        <f t="shared" si="143"/>
        <v>27051</v>
      </c>
      <c r="S809" s="1651">
        <f t="shared" si="144"/>
        <v>141</v>
      </c>
    </row>
    <row r="810" spans="1:19">
      <c r="A810" s="1061" t="str">
        <f>清单!D915</f>
        <v>C-8-2-1302</v>
      </c>
      <c r="B810" s="1061">
        <f>清单!F915</f>
        <v>52.23</v>
      </c>
      <c r="C810" s="3093">
        <f t="shared" si="135"/>
        <v>1</v>
      </c>
      <c r="D810" s="293"/>
      <c r="E810" s="3093">
        <f t="shared" si="136"/>
        <v>1</v>
      </c>
      <c r="F810" s="293"/>
      <c r="G810" s="3093">
        <f t="shared" si="137"/>
        <v>1</v>
      </c>
      <c r="H810" s="293"/>
      <c r="I810" s="3093">
        <f t="shared" si="138"/>
        <v>1</v>
      </c>
      <c r="J810" s="293"/>
      <c r="K810" s="3093">
        <f t="shared" si="139"/>
        <v>1</v>
      </c>
      <c r="L810" s="293"/>
      <c r="M810" s="3093">
        <f t="shared" si="140"/>
        <v>1</v>
      </c>
      <c r="N810" s="293"/>
      <c r="O810" s="3093">
        <f t="shared" si="141"/>
        <v>1</v>
      </c>
      <c r="P810" s="291" t="s">
        <v>3020</v>
      </c>
      <c r="Q810" s="3093">
        <f t="shared" si="142"/>
        <v>1.03</v>
      </c>
      <c r="R810" s="3093">
        <f t="shared" si="143"/>
        <v>28725</v>
      </c>
      <c r="S810" s="1651">
        <f t="shared" si="144"/>
        <v>150</v>
      </c>
    </row>
    <row r="811" spans="1:19">
      <c r="A811" s="1061" t="str">
        <f>清单!D916</f>
        <v>C-8-2-1303</v>
      </c>
      <c r="B811" s="1061">
        <f>清单!F916</f>
        <v>52.23</v>
      </c>
      <c r="C811" s="3093">
        <f t="shared" si="135"/>
        <v>1</v>
      </c>
      <c r="D811" s="293"/>
      <c r="E811" s="3093">
        <f t="shared" si="136"/>
        <v>1</v>
      </c>
      <c r="F811" s="293"/>
      <c r="G811" s="3093">
        <f t="shared" si="137"/>
        <v>1</v>
      </c>
      <c r="H811" s="293"/>
      <c r="I811" s="3093">
        <f t="shared" si="138"/>
        <v>1</v>
      </c>
      <c r="J811" s="293"/>
      <c r="K811" s="3093">
        <f t="shared" si="139"/>
        <v>1</v>
      </c>
      <c r="L811" s="293"/>
      <c r="M811" s="3093">
        <f t="shared" si="140"/>
        <v>1</v>
      </c>
      <c r="N811" s="293"/>
      <c r="O811" s="3093">
        <f t="shared" si="141"/>
        <v>1</v>
      </c>
      <c r="P811" s="291" t="s">
        <v>3020</v>
      </c>
      <c r="Q811" s="3093">
        <f t="shared" si="142"/>
        <v>1.03</v>
      </c>
      <c r="R811" s="3093">
        <f t="shared" si="143"/>
        <v>28725</v>
      </c>
      <c r="S811" s="1651">
        <f t="shared" si="144"/>
        <v>150</v>
      </c>
    </row>
    <row r="812" spans="1:19">
      <c r="A812" s="1061" t="str">
        <f>清单!D935</f>
        <v>C-8-2-402</v>
      </c>
      <c r="B812" s="1061">
        <f>清单!F935</f>
        <v>52.23</v>
      </c>
      <c r="C812" s="3093">
        <f t="shared" si="135"/>
        <v>1</v>
      </c>
      <c r="D812" s="293"/>
      <c r="E812" s="3093">
        <f t="shared" si="136"/>
        <v>1</v>
      </c>
      <c r="F812" s="293"/>
      <c r="G812" s="3093">
        <f t="shared" si="137"/>
        <v>1</v>
      </c>
      <c r="H812" s="293"/>
      <c r="I812" s="3093">
        <f t="shared" si="138"/>
        <v>1</v>
      </c>
      <c r="J812" s="293"/>
      <c r="K812" s="3093">
        <f t="shared" si="139"/>
        <v>1</v>
      </c>
      <c r="L812" s="293"/>
      <c r="M812" s="3093">
        <f t="shared" si="140"/>
        <v>1</v>
      </c>
      <c r="N812" s="293"/>
      <c r="O812" s="3093">
        <f t="shared" si="141"/>
        <v>1</v>
      </c>
      <c r="P812" s="291" t="s">
        <v>3024</v>
      </c>
      <c r="Q812" s="3093">
        <f t="shared" si="142"/>
        <v>0.97</v>
      </c>
      <c r="R812" s="3093">
        <f t="shared" si="143"/>
        <v>27051</v>
      </c>
      <c r="S812" s="1651">
        <f t="shared" si="144"/>
        <v>141</v>
      </c>
    </row>
    <row r="813" spans="1:19">
      <c r="A813" s="1061" t="str">
        <f>清单!D936</f>
        <v>C-8-2-403</v>
      </c>
      <c r="B813" s="1061">
        <f>清单!F936</f>
        <v>52.23</v>
      </c>
      <c r="C813" s="3093">
        <f t="shared" si="135"/>
        <v>1</v>
      </c>
      <c r="D813" s="293"/>
      <c r="E813" s="3093">
        <f t="shared" si="136"/>
        <v>1</v>
      </c>
      <c r="F813" s="293"/>
      <c r="G813" s="3093">
        <f t="shared" si="137"/>
        <v>1</v>
      </c>
      <c r="H813" s="293"/>
      <c r="I813" s="3093">
        <f t="shared" si="138"/>
        <v>1</v>
      </c>
      <c r="J813" s="293"/>
      <c r="K813" s="3093">
        <f t="shared" si="139"/>
        <v>1</v>
      </c>
      <c r="L813" s="293"/>
      <c r="M813" s="3093">
        <f t="shared" si="140"/>
        <v>1</v>
      </c>
      <c r="N813" s="293"/>
      <c r="O813" s="3093">
        <f t="shared" si="141"/>
        <v>1</v>
      </c>
      <c r="P813" s="291" t="s">
        <v>3024</v>
      </c>
      <c r="Q813" s="3093">
        <f t="shared" si="142"/>
        <v>0.97</v>
      </c>
      <c r="R813" s="3093">
        <f t="shared" si="143"/>
        <v>27051</v>
      </c>
      <c r="S813" s="1651">
        <f t="shared" si="144"/>
        <v>141</v>
      </c>
    </row>
    <row r="814" spans="1:19">
      <c r="A814" s="1061" t="str">
        <f>清单!D919</f>
        <v>C-8-2-1402</v>
      </c>
      <c r="B814" s="1061">
        <f>清单!F919</f>
        <v>52.23</v>
      </c>
      <c r="C814" s="3093">
        <f t="shared" si="135"/>
        <v>1</v>
      </c>
      <c r="D814" s="293"/>
      <c r="E814" s="3093">
        <f t="shared" si="136"/>
        <v>1</v>
      </c>
      <c r="F814" s="293"/>
      <c r="G814" s="3093">
        <f t="shared" si="137"/>
        <v>1</v>
      </c>
      <c r="H814" s="293"/>
      <c r="I814" s="3093">
        <f t="shared" si="138"/>
        <v>1</v>
      </c>
      <c r="J814" s="293"/>
      <c r="K814" s="3093">
        <f t="shared" si="139"/>
        <v>1</v>
      </c>
      <c r="L814" s="293"/>
      <c r="M814" s="3093">
        <f t="shared" si="140"/>
        <v>1</v>
      </c>
      <c r="N814" s="293"/>
      <c r="O814" s="3093">
        <f t="shared" si="141"/>
        <v>1</v>
      </c>
      <c r="P814" s="291" t="s">
        <v>3020</v>
      </c>
      <c r="Q814" s="3093">
        <f t="shared" si="142"/>
        <v>1.03</v>
      </c>
      <c r="R814" s="3093">
        <f t="shared" si="143"/>
        <v>28725</v>
      </c>
      <c r="S814" s="1651">
        <f t="shared" si="144"/>
        <v>150</v>
      </c>
    </row>
    <row r="815" spans="1:19">
      <c r="A815" s="1061" t="str">
        <f>清单!D920</f>
        <v>C-8-2-1403</v>
      </c>
      <c r="B815" s="1061">
        <f>清单!F920</f>
        <v>52.23</v>
      </c>
      <c r="C815" s="3093">
        <f t="shared" si="135"/>
        <v>1</v>
      </c>
      <c r="D815" s="293"/>
      <c r="E815" s="3093">
        <f t="shared" si="136"/>
        <v>1</v>
      </c>
      <c r="F815" s="293"/>
      <c r="G815" s="3093">
        <f t="shared" si="137"/>
        <v>1</v>
      </c>
      <c r="H815" s="293"/>
      <c r="I815" s="3093">
        <f t="shared" si="138"/>
        <v>1</v>
      </c>
      <c r="J815" s="293"/>
      <c r="K815" s="3093">
        <f t="shared" si="139"/>
        <v>1</v>
      </c>
      <c r="L815" s="293"/>
      <c r="M815" s="3093">
        <f t="shared" si="140"/>
        <v>1</v>
      </c>
      <c r="N815" s="293"/>
      <c r="O815" s="3093">
        <f t="shared" si="141"/>
        <v>1</v>
      </c>
      <c r="P815" s="291" t="s">
        <v>3020</v>
      </c>
      <c r="Q815" s="3093">
        <f t="shared" si="142"/>
        <v>1.03</v>
      </c>
      <c r="R815" s="3093">
        <f t="shared" si="143"/>
        <v>28725</v>
      </c>
      <c r="S815" s="1651">
        <f t="shared" si="144"/>
        <v>150</v>
      </c>
    </row>
    <row r="816" spans="1:19">
      <c r="A816" s="1061" t="str">
        <f>清单!D939</f>
        <v>C-8-2-502</v>
      </c>
      <c r="B816" s="1061">
        <f>清单!F939</f>
        <v>52.23</v>
      </c>
      <c r="C816" s="3093">
        <f t="shared" si="135"/>
        <v>1</v>
      </c>
      <c r="D816" s="293"/>
      <c r="E816" s="3093">
        <f t="shared" si="136"/>
        <v>1</v>
      </c>
      <c r="F816" s="293"/>
      <c r="G816" s="3093">
        <f t="shared" si="137"/>
        <v>1</v>
      </c>
      <c r="H816" s="293"/>
      <c r="I816" s="3093">
        <f t="shared" si="138"/>
        <v>1</v>
      </c>
      <c r="J816" s="293"/>
      <c r="K816" s="3093">
        <f t="shared" si="139"/>
        <v>1</v>
      </c>
      <c r="L816" s="293"/>
      <c r="M816" s="3093">
        <f t="shared" si="140"/>
        <v>1</v>
      </c>
      <c r="N816" s="293"/>
      <c r="O816" s="3093">
        <f t="shared" si="141"/>
        <v>1</v>
      </c>
      <c r="P816" s="291" t="s">
        <v>3024</v>
      </c>
      <c r="Q816" s="3093">
        <f t="shared" si="142"/>
        <v>0.97</v>
      </c>
      <c r="R816" s="3093">
        <f t="shared" si="143"/>
        <v>27051</v>
      </c>
      <c r="S816" s="1651">
        <f t="shared" si="144"/>
        <v>141</v>
      </c>
    </row>
    <row r="817" spans="1:19">
      <c r="A817" s="1061" t="str">
        <f>清单!D940</f>
        <v>C-8-2-503</v>
      </c>
      <c r="B817" s="1061">
        <f>清单!F940</f>
        <v>52.23</v>
      </c>
      <c r="C817" s="3093">
        <f t="shared" si="135"/>
        <v>1</v>
      </c>
      <c r="D817" s="293"/>
      <c r="E817" s="3093">
        <f t="shared" si="136"/>
        <v>1</v>
      </c>
      <c r="F817" s="293"/>
      <c r="G817" s="3093">
        <f t="shared" si="137"/>
        <v>1</v>
      </c>
      <c r="H817" s="293"/>
      <c r="I817" s="3093">
        <f t="shared" si="138"/>
        <v>1</v>
      </c>
      <c r="J817" s="293"/>
      <c r="K817" s="3093">
        <f t="shared" si="139"/>
        <v>1</v>
      </c>
      <c r="L817" s="293"/>
      <c r="M817" s="3093">
        <f t="shared" si="140"/>
        <v>1</v>
      </c>
      <c r="N817" s="293"/>
      <c r="O817" s="3093">
        <f t="shared" si="141"/>
        <v>1</v>
      </c>
      <c r="P817" s="291" t="s">
        <v>3024</v>
      </c>
      <c r="Q817" s="3093">
        <f t="shared" si="142"/>
        <v>0.97</v>
      </c>
      <c r="R817" s="3093">
        <f t="shared" si="143"/>
        <v>27051</v>
      </c>
      <c r="S817" s="1651">
        <f t="shared" si="144"/>
        <v>141</v>
      </c>
    </row>
    <row r="818" spans="1:19">
      <c r="A818" s="1061" t="str">
        <f>清单!D923</f>
        <v>C-8-2-1502</v>
      </c>
      <c r="B818" s="1061">
        <f>清单!F923</f>
        <v>52.23</v>
      </c>
      <c r="C818" s="3093">
        <f t="shared" si="135"/>
        <v>1</v>
      </c>
      <c r="D818" s="293"/>
      <c r="E818" s="3093">
        <f t="shared" si="136"/>
        <v>1</v>
      </c>
      <c r="F818" s="293"/>
      <c r="G818" s="3093">
        <f t="shared" si="137"/>
        <v>1</v>
      </c>
      <c r="H818" s="293"/>
      <c r="I818" s="3093">
        <f t="shared" si="138"/>
        <v>1</v>
      </c>
      <c r="J818" s="293"/>
      <c r="K818" s="3093">
        <f t="shared" si="139"/>
        <v>1</v>
      </c>
      <c r="L818" s="293"/>
      <c r="M818" s="3093">
        <f t="shared" si="140"/>
        <v>1</v>
      </c>
      <c r="N818" s="293"/>
      <c r="O818" s="3093">
        <f t="shared" si="141"/>
        <v>1</v>
      </c>
      <c r="P818" s="291" t="s">
        <v>3020</v>
      </c>
      <c r="Q818" s="3093">
        <f t="shared" si="142"/>
        <v>1.03</v>
      </c>
      <c r="R818" s="3093">
        <f t="shared" si="143"/>
        <v>28725</v>
      </c>
      <c r="S818" s="1651">
        <f t="shared" si="144"/>
        <v>150</v>
      </c>
    </row>
    <row r="819" spans="1:19">
      <c r="A819" s="1061" t="str">
        <f>清单!D924</f>
        <v>C-8-2-1503</v>
      </c>
      <c r="B819" s="1061">
        <f>清单!F924</f>
        <v>52.23</v>
      </c>
      <c r="C819" s="3093">
        <f t="shared" si="135"/>
        <v>1</v>
      </c>
      <c r="D819" s="293"/>
      <c r="E819" s="3093">
        <f t="shared" si="136"/>
        <v>1</v>
      </c>
      <c r="F819" s="293"/>
      <c r="G819" s="3093">
        <f t="shared" si="137"/>
        <v>1</v>
      </c>
      <c r="H819" s="293"/>
      <c r="I819" s="3093">
        <f t="shared" si="138"/>
        <v>1</v>
      </c>
      <c r="J819" s="293"/>
      <c r="K819" s="3093">
        <f t="shared" si="139"/>
        <v>1</v>
      </c>
      <c r="L819" s="293"/>
      <c r="M819" s="3093">
        <f t="shared" si="140"/>
        <v>1</v>
      </c>
      <c r="N819" s="293"/>
      <c r="O819" s="3093">
        <f t="shared" si="141"/>
        <v>1</v>
      </c>
      <c r="P819" s="291" t="s">
        <v>3020</v>
      </c>
      <c r="Q819" s="3093">
        <f t="shared" si="142"/>
        <v>1.03</v>
      </c>
      <c r="R819" s="3093">
        <f t="shared" si="143"/>
        <v>28725</v>
      </c>
      <c r="S819" s="1651">
        <f t="shared" si="144"/>
        <v>150</v>
      </c>
    </row>
    <row r="820" spans="1:19">
      <c r="A820" s="1061" t="str">
        <f>清单!D943</f>
        <v>C-8-2-602</v>
      </c>
      <c r="B820" s="1061">
        <f>清单!F943</f>
        <v>52.23</v>
      </c>
      <c r="C820" s="3093">
        <f t="shared" si="135"/>
        <v>1</v>
      </c>
      <c r="D820" s="293"/>
      <c r="E820" s="3093">
        <f t="shared" si="136"/>
        <v>1</v>
      </c>
      <c r="F820" s="293"/>
      <c r="G820" s="3093">
        <f t="shared" si="137"/>
        <v>1</v>
      </c>
      <c r="H820" s="293"/>
      <c r="I820" s="3093">
        <f t="shared" si="138"/>
        <v>1</v>
      </c>
      <c r="J820" s="293"/>
      <c r="K820" s="3093">
        <f t="shared" si="139"/>
        <v>1</v>
      </c>
      <c r="L820" s="293"/>
      <c r="M820" s="3093">
        <f t="shared" si="140"/>
        <v>1</v>
      </c>
      <c r="N820" s="293"/>
      <c r="O820" s="3093">
        <f t="shared" si="141"/>
        <v>1</v>
      </c>
      <c r="P820" s="291" t="s">
        <v>3022</v>
      </c>
      <c r="Q820" s="3093">
        <f t="shared" si="142"/>
        <v>1</v>
      </c>
      <c r="R820" s="3093">
        <f t="shared" si="143"/>
        <v>27888</v>
      </c>
      <c r="S820" s="1651">
        <f t="shared" si="144"/>
        <v>146</v>
      </c>
    </row>
    <row r="821" spans="1:19">
      <c r="A821" s="1061" t="str">
        <f>清单!D944</f>
        <v>C-8-2-603</v>
      </c>
      <c r="B821" s="1061">
        <f>清单!F944</f>
        <v>52.23</v>
      </c>
      <c r="C821" s="3093">
        <f t="shared" si="135"/>
        <v>1</v>
      </c>
      <c r="D821" s="293"/>
      <c r="E821" s="3093">
        <f t="shared" si="136"/>
        <v>1</v>
      </c>
      <c r="F821" s="293"/>
      <c r="G821" s="3093">
        <f t="shared" si="137"/>
        <v>1</v>
      </c>
      <c r="H821" s="293"/>
      <c r="I821" s="3093">
        <f t="shared" si="138"/>
        <v>1</v>
      </c>
      <c r="J821" s="293"/>
      <c r="K821" s="3093">
        <f t="shared" si="139"/>
        <v>1</v>
      </c>
      <c r="L821" s="293"/>
      <c r="M821" s="3093">
        <f t="shared" si="140"/>
        <v>1</v>
      </c>
      <c r="N821" s="293"/>
      <c r="O821" s="3093">
        <f t="shared" si="141"/>
        <v>1</v>
      </c>
      <c r="P821" s="291" t="s">
        <v>3022</v>
      </c>
      <c r="Q821" s="3093">
        <f t="shared" si="142"/>
        <v>1</v>
      </c>
      <c r="R821" s="3093">
        <f t="shared" si="143"/>
        <v>27888</v>
      </c>
      <c r="S821" s="1651">
        <f t="shared" si="144"/>
        <v>146</v>
      </c>
    </row>
    <row r="822" spans="1:19">
      <c r="A822" s="1061" t="str">
        <f>清单!D927</f>
        <v>C-8-2-202</v>
      </c>
      <c r="B822" s="1061">
        <f>清单!F927</f>
        <v>52.23</v>
      </c>
      <c r="C822" s="3093">
        <f t="shared" si="135"/>
        <v>1</v>
      </c>
      <c r="D822" s="293"/>
      <c r="E822" s="3093">
        <f t="shared" si="136"/>
        <v>1</v>
      </c>
      <c r="F822" s="293"/>
      <c r="G822" s="3093">
        <f t="shared" si="137"/>
        <v>1</v>
      </c>
      <c r="H822" s="293"/>
      <c r="I822" s="3093">
        <f t="shared" si="138"/>
        <v>1</v>
      </c>
      <c r="J822" s="293"/>
      <c r="K822" s="3093">
        <f t="shared" si="139"/>
        <v>1</v>
      </c>
      <c r="L822" s="293"/>
      <c r="M822" s="3093">
        <f t="shared" si="140"/>
        <v>1</v>
      </c>
      <c r="N822" s="293"/>
      <c r="O822" s="3093">
        <f t="shared" si="141"/>
        <v>1</v>
      </c>
      <c r="P822" s="291" t="s">
        <v>3024</v>
      </c>
      <c r="Q822" s="3093">
        <f t="shared" si="142"/>
        <v>0.97</v>
      </c>
      <c r="R822" s="3093">
        <f t="shared" si="143"/>
        <v>27051</v>
      </c>
      <c r="S822" s="1651">
        <f t="shared" si="144"/>
        <v>141</v>
      </c>
    </row>
    <row r="823" spans="1:19">
      <c r="A823" s="1061" t="str">
        <f>清单!D928</f>
        <v>C-8-2-203</v>
      </c>
      <c r="B823" s="1061">
        <f>清单!F928</f>
        <v>52.23</v>
      </c>
      <c r="C823" s="3093">
        <f t="shared" si="135"/>
        <v>1</v>
      </c>
      <c r="D823" s="293"/>
      <c r="E823" s="3093">
        <f t="shared" si="136"/>
        <v>1</v>
      </c>
      <c r="F823" s="293"/>
      <c r="G823" s="3093">
        <f t="shared" si="137"/>
        <v>1</v>
      </c>
      <c r="H823" s="293"/>
      <c r="I823" s="3093">
        <f t="shared" si="138"/>
        <v>1</v>
      </c>
      <c r="J823" s="293"/>
      <c r="K823" s="3093">
        <f t="shared" si="139"/>
        <v>1</v>
      </c>
      <c r="L823" s="293"/>
      <c r="M823" s="3093">
        <f t="shared" si="140"/>
        <v>1</v>
      </c>
      <c r="N823" s="293"/>
      <c r="O823" s="3093">
        <f t="shared" si="141"/>
        <v>1</v>
      </c>
      <c r="P823" s="291" t="s">
        <v>3024</v>
      </c>
      <c r="Q823" s="3093">
        <f t="shared" si="142"/>
        <v>0.97</v>
      </c>
      <c r="R823" s="3093">
        <f t="shared" si="143"/>
        <v>27051</v>
      </c>
      <c r="S823" s="1651">
        <f t="shared" si="144"/>
        <v>141</v>
      </c>
    </row>
    <row r="824" spans="1:19">
      <c r="A824" s="1061" t="str">
        <f>清单!D947</f>
        <v>C-8-2-702</v>
      </c>
      <c r="B824" s="1061">
        <f>清单!F947</f>
        <v>52.23</v>
      </c>
      <c r="C824" s="3093">
        <f t="shared" si="135"/>
        <v>1</v>
      </c>
      <c r="D824" s="293"/>
      <c r="E824" s="3093">
        <f t="shared" si="136"/>
        <v>1</v>
      </c>
      <c r="F824" s="293"/>
      <c r="G824" s="3093">
        <f t="shared" si="137"/>
        <v>1</v>
      </c>
      <c r="H824" s="293"/>
      <c r="I824" s="3093">
        <f t="shared" si="138"/>
        <v>1</v>
      </c>
      <c r="J824" s="293"/>
      <c r="K824" s="3093">
        <f t="shared" si="139"/>
        <v>1</v>
      </c>
      <c r="L824" s="293"/>
      <c r="M824" s="3093">
        <f t="shared" si="140"/>
        <v>1</v>
      </c>
      <c r="N824" s="293"/>
      <c r="O824" s="3093">
        <f t="shared" si="141"/>
        <v>1</v>
      </c>
      <c r="P824" s="291" t="s">
        <v>3022</v>
      </c>
      <c r="Q824" s="3093">
        <f t="shared" si="142"/>
        <v>1</v>
      </c>
      <c r="R824" s="3093">
        <f t="shared" si="143"/>
        <v>27888</v>
      </c>
      <c r="S824" s="1651">
        <f t="shared" si="144"/>
        <v>146</v>
      </c>
    </row>
    <row r="825" spans="1:19">
      <c r="A825" s="1061" t="str">
        <f>清单!D948</f>
        <v>C-8-2-703</v>
      </c>
      <c r="B825" s="1061">
        <f>清单!F948</f>
        <v>52.23</v>
      </c>
      <c r="C825" s="3093">
        <f t="shared" si="135"/>
        <v>1</v>
      </c>
      <c r="D825" s="293"/>
      <c r="E825" s="3093">
        <f t="shared" si="136"/>
        <v>1</v>
      </c>
      <c r="F825" s="293"/>
      <c r="G825" s="3093">
        <f t="shared" si="137"/>
        <v>1</v>
      </c>
      <c r="H825" s="293"/>
      <c r="I825" s="3093">
        <f t="shared" si="138"/>
        <v>1</v>
      </c>
      <c r="J825" s="293"/>
      <c r="K825" s="3093">
        <f t="shared" si="139"/>
        <v>1</v>
      </c>
      <c r="L825" s="293"/>
      <c r="M825" s="3093">
        <f t="shared" si="140"/>
        <v>1</v>
      </c>
      <c r="N825" s="293"/>
      <c r="O825" s="3093">
        <f t="shared" si="141"/>
        <v>1</v>
      </c>
      <c r="P825" s="291" t="s">
        <v>3022</v>
      </c>
      <c r="Q825" s="3093">
        <f t="shared" si="142"/>
        <v>1</v>
      </c>
      <c r="R825" s="3093">
        <f t="shared" si="143"/>
        <v>27888</v>
      </c>
      <c r="S825" s="1651">
        <f t="shared" si="144"/>
        <v>146</v>
      </c>
    </row>
    <row r="826" spans="1:19">
      <c r="A826" s="1061" t="str">
        <f>清单!D931</f>
        <v>C-8-2-302</v>
      </c>
      <c r="B826" s="1061">
        <f>清单!F931</f>
        <v>52.23</v>
      </c>
      <c r="C826" s="3093">
        <f t="shared" si="135"/>
        <v>1</v>
      </c>
      <c r="D826" s="293"/>
      <c r="E826" s="3093">
        <f t="shared" si="136"/>
        <v>1</v>
      </c>
      <c r="F826" s="293"/>
      <c r="G826" s="3093">
        <f t="shared" si="137"/>
        <v>1</v>
      </c>
      <c r="H826" s="293"/>
      <c r="I826" s="3093">
        <f t="shared" si="138"/>
        <v>1</v>
      </c>
      <c r="J826" s="293"/>
      <c r="K826" s="3093">
        <f t="shared" si="139"/>
        <v>1</v>
      </c>
      <c r="L826" s="293"/>
      <c r="M826" s="3093">
        <f t="shared" si="140"/>
        <v>1</v>
      </c>
      <c r="N826" s="293"/>
      <c r="O826" s="3093">
        <f t="shared" si="141"/>
        <v>1</v>
      </c>
      <c r="P826" s="291" t="s">
        <v>3024</v>
      </c>
      <c r="Q826" s="3093">
        <f t="shared" si="142"/>
        <v>0.97</v>
      </c>
      <c r="R826" s="3093">
        <f t="shared" si="143"/>
        <v>27051</v>
      </c>
      <c r="S826" s="1651">
        <f t="shared" si="144"/>
        <v>141</v>
      </c>
    </row>
    <row r="827" spans="1:19">
      <c r="A827" s="1061" t="str">
        <f>清单!D932</f>
        <v>C-8-2-303</v>
      </c>
      <c r="B827" s="1061">
        <f>清单!F932</f>
        <v>52.23</v>
      </c>
      <c r="C827" s="3093">
        <f t="shared" si="135"/>
        <v>1</v>
      </c>
      <c r="D827" s="293"/>
      <c r="E827" s="3093">
        <f t="shared" si="136"/>
        <v>1</v>
      </c>
      <c r="F827" s="293"/>
      <c r="G827" s="3093">
        <f t="shared" si="137"/>
        <v>1</v>
      </c>
      <c r="H827" s="293"/>
      <c r="I827" s="3093">
        <f t="shared" si="138"/>
        <v>1</v>
      </c>
      <c r="J827" s="293"/>
      <c r="K827" s="3093">
        <f t="shared" si="139"/>
        <v>1</v>
      </c>
      <c r="L827" s="293"/>
      <c r="M827" s="3093">
        <f t="shared" si="140"/>
        <v>1</v>
      </c>
      <c r="N827" s="293"/>
      <c r="O827" s="3093">
        <f t="shared" si="141"/>
        <v>1</v>
      </c>
      <c r="P827" s="291" t="s">
        <v>3024</v>
      </c>
      <c r="Q827" s="3093">
        <f t="shared" si="142"/>
        <v>0.97</v>
      </c>
      <c r="R827" s="3093">
        <f t="shared" si="143"/>
        <v>27051</v>
      </c>
      <c r="S827" s="1651">
        <f t="shared" si="144"/>
        <v>141</v>
      </c>
    </row>
    <row r="828" spans="1:19">
      <c r="A828" s="1061" t="str">
        <f>清单!D951</f>
        <v>C-8-2-802</v>
      </c>
      <c r="B828" s="1061">
        <f>清单!F951</f>
        <v>52.23</v>
      </c>
      <c r="C828" s="3093">
        <f t="shared" si="135"/>
        <v>1</v>
      </c>
      <c r="D828" s="293"/>
      <c r="E828" s="3093">
        <f t="shared" si="136"/>
        <v>1</v>
      </c>
      <c r="F828" s="293"/>
      <c r="G828" s="3093">
        <f t="shared" si="137"/>
        <v>1</v>
      </c>
      <c r="H828" s="293"/>
      <c r="I828" s="3093">
        <f t="shared" si="138"/>
        <v>1</v>
      </c>
      <c r="J828" s="293"/>
      <c r="K828" s="3093">
        <f t="shared" si="139"/>
        <v>1</v>
      </c>
      <c r="L828" s="293"/>
      <c r="M828" s="3093">
        <f t="shared" si="140"/>
        <v>1</v>
      </c>
      <c r="N828" s="293"/>
      <c r="O828" s="3093">
        <f t="shared" si="141"/>
        <v>1</v>
      </c>
      <c r="P828" s="291" t="s">
        <v>3022</v>
      </c>
      <c r="Q828" s="3093">
        <f t="shared" si="142"/>
        <v>1</v>
      </c>
      <c r="R828" s="3093">
        <f t="shared" si="143"/>
        <v>27888</v>
      </c>
      <c r="S828" s="1651">
        <f t="shared" si="144"/>
        <v>146</v>
      </c>
    </row>
    <row r="829" spans="1:19">
      <c r="A829" s="1061" t="str">
        <f>清单!D952</f>
        <v>C-8-2-803</v>
      </c>
      <c r="B829" s="1061">
        <f>清单!F952</f>
        <v>52.23</v>
      </c>
      <c r="C829" s="3093">
        <f t="shared" ref="C829:C892" si="145">IF(B829="",1,(LOOKUP(B829,$3:$3,$4:$4)-LOOKUP($B$24,$3:$3,$4:$4)+100)/100)</f>
        <v>1</v>
      </c>
      <c r="D829" s="293"/>
      <c r="E829" s="3093">
        <f t="shared" ref="E829:E892" si="146">(SUMIF($5:$5,D829,$6:$6)-SUMIF($5:$5,$D$24,$6:$6)+100)/100</f>
        <v>1</v>
      </c>
      <c r="F829" s="293"/>
      <c r="G829" s="3093">
        <f t="shared" ref="G829:G892" si="147">(SUMIF($7:$7,F829,$8:$8)-SUMIF($7:$7,$F$24,$8:$8)+100)/100</f>
        <v>1</v>
      </c>
      <c r="H829" s="293"/>
      <c r="I829" s="3093">
        <f t="shared" ref="I829:I892" si="148">(SUMIF($9:$9,H829,$10:$10)-SUMIF($9:$9,$H$24,$10:$10)+100)/100</f>
        <v>1</v>
      </c>
      <c r="J829" s="293"/>
      <c r="K829" s="3093">
        <f t="shared" ref="K829:K892" si="149">(SUMIF($11:$11,J829,$12:$12)-SUMIF($11:$11,$J$24,$12:$12)+100)/100</f>
        <v>1</v>
      </c>
      <c r="L829" s="293"/>
      <c r="M829" s="3093">
        <f t="shared" ref="M829:M892" si="150">(SUMIF($13:$13,L829,$14:$14)-SUMIF($13:$13,$L$24,$14:$14)+100)/100</f>
        <v>1</v>
      </c>
      <c r="N829" s="293"/>
      <c r="O829" s="3093">
        <f t="shared" ref="O829:O892" si="151">(SUMIF($15:$15,N829,$16:$16)-SUMIF($15:$15,$N$24,$16:$16)+100)/100</f>
        <v>1</v>
      </c>
      <c r="P829" s="291" t="s">
        <v>3022</v>
      </c>
      <c r="Q829" s="3093">
        <f t="shared" ref="Q829:Q892" si="152">(SUMIF($17:$17,P829,$18:$18)-SUMIF($17:$17,$P$24,$18:$18)+100)/100</f>
        <v>1</v>
      </c>
      <c r="R829" s="3093">
        <f t="shared" ref="R829:R892" si="153">IF(B829="",0,ROUND($R$24*C829*E829*G829*I829*K829*M829*O829*Q829,0))</f>
        <v>27888</v>
      </c>
      <c r="S829" s="1651">
        <f t="shared" ref="S829:S892" si="154">ROUND(R829*B829/10000,0)</f>
        <v>146</v>
      </c>
    </row>
    <row r="830" spans="1:19">
      <c r="A830" s="1061" t="str">
        <f>清单!D935</f>
        <v>C-8-2-402</v>
      </c>
      <c r="B830" s="1061">
        <f>清单!F935</f>
        <v>52.23</v>
      </c>
      <c r="C830" s="3093">
        <f t="shared" si="145"/>
        <v>1</v>
      </c>
      <c r="D830" s="293"/>
      <c r="E830" s="3093">
        <f t="shared" si="146"/>
        <v>1</v>
      </c>
      <c r="F830" s="293"/>
      <c r="G830" s="3093">
        <f t="shared" si="147"/>
        <v>1</v>
      </c>
      <c r="H830" s="293"/>
      <c r="I830" s="3093">
        <f t="shared" si="148"/>
        <v>1</v>
      </c>
      <c r="J830" s="293"/>
      <c r="K830" s="3093">
        <f t="shared" si="149"/>
        <v>1</v>
      </c>
      <c r="L830" s="293"/>
      <c r="M830" s="3093">
        <f t="shared" si="150"/>
        <v>1</v>
      </c>
      <c r="N830" s="293"/>
      <c r="O830" s="3093">
        <f t="shared" si="151"/>
        <v>1</v>
      </c>
      <c r="P830" s="291" t="s">
        <v>3024</v>
      </c>
      <c r="Q830" s="3093">
        <f t="shared" si="152"/>
        <v>0.97</v>
      </c>
      <c r="R830" s="3093">
        <f t="shared" si="153"/>
        <v>27051</v>
      </c>
      <c r="S830" s="1651">
        <f t="shared" si="154"/>
        <v>141</v>
      </c>
    </row>
    <row r="831" spans="1:19">
      <c r="A831" s="1061" t="str">
        <f>清单!D936</f>
        <v>C-8-2-403</v>
      </c>
      <c r="B831" s="1061">
        <f>清单!F936</f>
        <v>52.23</v>
      </c>
      <c r="C831" s="3093">
        <f t="shared" si="145"/>
        <v>1</v>
      </c>
      <c r="D831" s="293"/>
      <c r="E831" s="3093">
        <f t="shared" si="146"/>
        <v>1</v>
      </c>
      <c r="F831" s="293"/>
      <c r="G831" s="3093">
        <f t="shared" si="147"/>
        <v>1</v>
      </c>
      <c r="H831" s="293"/>
      <c r="I831" s="3093">
        <f t="shared" si="148"/>
        <v>1</v>
      </c>
      <c r="J831" s="293"/>
      <c r="K831" s="3093">
        <f t="shared" si="149"/>
        <v>1</v>
      </c>
      <c r="L831" s="293"/>
      <c r="M831" s="3093">
        <f t="shared" si="150"/>
        <v>1</v>
      </c>
      <c r="N831" s="293"/>
      <c r="O831" s="3093">
        <f t="shared" si="151"/>
        <v>1</v>
      </c>
      <c r="P831" s="291" t="s">
        <v>3024</v>
      </c>
      <c r="Q831" s="3093">
        <f t="shared" si="152"/>
        <v>0.97</v>
      </c>
      <c r="R831" s="3093">
        <f t="shared" si="153"/>
        <v>27051</v>
      </c>
      <c r="S831" s="1651">
        <f t="shared" si="154"/>
        <v>141</v>
      </c>
    </row>
    <row r="832" spans="1:19">
      <c r="A832" s="1061" t="str">
        <f>清单!D955</f>
        <v>C-8-2-902</v>
      </c>
      <c r="B832" s="1061">
        <f>清单!F955</f>
        <v>52.23</v>
      </c>
      <c r="C832" s="3093">
        <f t="shared" si="145"/>
        <v>1</v>
      </c>
      <c r="D832" s="293"/>
      <c r="E832" s="3093">
        <f t="shared" si="146"/>
        <v>1</v>
      </c>
      <c r="F832" s="293"/>
      <c r="G832" s="3093">
        <f t="shared" si="147"/>
        <v>1</v>
      </c>
      <c r="H832" s="293"/>
      <c r="I832" s="3093">
        <f t="shared" si="148"/>
        <v>1</v>
      </c>
      <c r="J832" s="293"/>
      <c r="K832" s="3093">
        <f t="shared" si="149"/>
        <v>1</v>
      </c>
      <c r="L832" s="293"/>
      <c r="M832" s="3093">
        <f t="shared" si="150"/>
        <v>1</v>
      </c>
      <c r="N832" s="293"/>
      <c r="O832" s="3093">
        <f t="shared" si="151"/>
        <v>1</v>
      </c>
      <c r="P832" s="291" t="s">
        <v>3022</v>
      </c>
      <c r="Q832" s="3093">
        <f t="shared" si="152"/>
        <v>1</v>
      </c>
      <c r="R832" s="3093">
        <f t="shared" si="153"/>
        <v>27888</v>
      </c>
      <c r="S832" s="1651">
        <f t="shared" si="154"/>
        <v>146</v>
      </c>
    </row>
    <row r="833" spans="1:19">
      <c r="A833" s="1061" t="str">
        <f>清单!D956</f>
        <v>C-8-2-903</v>
      </c>
      <c r="B833" s="1061">
        <f>清单!F956</f>
        <v>52.23</v>
      </c>
      <c r="C833" s="3093">
        <f t="shared" si="145"/>
        <v>1</v>
      </c>
      <c r="D833" s="293"/>
      <c r="E833" s="3093">
        <f t="shared" si="146"/>
        <v>1</v>
      </c>
      <c r="F833" s="293"/>
      <c r="G833" s="3093">
        <f t="shared" si="147"/>
        <v>1</v>
      </c>
      <c r="H833" s="293"/>
      <c r="I833" s="3093">
        <f t="shared" si="148"/>
        <v>1</v>
      </c>
      <c r="J833" s="293"/>
      <c r="K833" s="3093">
        <f t="shared" si="149"/>
        <v>1</v>
      </c>
      <c r="L833" s="293"/>
      <c r="M833" s="3093">
        <f t="shared" si="150"/>
        <v>1</v>
      </c>
      <c r="N833" s="293"/>
      <c r="O833" s="3093">
        <f t="shared" si="151"/>
        <v>1</v>
      </c>
      <c r="P833" s="291" t="s">
        <v>3022</v>
      </c>
      <c r="Q833" s="3093">
        <f t="shared" si="152"/>
        <v>1</v>
      </c>
      <c r="R833" s="3093">
        <f t="shared" si="153"/>
        <v>27888</v>
      </c>
      <c r="S833" s="1651">
        <f t="shared" si="154"/>
        <v>146</v>
      </c>
    </row>
    <row r="834" spans="1:19">
      <c r="A834" s="1061" t="str">
        <f>清单!D939</f>
        <v>C-8-2-502</v>
      </c>
      <c r="B834" s="1061">
        <f>清单!F939</f>
        <v>52.23</v>
      </c>
      <c r="C834" s="3093">
        <f t="shared" si="145"/>
        <v>1</v>
      </c>
      <c r="D834" s="293"/>
      <c r="E834" s="3093">
        <f t="shared" si="146"/>
        <v>1</v>
      </c>
      <c r="F834" s="293"/>
      <c r="G834" s="3093">
        <f t="shared" si="147"/>
        <v>1</v>
      </c>
      <c r="H834" s="293"/>
      <c r="I834" s="3093">
        <f t="shared" si="148"/>
        <v>1</v>
      </c>
      <c r="J834" s="293"/>
      <c r="K834" s="3093">
        <f t="shared" si="149"/>
        <v>1</v>
      </c>
      <c r="L834" s="293"/>
      <c r="M834" s="3093">
        <f t="shared" si="150"/>
        <v>1</v>
      </c>
      <c r="N834" s="293"/>
      <c r="O834" s="3093">
        <f t="shared" si="151"/>
        <v>1</v>
      </c>
      <c r="P834" s="291" t="s">
        <v>3024</v>
      </c>
      <c r="Q834" s="3093">
        <f t="shared" si="152"/>
        <v>0.97</v>
      </c>
      <c r="R834" s="3093">
        <f t="shared" si="153"/>
        <v>27051</v>
      </c>
      <c r="S834" s="1651">
        <f t="shared" si="154"/>
        <v>141</v>
      </c>
    </row>
    <row r="835" spans="1:19">
      <c r="A835" s="1061" t="str">
        <f>清单!D940</f>
        <v>C-8-2-503</v>
      </c>
      <c r="B835" s="1061">
        <f>清单!F940</f>
        <v>52.23</v>
      </c>
      <c r="C835" s="3093">
        <f t="shared" si="145"/>
        <v>1</v>
      </c>
      <c r="D835" s="293"/>
      <c r="E835" s="3093">
        <f t="shared" si="146"/>
        <v>1</v>
      </c>
      <c r="F835" s="293"/>
      <c r="G835" s="3093">
        <f t="shared" si="147"/>
        <v>1</v>
      </c>
      <c r="H835" s="293"/>
      <c r="I835" s="3093">
        <f t="shared" si="148"/>
        <v>1</v>
      </c>
      <c r="J835" s="293"/>
      <c r="K835" s="3093">
        <f t="shared" si="149"/>
        <v>1</v>
      </c>
      <c r="L835" s="293"/>
      <c r="M835" s="3093">
        <f t="shared" si="150"/>
        <v>1</v>
      </c>
      <c r="N835" s="293"/>
      <c r="O835" s="3093">
        <f t="shared" si="151"/>
        <v>1</v>
      </c>
      <c r="P835" s="291" t="s">
        <v>3024</v>
      </c>
      <c r="Q835" s="3093">
        <f t="shared" si="152"/>
        <v>0.97</v>
      </c>
      <c r="R835" s="3093">
        <f t="shared" si="153"/>
        <v>27051</v>
      </c>
      <c r="S835" s="1651">
        <f t="shared" si="154"/>
        <v>141</v>
      </c>
    </row>
    <row r="836" spans="1:19">
      <c r="A836" s="1061" t="str">
        <f>清单!D959</f>
        <v>C-8-3-1002</v>
      </c>
      <c r="B836" s="1061">
        <f>清单!F959</f>
        <v>52.23</v>
      </c>
      <c r="C836" s="3093">
        <f t="shared" si="145"/>
        <v>1</v>
      </c>
      <c r="D836" s="293"/>
      <c r="E836" s="3093">
        <f t="shared" si="146"/>
        <v>1</v>
      </c>
      <c r="F836" s="293"/>
      <c r="G836" s="3093">
        <f t="shared" si="147"/>
        <v>1</v>
      </c>
      <c r="H836" s="293"/>
      <c r="I836" s="3093">
        <f t="shared" si="148"/>
        <v>1</v>
      </c>
      <c r="J836" s="293"/>
      <c r="K836" s="3093">
        <f t="shared" si="149"/>
        <v>1</v>
      </c>
      <c r="L836" s="293"/>
      <c r="M836" s="3093">
        <f t="shared" si="150"/>
        <v>1</v>
      </c>
      <c r="N836" s="293"/>
      <c r="O836" s="3093">
        <f t="shared" si="151"/>
        <v>1</v>
      </c>
      <c r="P836" s="291" t="s">
        <v>3022</v>
      </c>
      <c r="Q836" s="3093">
        <f t="shared" si="152"/>
        <v>1</v>
      </c>
      <c r="R836" s="3093">
        <f t="shared" si="153"/>
        <v>27888</v>
      </c>
      <c r="S836" s="1651">
        <f t="shared" si="154"/>
        <v>146</v>
      </c>
    </row>
    <row r="837" spans="1:19">
      <c r="A837" s="1061" t="str">
        <f>清单!D960</f>
        <v>C-8-3-1003</v>
      </c>
      <c r="B837" s="1061">
        <f>清单!F960</f>
        <v>52.23</v>
      </c>
      <c r="C837" s="3093">
        <f t="shared" si="145"/>
        <v>1</v>
      </c>
      <c r="D837" s="293"/>
      <c r="E837" s="3093">
        <f t="shared" si="146"/>
        <v>1</v>
      </c>
      <c r="F837" s="293"/>
      <c r="G837" s="3093">
        <f t="shared" si="147"/>
        <v>1</v>
      </c>
      <c r="H837" s="293"/>
      <c r="I837" s="3093">
        <f t="shared" si="148"/>
        <v>1</v>
      </c>
      <c r="J837" s="293"/>
      <c r="K837" s="3093">
        <f t="shared" si="149"/>
        <v>1</v>
      </c>
      <c r="L837" s="293"/>
      <c r="M837" s="3093">
        <f t="shared" si="150"/>
        <v>1</v>
      </c>
      <c r="N837" s="293"/>
      <c r="O837" s="3093">
        <f t="shared" si="151"/>
        <v>1</v>
      </c>
      <c r="P837" s="291" t="s">
        <v>3022</v>
      </c>
      <c r="Q837" s="3093">
        <f t="shared" si="152"/>
        <v>1</v>
      </c>
      <c r="R837" s="3093">
        <f t="shared" si="153"/>
        <v>27888</v>
      </c>
      <c r="S837" s="1651">
        <f t="shared" si="154"/>
        <v>146</v>
      </c>
    </row>
    <row r="838" spans="1:19">
      <c r="A838" s="1061" t="str">
        <f>清单!D943</f>
        <v>C-8-2-602</v>
      </c>
      <c r="B838" s="1061">
        <f>清单!F943</f>
        <v>52.23</v>
      </c>
      <c r="C838" s="3093">
        <f t="shared" si="145"/>
        <v>1</v>
      </c>
      <c r="D838" s="293"/>
      <c r="E838" s="3093">
        <f t="shared" si="146"/>
        <v>1</v>
      </c>
      <c r="F838" s="293"/>
      <c r="G838" s="3093">
        <f t="shared" si="147"/>
        <v>1</v>
      </c>
      <c r="H838" s="293"/>
      <c r="I838" s="3093">
        <f t="shared" si="148"/>
        <v>1</v>
      </c>
      <c r="J838" s="293"/>
      <c r="K838" s="3093">
        <f t="shared" si="149"/>
        <v>1</v>
      </c>
      <c r="L838" s="293"/>
      <c r="M838" s="3093">
        <f t="shared" si="150"/>
        <v>1</v>
      </c>
      <c r="N838" s="293"/>
      <c r="O838" s="3093">
        <f t="shared" si="151"/>
        <v>1</v>
      </c>
      <c r="P838" s="291" t="s">
        <v>3022</v>
      </c>
      <c r="Q838" s="3093">
        <f t="shared" si="152"/>
        <v>1</v>
      </c>
      <c r="R838" s="3093">
        <f t="shared" si="153"/>
        <v>27888</v>
      </c>
      <c r="S838" s="1651">
        <f t="shared" si="154"/>
        <v>146</v>
      </c>
    </row>
    <row r="839" spans="1:19">
      <c r="A839" s="1061" t="str">
        <f>清单!D944</f>
        <v>C-8-2-603</v>
      </c>
      <c r="B839" s="1061">
        <f>清单!F944</f>
        <v>52.23</v>
      </c>
      <c r="C839" s="3093">
        <f t="shared" si="145"/>
        <v>1</v>
      </c>
      <c r="D839" s="293"/>
      <c r="E839" s="3093">
        <f t="shared" si="146"/>
        <v>1</v>
      </c>
      <c r="F839" s="293"/>
      <c r="G839" s="3093">
        <f t="shared" si="147"/>
        <v>1</v>
      </c>
      <c r="H839" s="293"/>
      <c r="I839" s="3093">
        <f t="shared" si="148"/>
        <v>1</v>
      </c>
      <c r="J839" s="293"/>
      <c r="K839" s="3093">
        <f t="shared" si="149"/>
        <v>1</v>
      </c>
      <c r="L839" s="293"/>
      <c r="M839" s="3093">
        <f t="shared" si="150"/>
        <v>1</v>
      </c>
      <c r="N839" s="293"/>
      <c r="O839" s="3093">
        <f t="shared" si="151"/>
        <v>1</v>
      </c>
      <c r="P839" s="291" t="s">
        <v>3022</v>
      </c>
      <c r="Q839" s="3093">
        <f t="shared" si="152"/>
        <v>1</v>
      </c>
      <c r="R839" s="3093">
        <f t="shared" si="153"/>
        <v>27888</v>
      </c>
      <c r="S839" s="1651">
        <f t="shared" si="154"/>
        <v>146</v>
      </c>
    </row>
    <row r="840" spans="1:19">
      <c r="A840" s="1061" t="str">
        <f>清单!D945</f>
        <v>C-8-2-604</v>
      </c>
      <c r="B840" s="1061">
        <f>清单!F945</f>
        <v>51.66</v>
      </c>
      <c r="C840" s="3093">
        <f t="shared" si="145"/>
        <v>1</v>
      </c>
      <c r="D840" s="293"/>
      <c r="E840" s="3093">
        <f t="shared" si="146"/>
        <v>1</v>
      </c>
      <c r="F840" s="293"/>
      <c r="G840" s="3093">
        <f t="shared" si="147"/>
        <v>1</v>
      </c>
      <c r="H840" s="293"/>
      <c r="I840" s="3093">
        <f t="shared" si="148"/>
        <v>1</v>
      </c>
      <c r="J840" s="293"/>
      <c r="K840" s="3093">
        <f t="shared" si="149"/>
        <v>1</v>
      </c>
      <c r="L840" s="293"/>
      <c r="M840" s="3093">
        <f t="shared" si="150"/>
        <v>1</v>
      </c>
      <c r="N840" s="293"/>
      <c r="O840" s="3093">
        <f t="shared" si="151"/>
        <v>1</v>
      </c>
      <c r="P840" s="291" t="s">
        <v>3022</v>
      </c>
      <c r="Q840" s="3093">
        <f t="shared" si="152"/>
        <v>1</v>
      </c>
      <c r="R840" s="3093">
        <f t="shared" si="153"/>
        <v>27888</v>
      </c>
      <c r="S840" s="1651">
        <f t="shared" si="154"/>
        <v>144</v>
      </c>
    </row>
    <row r="841" spans="1:19">
      <c r="A841" s="1061" t="str">
        <f>清单!D964</f>
        <v>C-8-3-103</v>
      </c>
      <c r="B841" s="1061">
        <f>清单!F964</f>
        <v>80.45</v>
      </c>
      <c r="C841" s="3093">
        <f t="shared" si="145"/>
        <v>0.97</v>
      </c>
      <c r="D841" s="293"/>
      <c r="E841" s="3093">
        <f t="shared" si="146"/>
        <v>1</v>
      </c>
      <c r="F841" s="293"/>
      <c r="G841" s="3093">
        <f t="shared" si="147"/>
        <v>1</v>
      </c>
      <c r="H841" s="293"/>
      <c r="I841" s="3093">
        <f t="shared" si="148"/>
        <v>1</v>
      </c>
      <c r="J841" s="293"/>
      <c r="K841" s="3093">
        <f t="shared" si="149"/>
        <v>1</v>
      </c>
      <c r="L841" s="293"/>
      <c r="M841" s="3093">
        <f t="shared" si="150"/>
        <v>1</v>
      </c>
      <c r="N841" s="293"/>
      <c r="O841" s="3093">
        <f t="shared" si="151"/>
        <v>1</v>
      </c>
      <c r="P841" s="291" t="s">
        <v>3024</v>
      </c>
      <c r="Q841" s="3093">
        <f t="shared" si="152"/>
        <v>0.97</v>
      </c>
      <c r="R841" s="3093">
        <f t="shared" si="153"/>
        <v>26240</v>
      </c>
      <c r="S841" s="1651">
        <f t="shared" si="154"/>
        <v>211</v>
      </c>
    </row>
    <row r="842" spans="1:19">
      <c r="A842" s="1061" t="str">
        <f>清单!D965</f>
        <v>C-8-3-1101</v>
      </c>
      <c r="B842" s="1061">
        <f>清单!F965</f>
        <v>51.59</v>
      </c>
      <c r="C842" s="3093">
        <f t="shared" si="145"/>
        <v>1</v>
      </c>
      <c r="D842" s="293"/>
      <c r="E842" s="3093">
        <f t="shared" si="146"/>
        <v>1</v>
      </c>
      <c r="F842" s="293"/>
      <c r="G842" s="3093">
        <f t="shared" si="147"/>
        <v>1</v>
      </c>
      <c r="H842" s="293"/>
      <c r="I842" s="3093">
        <f t="shared" si="148"/>
        <v>1</v>
      </c>
      <c r="J842" s="293"/>
      <c r="K842" s="3093">
        <f t="shared" si="149"/>
        <v>1</v>
      </c>
      <c r="L842" s="293"/>
      <c r="M842" s="3093">
        <f t="shared" si="150"/>
        <v>1</v>
      </c>
      <c r="N842" s="293"/>
      <c r="O842" s="3093">
        <f t="shared" si="151"/>
        <v>1</v>
      </c>
      <c r="P842" s="291" t="s">
        <v>3020</v>
      </c>
      <c r="Q842" s="3093">
        <f t="shared" si="152"/>
        <v>1.03</v>
      </c>
      <c r="R842" s="3093">
        <f t="shared" si="153"/>
        <v>28725</v>
      </c>
      <c r="S842" s="1651">
        <f t="shared" si="154"/>
        <v>148</v>
      </c>
    </row>
    <row r="843" spans="1:19">
      <c r="A843" s="1061" t="str">
        <f>清单!D948</f>
        <v>C-8-2-703</v>
      </c>
      <c r="B843" s="1061">
        <f>清单!F948</f>
        <v>52.23</v>
      </c>
      <c r="C843" s="3093">
        <f t="shared" si="145"/>
        <v>1</v>
      </c>
      <c r="D843" s="293"/>
      <c r="E843" s="3093">
        <f t="shared" si="146"/>
        <v>1</v>
      </c>
      <c r="F843" s="293"/>
      <c r="G843" s="3093">
        <f t="shared" si="147"/>
        <v>1</v>
      </c>
      <c r="H843" s="293"/>
      <c r="I843" s="3093">
        <f t="shared" si="148"/>
        <v>1</v>
      </c>
      <c r="J843" s="293"/>
      <c r="K843" s="3093">
        <f t="shared" si="149"/>
        <v>1</v>
      </c>
      <c r="L843" s="293"/>
      <c r="M843" s="3093">
        <f t="shared" si="150"/>
        <v>1</v>
      </c>
      <c r="N843" s="293"/>
      <c r="O843" s="3093">
        <f t="shared" si="151"/>
        <v>1</v>
      </c>
      <c r="P843" s="291" t="s">
        <v>3022</v>
      </c>
      <c r="Q843" s="3093">
        <f t="shared" si="152"/>
        <v>1</v>
      </c>
      <c r="R843" s="3093">
        <f t="shared" si="153"/>
        <v>27888</v>
      </c>
      <c r="S843" s="1651">
        <f t="shared" si="154"/>
        <v>146</v>
      </c>
    </row>
    <row r="844" spans="1:19">
      <c r="A844" s="1061" t="str">
        <f>清单!D949</f>
        <v>C-8-2-704</v>
      </c>
      <c r="B844" s="1061">
        <f>清单!F949</f>
        <v>51.66</v>
      </c>
      <c r="C844" s="3093">
        <f t="shared" si="145"/>
        <v>1</v>
      </c>
      <c r="D844" s="293"/>
      <c r="E844" s="3093">
        <f t="shared" si="146"/>
        <v>1</v>
      </c>
      <c r="F844" s="293"/>
      <c r="G844" s="3093">
        <f t="shared" si="147"/>
        <v>1</v>
      </c>
      <c r="H844" s="293"/>
      <c r="I844" s="3093">
        <f t="shared" si="148"/>
        <v>1</v>
      </c>
      <c r="J844" s="293"/>
      <c r="K844" s="3093">
        <f t="shared" si="149"/>
        <v>1</v>
      </c>
      <c r="L844" s="293"/>
      <c r="M844" s="3093">
        <f t="shared" si="150"/>
        <v>1</v>
      </c>
      <c r="N844" s="293"/>
      <c r="O844" s="3093">
        <f t="shared" si="151"/>
        <v>1</v>
      </c>
      <c r="P844" s="291" t="s">
        <v>3022</v>
      </c>
      <c r="Q844" s="3093">
        <f t="shared" si="152"/>
        <v>1</v>
      </c>
      <c r="R844" s="3093">
        <f t="shared" si="153"/>
        <v>27888</v>
      </c>
      <c r="S844" s="1651">
        <f t="shared" si="154"/>
        <v>144</v>
      </c>
    </row>
    <row r="845" spans="1:19">
      <c r="A845" s="1061" t="str">
        <f>清单!D968</f>
        <v>C-8-3-1104</v>
      </c>
      <c r="B845" s="1061">
        <f>清单!F968</f>
        <v>51.55</v>
      </c>
      <c r="C845" s="3093">
        <f t="shared" si="145"/>
        <v>1</v>
      </c>
      <c r="D845" s="293"/>
      <c r="E845" s="3093">
        <f t="shared" si="146"/>
        <v>1</v>
      </c>
      <c r="F845" s="293"/>
      <c r="G845" s="3093">
        <f t="shared" si="147"/>
        <v>1</v>
      </c>
      <c r="H845" s="293"/>
      <c r="I845" s="3093">
        <f t="shared" si="148"/>
        <v>1</v>
      </c>
      <c r="J845" s="293"/>
      <c r="K845" s="3093">
        <f t="shared" si="149"/>
        <v>1</v>
      </c>
      <c r="L845" s="293"/>
      <c r="M845" s="3093">
        <f t="shared" si="150"/>
        <v>1</v>
      </c>
      <c r="N845" s="293"/>
      <c r="O845" s="3093">
        <f t="shared" si="151"/>
        <v>1</v>
      </c>
      <c r="P845" s="291" t="s">
        <v>3020</v>
      </c>
      <c r="Q845" s="3093">
        <f t="shared" si="152"/>
        <v>1.03</v>
      </c>
      <c r="R845" s="3093">
        <f t="shared" si="153"/>
        <v>28725</v>
      </c>
      <c r="S845" s="1651">
        <f t="shared" si="154"/>
        <v>148</v>
      </c>
    </row>
    <row r="846" spans="1:19">
      <c r="A846" s="1061" t="str">
        <f>清单!D969</f>
        <v>C-8-3-1201</v>
      </c>
      <c r="B846" s="1061">
        <f>清单!F969</f>
        <v>51.59</v>
      </c>
      <c r="C846" s="3093">
        <f t="shared" si="145"/>
        <v>1</v>
      </c>
      <c r="D846" s="293"/>
      <c r="E846" s="3093">
        <f t="shared" si="146"/>
        <v>1</v>
      </c>
      <c r="F846" s="293"/>
      <c r="G846" s="3093">
        <f t="shared" si="147"/>
        <v>1</v>
      </c>
      <c r="H846" s="293"/>
      <c r="I846" s="3093">
        <f t="shared" si="148"/>
        <v>1</v>
      </c>
      <c r="J846" s="293"/>
      <c r="K846" s="3093">
        <f t="shared" si="149"/>
        <v>1</v>
      </c>
      <c r="L846" s="293"/>
      <c r="M846" s="3093">
        <f t="shared" si="150"/>
        <v>1</v>
      </c>
      <c r="N846" s="293"/>
      <c r="O846" s="3093">
        <f t="shared" si="151"/>
        <v>1</v>
      </c>
      <c r="P846" s="291" t="s">
        <v>3020</v>
      </c>
      <c r="Q846" s="3093">
        <f t="shared" si="152"/>
        <v>1.03</v>
      </c>
      <c r="R846" s="3093">
        <f t="shared" si="153"/>
        <v>28725</v>
      </c>
      <c r="S846" s="1651">
        <f t="shared" si="154"/>
        <v>148</v>
      </c>
    </row>
    <row r="847" spans="1:19">
      <c r="A847" s="1061" t="str">
        <f>清单!D952</f>
        <v>C-8-2-803</v>
      </c>
      <c r="B847" s="1061">
        <f>清单!F952</f>
        <v>52.23</v>
      </c>
      <c r="C847" s="3093">
        <f t="shared" si="145"/>
        <v>1</v>
      </c>
      <c r="D847" s="293"/>
      <c r="E847" s="3093">
        <f t="shared" si="146"/>
        <v>1</v>
      </c>
      <c r="F847" s="293"/>
      <c r="G847" s="3093">
        <f t="shared" si="147"/>
        <v>1</v>
      </c>
      <c r="H847" s="293"/>
      <c r="I847" s="3093">
        <f t="shared" si="148"/>
        <v>1</v>
      </c>
      <c r="J847" s="293"/>
      <c r="K847" s="3093">
        <f t="shared" si="149"/>
        <v>1</v>
      </c>
      <c r="L847" s="293"/>
      <c r="M847" s="3093">
        <f t="shared" si="150"/>
        <v>1</v>
      </c>
      <c r="N847" s="293"/>
      <c r="O847" s="3093">
        <f t="shared" si="151"/>
        <v>1</v>
      </c>
      <c r="P847" s="291" t="s">
        <v>3022</v>
      </c>
      <c r="Q847" s="3093">
        <f t="shared" si="152"/>
        <v>1</v>
      </c>
      <c r="R847" s="3093">
        <f t="shared" si="153"/>
        <v>27888</v>
      </c>
      <c r="S847" s="1651">
        <f t="shared" si="154"/>
        <v>146</v>
      </c>
    </row>
    <row r="848" spans="1:19">
      <c r="A848" s="1061" t="str">
        <f>清单!D953</f>
        <v>C-8-2-804</v>
      </c>
      <c r="B848" s="1061">
        <f>清单!F953</f>
        <v>51.66</v>
      </c>
      <c r="C848" s="3093">
        <f t="shared" si="145"/>
        <v>1</v>
      </c>
      <c r="D848" s="293"/>
      <c r="E848" s="3093">
        <f t="shared" si="146"/>
        <v>1</v>
      </c>
      <c r="F848" s="293"/>
      <c r="G848" s="3093">
        <f t="shared" si="147"/>
        <v>1</v>
      </c>
      <c r="H848" s="293"/>
      <c r="I848" s="3093">
        <f t="shared" si="148"/>
        <v>1</v>
      </c>
      <c r="J848" s="293"/>
      <c r="K848" s="3093">
        <f t="shared" si="149"/>
        <v>1</v>
      </c>
      <c r="L848" s="293"/>
      <c r="M848" s="3093">
        <f t="shared" si="150"/>
        <v>1</v>
      </c>
      <c r="N848" s="293"/>
      <c r="O848" s="3093">
        <f t="shared" si="151"/>
        <v>1</v>
      </c>
      <c r="P848" s="291" t="s">
        <v>3022</v>
      </c>
      <c r="Q848" s="3093">
        <f t="shared" si="152"/>
        <v>1</v>
      </c>
      <c r="R848" s="3093">
        <f t="shared" si="153"/>
        <v>27888</v>
      </c>
      <c r="S848" s="1651">
        <f t="shared" si="154"/>
        <v>144</v>
      </c>
    </row>
    <row r="849" spans="1:19">
      <c r="A849" s="1061" t="str">
        <f>清单!D972</f>
        <v>C-8-3-1204</v>
      </c>
      <c r="B849" s="1061">
        <f>清单!F972</f>
        <v>51.55</v>
      </c>
      <c r="C849" s="3093">
        <f t="shared" si="145"/>
        <v>1</v>
      </c>
      <c r="D849" s="293"/>
      <c r="E849" s="3093">
        <f t="shared" si="146"/>
        <v>1</v>
      </c>
      <c r="F849" s="293"/>
      <c r="G849" s="3093">
        <f t="shared" si="147"/>
        <v>1</v>
      </c>
      <c r="H849" s="293"/>
      <c r="I849" s="3093">
        <f t="shared" si="148"/>
        <v>1</v>
      </c>
      <c r="J849" s="293"/>
      <c r="K849" s="3093">
        <f t="shared" si="149"/>
        <v>1</v>
      </c>
      <c r="L849" s="293"/>
      <c r="M849" s="3093">
        <f t="shared" si="150"/>
        <v>1</v>
      </c>
      <c r="N849" s="293"/>
      <c r="O849" s="3093">
        <f t="shared" si="151"/>
        <v>1</v>
      </c>
      <c r="P849" s="291" t="s">
        <v>3020</v>
      </c>
      <c r="Q849" s="3093">
        <f t="shared" si="152"/>
        <v>1.03</v>
      </c>
      <c r="R849" s="3093">
        <f t="shared" si="153"/>
        <v>28725</v>
      </c>
      <c r="S849" s="1651">
        <f t="shared" si="154"/>
        <v>148</v>
      </c>
    </row>
    <row r="850" spans="1:19">
      <c r="A850" s="1061" t="str">
        <f>清单!D973</f>
        <v>C-8-3-1301</v>
      </c>
      <c r="B850" s="1061">
        <f>清单!F973</f>
        <v>51.59</v>
      </c>
      <c r="C850" s="3093">
        <f t="shared" si="145"/>
        <v>1</v>
      </c>
      <c r="D850" s="293"/>
      <c r="E850" s="3093">
        <f t="shared" si="146"/>
        <v>1</v>
      </c>
      <c r="F850" s="293"/>
      <c r="G850" s="3093">
        <f t="shared" si="147"/>
        <v>1</v>
      </c>
      <c r="H850" s="293"/>
      <c r="I850" s="3093">
        <f t="shared" si="148"/>
        <v>1</v>
      </c>
      <c r="J850" s="293"/>
      <c r="K850" s="3093">
        <f t="shared" si="149"/>
        <v>1</v>
      </c>
      <c r="L850" s="293"/>
      <c r="M850" s="3093">
        <f t="shared" si="150"/>
        <v>1</v>
      </c>
      <c r="N850" s="293"/>
      <c r="O850" s="3093">
        <f t="shared" si="151"/>
        <v>1</v>
      </c>
      <c r="P850" s="291" t="s">
        <v>3020</v>
      </c>
      <c r="Q850" s="3093">
        <f t="shared" si="152"/>
        <v>1.03</v>
      </c>
      <c r="R850" s="3093">
        <f t="shared" si="153"/>
        <v>28725</v>
      </c>
      <c r="S850" s="1651">
        <f t="shared" si="154"/>
        <v>148</v>
      </c>
    </row>
    <row r="851" spans="1:19">
      <c r="A851" s="1061" t="str">
        <f>清单!D956</f>
        <v>C-8-2-903</v>
      </c>
      <c r="B851" s="1061">
        <f>清单!F956</f>
        <v>52.23</v>
      </c>
      <c r="C851" s="3093">
        <f t="shared" si="145"/>
        <v>1</v>
      </c>
      <c r="D851" s="293"/>
      <c r="E851" s="3093">
        <f t="shared" si="146"/>
        <v>1</v>
      </c>
      <c r="F851" s="293"/>
      <c r="G851" s="3093">
        <f t="shared" si="147"/>
        <v>1</v>
      </c>
      <c r="H851" s="293"/>
      <c r="I851" s="3093">
        <f t="shared" si="148"/>
        <v>1</v>
      </c>
      <c r="J851" s="293"/>
      <c r="K851" s="3093">
        <f t="shared" si="149"/>
        <v>1</v>
      </c>
      <c r="L851" s="293"/>
      <c r="M851" s="3093">
        <f t="shared" si="150"/>
        <v>1</v>
      </c>
      <c r="N851" s="293"/>
      <c r="O851" s="3093">
        <f t="shared" si="151"/>
        <v>1</v>
      </c>
      <c r="P851" s="291" t="s">
        <v>3022</v>
      </c>
      <c r="Q851" s="3093">
        <f t="shared" si="152"/>
        <v>1</v>
      </c>
      <c r="R851" s="3093">
        <f t="shared" si="153"/>
        <v>27888</v>
      </c>
      <c r="S851" s="1651">
        <f t="shared" si="154"/>
        <v>146</v>
      </c>
    </row>
    <row r="852" spans="1:19">
      <c r="A852" s="1061" t="str">
        <f>清单!D957</f>
        <v>C-8-2-904</v>
      </c>
      <c r="B852" s="1061">
        <f>清单!F957</f>
        <v>51.66</v>
      </c>
      <c r="C852" s="3093">
        <f t="shared" si="145"/>
        <v>1</v>
      </c>
      <c r="D852" s="293"/>
      <c r="E852" s="3093">
        <f t="shared" si="146"/>
        <v>1</v>
      </c>
      <c r="F852" s="293"/>
      <c r="G852" s="3093">
        <f t="shared" si="147"/>
        <v>1</v>
      </c>
      <c r="H852" s="293"/>
      <c r="I852" s="3093">
        <f t="shared" si="148"/>
        <v>1</v>
      </c>
      <c r="J852" s="293"/>
      <c r="K852" s="3093">
        <f t="shared" si="149"/>
        <v>1</v>
      </c>
      <c r="L852" s="293"/>
      <c r="M852" s="3093">
        <f t="shared" si="150"/>
        <v>1</v>
      </c>
      <c r="N852" s="293"/>
      <c r="O852" s="3093">
        <f t="shared" si="151"/>
        <v>1</v>
      </c>
      <c r="P852" s="291" t="s">
        <v>3022</v>
      </c>
      <c r="Q852" s="3093">
        <f t="shared" si="152"/>
        <v>1</v>
      </c>
      <c r="R852" s="3093">
        <f t="shared" si="153"/>
        <v>27888</v>
      </c>
      <c r="S852" s="1651">
        <f t="shared" si="154"/>
        <v>144</v>
      </c>
    </row>
    <row r="853" spans="1:19">
      <c r="A853" s="1061" t="str">
        <f>清单!D976</f>
        <v>C-8-3-1304</v>
      </c>
      <c r="B853" s="1061">
        <f>清单!F976</f>
        <v>51.55</v>
      </c>
      <c r="C853" s="3093">
        <f t="shared" si="145"/>
        <v>1</v>
      </c>
      <c r="D853" s="293"/>
      <c r="E853" s="3093">
        <f t="shared" si="146"/>
        <v>1</v>
      </c>
      <c r="F853" s="293"/>
      <c r="G853" s="3093">
        <f t="shared" si="147"/>
        <v>1</v>
      </c>
      <c r="H853" s="293"/>
      <c r="I853" s="3093">
        <f t="shared" si="148"/>
        <v>1</v>
      </c>
      <c r="J853" s="293"/>
      <c r="K853" s="3093">
        <f t="shared" si="149"/>
        <v>1</v>
      </c>
      <c r="L853" s="293"/>
      <c r="M853" s="3093">
        <f t="shared" si="150"/>
        <v>1</v>
      </c>
      <c r="N853" s="293"/>
      <c r="O853" s="3093">
        <f t="shared" si="151"/>
        <v>1</v>
      </c>
      <c r="P853" s="291" t="s">
        <v>3020</v>
      </c>
      <c r="Q853" s="3093">
        <f t="shared" si="152"/>
        <v>1.03</v>
      </c>
      <c r="R853" s="3093">
        <f t="shared" si="153"/>
        <v>28725</v>
      </c>
      <c r="S853" s="1651">
        <f t="shared" si="154"/>
        <v>148</v>
      </c>
    </row>
    <row r="854" spans="1:19">
      <c r="A854" s="1061" t="str">
        <f>清单!D977</f>
        <v>C-8-3-1401</v>
      </c>
      <c r="B854" s="1061">
        <f>清单!F977</f>
        <v>51.59</v>
      </c>
      <c r="C854" s="3093">
        <f t="shared" si="145"/>
        <v>1</v>
      </c>
      <c r="D854" s="293"/>
      <c r="E854" s="3093">
        <f t="shared" si="146"/>
        <v>1</v>
      </c>
      <c r="F854" s="293"/>
      <c r="G854" s="3093">
        <f t="shared" si="147"/>
        <v>1</v>
      </c>
      <c r="H854" s="293"/>
      <c r="I854" s="3093">
        <f t="shared" si="148"/>
        <v>1</v>
      </c>
      <c r="J854" s="293"/>
      <c r="K854" s="3093">
        <f t="shared" si="149"/>
        <v>1</v>
      </c>
      <c r="L854" s="293"/>
      <c r="M854" s="3093">
        <f t="shared" si="150"/>
        <v>1</v>
      </c>
      <c r="N854" s="293"/>
      <c r="O854" s="3093">
        <f t="shared" si="151"/>
        <v>1</v>
      </c>
      <c r="P854" s="291" t="s">
        <v>3020</v>
      </c>
      <c r="Q854" s="3093">
        <f t="shared" si="152"/>
        <v>1.03</v>
      </c>
      <c r="R854" s="3093">
        <f t="shared" si="153"/>
        <v>28725</v>
      </c>
      <c r="S854" s="1651">
        <f t="shared" si="154"/>
        <v>148</v>
      </c>
    </row>
    <row r="855" spans="1:19">
      <c r="A855" s="1061" t="str">
        <f>清单!D960</f>
        <v>C-8-3-1003</v>
      </c>
      <c r="B855" s="1061">
        <f>清单!F960</f>
        <v>52.23</v>
      </c>
      <c r="C855" s="3093">
        <f t="shared" si="145"/>
        <v>1</v>
      </c>
      <c r="D855" s="293"/>
      <c r="E855" s="3093">
        <f t="shared" si="146"/>
        <v>1</v>
      </c>
      <c r="F855" s="293"/>
      <c r="G855" s="3093">
        <f t="shared" si="147"/>
        <v>1</v>
      </c>
      <c r="H855" s="293"/>
      <c r="I855" s="3093">
        <f t="shared" si="148"/>
        <v>1</v>
      </c>
      <c r="J855" s="293"/>
      <c r="K855" s="3093">
        <f t="shared" si="149"/>
        <v>1</v>
      </c>
      <c r="L855" s="293"/>
      <c r="M855" s="3093">
        <f t="shared" si="150"/>
        <v>1</v>
      </c>
      <c r="N855" s="293"/>
      <c r="O855" s="3093">
        <f t="shared" si="151"/>
        <v>1</v>
      </c>
      <c r="P855" s="291" t="s">
        <v>3022</v>
      </c>
      <c r="Q855" s="3093">
        <f t="shared" si="152"/>
        <v>1</v>
      </c>
      <c r="R855" s="3093">
        <f t="shared" si="153"/>
        <v>27888</v>
      </c>
      <c r="S855" s="1651">
        <f t="shared" si="154"/>
        <v>146</v>
      </c>
    </row>
    <row r="856" spans="1:19">
      <c r="A856" s="1061" t="str">
        <f>清单!D961</f>
        <v>C-8-3-1004</v>
      </c>
      <c r="B856" s="1061">
        <f>清单!F961</f>
        <v>51.55</v>
      </c>
      <c r="C856" s="3093">
        <f t="shared" si="145"/>
        <v>1</v>
      </c>
      <c r="D856" s="293"/>
      <c r="E856" s="3093">
        <f t="shared" si="146"/>
        <v>1</v>
      </c>
      <c r="F856" s="293"/>
      <c r="G856" s="3093">
        <f t="shared" si="147"/>
        <v>1</v>
      </c>
      <c r="H856" s="293"/>
      <c r="I856" s="3093">
        <f t="shared" si="148"/>
        <v>1</v>
      </c>
      <c r="J856" s="293"/>
      <c r="K856" s="3093">
        <f t="shared" si="149"/>
        <v>1</v>
      </c>
      <c r="L856" s="293"/>
      <c r="M856" s="3093">
        <f t="shared" si="150"/>
        <v>1</v>
      </c>
      <c r="N856" s="293"/>
      <c r="O856" s="3093">
        <f t="shared" si="151"/>
        <v>1</v>
      </c>
      <c r="P856" s="291" t="s">
        <v>3022</v>
      </c>
      <c r="Q856" s="3093">
        <f t="shared" si="152"/>
        <v>1</v>
      </c>
      <c r="R856" s="3093">
        <f t="shared" si="153"/>
        <v>27888</v>
      </c>
      <c r="S856" s="1651">
        <f t="shared" si="154"/>
        <v>144</v>
      </c>
    </row>
    <row r="857" spans="1:19">
      <c r="A857" s="1061" t="str">
        <f>清单!D980</f>
        <v>C-8-3-1404</v>
      </c>
      <c r="B857" s="1061">
        <f>清单!F980</f>
        <v>51.55</v>
      </c>
      <c r="C857" s="3093">
        <f t="shared" si="145"/>
        <v>1</v>
      </c>
      <c r="D857" s="293"/>
      <c r="E857" s="3093">
        <f t="shared" si="146"/>
        <v>1</v>
      </c>
      <c r="F857" s="293"/>
      <c r="G857" s="3093">
        <f t="shared" si="147"/>
        <v>1</v>
      </c>
      <c r="H857" s="293"/>
      <c r="I857" s="3093">
        <f t="shared" si="148"/>
        <v>1</v>
      </c>
      <c r="J857" s="293"/>
      <c r="K857" s="3093">
        <f t="shared" si="149"/>
        <v>1</v>
      </c>
      <c r="L857" s="293"/>
      <c r="M857" s="3093">
        <f t="shared" si="150"/>
        <v>1</v>
      </c>
      <c r="N857" s="293"/>
      <c r="O857" s="3093">
        <f t="shared" si="151"/>
        <v>1</v>
      </c>
      <c r="P857" s="291" t="s">
        <v>3020</v>
      </c>
      <c r="Q857" s="3093">
        <f t="shared" si="152"/>
        <v>1.03</v>
      </c>
      <c r="R857" s="3093">
        <f t="shared" si="153"/>
        <v>28725</v>
      </c>
      <c r="S857" s="1651">
        <f t="shared" si="154"/>
        <v>148</v>
      </c>
    </row>
    <row r="858" spans="1:19">
      <c r="A858" s="1061" t="str">
        <f>清单!D981</f>
        <v>C-8-3-1501</v>
      </c>
      <c r="B858" s="1061">
        <f>清单!F981</f>
        <v>51.59</v>
      </c>
      <c r="C858" s="3093">
        <f t="shared" si="145"/>
        <v>1</v>
      </c>
      <c r="D858" s="293"/>
      <c r="E858" s="3093">
        <f t="shared" si="146"/>
        <v>1</v>
      </c>
      <c r="F858" s="293"/>
      <c r="G858" s="3093">
        <f t="shared" si="147"/>
        <v>1</v>
      </c>
      <c r="H858" s="293"/>
      <c r="I858" s="3093">
        <f t="shared" si="148"/>
        <v>1</v>
      </c>
      <c r="J858" s="293"/>
      <c r="K858" s="3093">
        <f t="shared" si="149"/>
        <v>1</v>
      </c>
      <c r="L858" s="293"/>
      <c r="M858" s="3093">
        <f t="shared" si="150"/>
        <v>1</v>
      </c>
      <c r="N858" s="293"/>
      <c r="O858" s="3093">
        <f t="shared" si="151"/>
        <v>1</v>
      </c>
      <c r="P858" s="291" t="s">
        <v>3020</v>
      </c>
      <c r="Q858" s="3093">
        <f t="shared" si="152"/>
        <v>1.03</v>
      </c>
      <c r="R858" s="3093">
        <f t="shared" si="153"/>
        <v>28725</v>
      </c>
      <c r="S858" s="1651">
        <f t="shared" si="154"/>
        <v>148</v>
      </c>
    </row>
    <row r="859" spans="1:19">
      <c r="A859" s="1061" t="str">
        <f>清单!D964</f>
        <v>C-8-3-103</v>
      </c>
      <c r="B859" s="1061">
        <f>清单!F964</f>
        <v>80.45</v>
      </c>
      <c r="C859" s="3093">
        <f t="shared" si="145"/>
        <v>0.97</v>
      </c>
      <c r="D859" s="293"/>
      <c r="E859" s="3093">
        <f t="shared" si="146"/>
        <v>1</v>
      </c>
      <c r="F859" s="293"/>
      <c r="G859" s="3093">
        <f t="shared" si="147"/>
        <v>1</v>
      </c>
      <c r="H859" s="293"/>
      <c r="I859" s="3093">
        <f t="shared" si="148"/>
        <v>1</v>
      </c>
      <c r="J859" s="293"/>
      <c r="K859" s="3093">
        <f t="shared" si="149"/>
        <v>1</v>
      </c>
      <c r="L859" s="293"/>
      <c r="M859" s="3093">
        <f t="shared" si="150"/>
        <v>1</v>
      </c>
      <c r="N859" s="293"/>
      <c r="O859" s="3093">
        <f t="shared" si="151"/>
        <v>1</v>
      </c>
      <c r="P859" s="291" t="s">
        <v>3024</v>
      </c>
      <c r="Q859" s="3093">
        <f t="shared" si="152"/>
        <v>0.97</v>
      </c>
      <c r="R859" s="3093">
        <f t="shared" si="153"/>
        <v>26240</v>
      </c>
      <c r="S859" s="1651">
        <f t="shared" si="154"/>
        <v>211</v>
      </c>
    </row>
    <row r="860" spans="1:19">
      <c r="A860" s="1061" t="str">
        <f>清单!D965</f>
        <v>C-8-3-1101</v>
      </c>
      <c r="B860" s="1061">
        <f>清单!F965</f>
        <v>51.59</v>
      </c>
      <c r="C860" s="3093">
        <f t="shared" si="145"/>
        <v>1</v>
      </c>
      <c r="D860" s="293"/>
      <c r="E860" s="3093">
        <f t="shared" si="146"/>
        <v>1</v>
      </c>
      <c r="F860" s="293"/>
      <c r="G860" s="3093">
        <f t="shared" si="147"/>
        <v>1</v>
      </c>
      <c r="H860" s="293"/>
      <c r="I860" s="3093">
        <f t="shared" si="148"/>
        <v>1</v>
      </c>
      <c r="J860" s="293"/>
      <c r="K860" s="3093">
        <f t="shared" si="149"/>
        <v>1</v>
      </c>
      <c r="L860" s="293"/>
      <c r="M860" s="3093">
        <f t="shared" si="150"/>
        <v>1</v>
      </c>
      <c r="N860" s="293"/>
      <c r="O860" s="3093">
        <f t="shared" si="151"/>
        <v>1</v>
      </c>
      <c r="P860" s="291" t="s">
        <v>3020</v>
      </c>
      <c r="Q860" s="3093">
        <f t="shared" si="152"/>
        <v>1.03</v>
      </c>
      <c r="R860" s="3093">
        <f t="shared" si="153"/>
        <v>28725</v>
      </c>
      <c r="S860" s="1651">
        <f t="shared" si="154"/>
        <v>148</v>
      </c>
    </row>
    <row r="861" spans="1:19">
      <c r="A861" s="1061" t="str">
        <f>清单!D984</f>
        <v>C-8-3-1504</v>
      </c>
      <c r="B861" s="1061">
        <f>清单!F984</f>
        <v>51.55</v>
      </c>
      <c r="C861" s="3093">
        <f t="shared" si="145"/>
        <v>1</v>
      </c>
      <c r="D861" s="293"/>
      <c r="E861" s="3093">
        <f t="shared" si="146"/>
        <v>1</v>
      </c>
      <c r="F861" s="293"/>
      <c r="G861" s="3093">
        <f t="shared" si="147"/>
        <v>1</v>
      </c>
      <c r="H861" s="293"/>
      <c r="I861" s="3093">
        <f t="shared" si="148"/>
        <v>1</v>
      </c>
      <c r="J861" s="293"/>
      <c r="K861" s="3093">
        <f t="shared" si="149"/>
        <v>1</v>
      </c>
      <c r="L861" s="293"/>
      <c r="M861" s="3093">
        <f t="shared" si="150"/>
        <v>1</v>
      </c>
      <c r="N861" s="293"/>
      <c r="O861" s="3093">
        <f t="shared" si="151"/>
        <v>1</v>
      </c>
      <c r="P861" s="291" t="s">
        <v>3020</v>
      </c>
      <c r="Q861" s="3093">
        <f t="shared" si="152"/>
        <v>1.03</v>
      </c>
      <c r="R861" s="3093">
        <f t="shared" si="153"/>
        <v>28725</v>
      </c>
      <c r="S861" s="1651">
        <f t="shared" si="154"/>
        <v>148</v>
      </c>
    </row>
    <row r="862" spans="1:19">
      <c r="A862" s="1061" t="str">
        <f>清单!D985</f>
        <v>C-8-3-201</v>
      </c>
      <c r="B862" s="1061">
        <f>清单!F985</f>
        <v>51.59</v>
      </c>
      <c r="C862" s="3093">
        <f t="shared" si="145"/>
        <v>1</v>
      </c>
      <c r="D862" s="293"/>
      <c r="E862" s="3093">
        <f t="shared" si="146"/>
        <v>1</v>
      </c>
      <c r="F862" s="293"/>
      <c r="G862" s="3093">
        <f t="shared" si="147"/>
        <v>1</v>
      </c>
      <c r="H862" s="293"/>
      <c r="I862" s="3093">
        <f t="shared" si="148"/>
        <v>1</v>
      </c>
      <c r="J862" s="293"/>
      <c r="K862" s="3093">
        <f t="shared" si="149"/>
        <v>1</v>
      </c>
      <c r="L862" s="293"/>
      <c r="M862" s="3093">
        <f t="shared" si="150"/>
        <v>1</v>
      </c>
      <c r="N862" s="293"/>
      <c r="O862" s="3093">
        <f t="shared" si="151"/>
        <v>1</v>
      </c>
      <c r="P862" s="291" t="s">
        <v>3024</v>
      </c>
      <c r="Q862" s="3093">
        <f t="shared" si="152"/>
        <v>0.97</v>
      </c>
      <c r="R862" s="3093">
        <f t="shared" si="153"/>
        <v>27051</v>
      </c>
      <c r="S862" s="1651">
        <f t="shared" si="154"/>
        <v>140</v>
      </c>
    </row>
    <row r="863" spans="1:19">
      <c r="A863" s="1061" t="str">
        <f>清单!D968</f>
        <v>C-8-3-1104</v>
      </c>
      <c r="B863" s="1061">
        <f>清单!F968</f>
        <v>51.55</v>
      </c>
      <c r="C863" s="3093">
        <f t="shared" si="145"/>
        <v>1</v>
      </c>
      <c r="D863" s="293"/>
      <c r="E863" s="3093">
        <f t="shared" si="146"/>
        <v>1</v>
      </c>
      <c r="F863" s="293"/>
      <c r="G863" s="3093">
        <f t="shared" si="147"/>
        <v>1</v>
      </c>
      <c r="H863" s="293"/>
      <c r="I863" s="3093">
        <f t="shared" si="148"/>
        <v>1</v>
      </c>
      <c r="J863" s="293"/>
      <c r="K863" s="3093">
        <f t="shared" si="149"/>
        <v>1</v>
      </c>
      <c r="L863" s="293"/>
      <c r="M863" s="3093">
        <f t="shared" si="150"/>
        <v>1</v>
      </c>
      <c r="N863" s="293"/>
      <c r="O863" s="3093">
        <f t="shared" si="151"/>
        <v>1</v>
      </c>
      <c r="P863" s="291" t="s">
        <v>3020</v>
      </c>
      <c r="Q863" s="3093">
        <f t="shared" si="152"/>
        <v>1.03</v>
      </c>
      <c r="R863" s="3093">
        <f t="shared" si="153"/>
        <v>28725</v>
      </c>
      <c r="S863" s="1651">
        <f t="shared" si="154"/>
        <v>148</v>
      </c>
    </row>
    <row r="864" spans="1:19">
      <c r="A864" s="1061" t="str">
        <f>清单!D969</f>
        <v>C-8-3-1201</v>
      </c>
      <c r="B864" s="1061">
        <f>清单!F969</f>
        <v>51.59</v>
      </c>
      <c r="C864" s="3093">
        <f t="shared" si="145"/>
        <v>1</v>
      </c>
      <c r="D864" s="293"/>
      <c r="E864" s="3093">
        <f t="shared" si="146"/>
        <v>1</v>
      </c>
      <c r="F864" s="293"/>
      <c r="G864" s="3093">
        <f t="shared" si="147"/>
        <v>1</v>
      </c>
      <c r="H864" s="293"/>
      <c r="I864" s="3093">
        <f t="shared" si="148"/>
        <v>1</v>
      </c>
      <c r="J864" s="293"/>
      <c r="K864" s="3093">
        <f t="shared" si="149"/>
        <v>1</v>
      </c>
      <c r="L864" s="293"/>
      <c r="M864" s="3093">
        <f t="shared" si="150"/>
        <v>1</v>
      </c>
      <c r="N864" s="293"/>
      <c r="O864" s="3093">
        <f t="shared" si="151"/>
        <v>1</v>
      </c>
      <c r="P864" s="291" t="s">
        <v>3020</v>
      </c>
      <c r="Q864" s="3093">
        <f t="shared" si="152"/>
        <v>1.03</v>
      </c>
      <c r="R864" s="3093">
        <f t="shared" si="153"/>
        <v>28725</v>
      </c>
      <c r="S864" s="1651">
        <f t="shared" si="154"/>
        <v>148</v>
      </c>
    </row>
    <row r="865" spans="1:19">
      <c r="A865" s="1061" t="str">
        <f>清单!D988</f>
        <v>C-8-3-204</v>
      </c>
      <c r="B865" s="1061">
        <f>清单!F988</f>
        <v>51.55</v>
      </c>
      <c r="C865" s="3093">
        <f t="shared" si="145"/>
        <v>1</v>
      </c>
      <c r="D865" s="293"/>
      <c r="E865" s="3093">
        <f t="shared" si="146"/>
        <v>1</v>
      </c>
      <c r="F865" s="293"/>
      <c r="G865" s="3093">
        <f t="shared" si="147"/>
        <v>1</v>
      </c>
      <c r="H865" s="293"/>
      <c r="I865" s="3093">
        <f t="shared" si="148"/>
        <v>1</v>
      </c>
      <c r="J865" s="293"/>
      <c r="K865" s="3093">
        <f t="shared" si="149"/>
        <v>1</v>
      </c>
      <c r="L865" s="293"/>
      <c r="M865" s="3093">
        <f t="shared" si="150"/>
        <v>1</v>
      </c>
      <c r="N865" s="293"/>
      <c r="O865" s="3093">
        <f t="shared" si="151"/>
        <v>1</v>
      </c>
      <c r="P865" s="291" t="s">
        <v>3024</v>
      </c>
      <c r="Q865" s="3093">
        <f t="shared" si="152"/>
        <v>0.97</v>
      </c>
      <c r="R865" s="3093">
        <f t="shared" si="153"/>
        <v>27051</v>
      </c>
      <c r="S865" s="1651">
        <f t="shared" si="154"/>
        <v>139</v>
      </c>
    </row>
    <row r="866" spans="1:19">
      <c r="A866" s="1061" t="str">
        <f>清单!D989</f>
        <v>C-8-3-301</v>
      </c>
      <c r="B866" s="1061">
        <f>清单!F989</f>
        <v>51.59</v>
      </c>
      <c r="C866" s="3093">
        <f t="shared" si="145"/>
        <v>1</v>
      </c>
      <c r="D866" s="293"/>
      <c r="E866" s="3093">
        <f t="shared" si="146"/>
        <v>1</v>
      </c>
      <c r="F866" s="293"/>
      <c r="G866" s="3093">
        <f t="shared" si="147"/>
        <v>1</v>
      </c>
      <c r="H866" s="293"/>
      <c r="I866" s="3093">
        <f t="shared" si="148"/>
        <v>1</v>
      </c>
      <c r="J866" s="293"/>
      <c r="K866" s="3093">
        <f t="shared" si="149"/>
        <v>1</v>
      </c>
      <c r="L866" s="293"/>
      <c r="M866" s="3093">
        <f t="shared" si="150"/>
        <v>1</v>
      </c>
      <c r="N866" s="293"/>
      <c r="O866" s="3093">
        <f t="shared" si="151"/>
        <v>1</v>
      </c>
      <c r="P866" s="291" t="s">
        <v>3024</v>
      </c>
      <c r="Q866" s="3093">
        <f t="shared" si="152"/>
        <v>0.97</v>
      </c>
      <c r="R866" s="3093">
        <f t="shared" si="153"/>
        <v>27051</v>
      </c>
      <c r="S866" s="1651">
        <f t="shared" si="154"/>
        <v>140</v>
      </c>
    </row>
    <row r="867" spans="1:19">
      <c r="A867" s="1061" t="str">
        <f>清单!D972</f>
        <v>C-8-3-1204</v>
      </c>
      <c r="B867" s="1061">
        <f>清单!F972</f>
        <v>51.55</v>
      </c>
      <c r="C867" s="3093">
        <f t="shared" si="145"/>
        <v>1</v>
      </c>
      <c r="D867" s="293"/>
      <c r="E867" s="3093">
        <f t="shared" si="146"/>
        <v>1</v>
      </c>
      <c r="F867" s="293"/>
      <c r="G867" s="3093">
        <f t="shared" si="147"/>
        <v>1</v>
      </c>
      <c r="H867" s="293"/>
      <c r="I867" s="3093">
        <f t="shared" si="148"/>
        <v>1</v>
      </c>
      <c r="J867" s="293"/>
      <c r="K867" s="3093">
        <f t="shared" si="149"/>
        <v>1</v>
      </c>
      <c r="L867" s="293"/>
      <c r="M867" s="3093">
        <f t="shared" si="150"/>
        <v>1</v>
      </c>
      <c r="N867" s="293"/>
      <c r="O867" s="3093">
        <f t="shared" si="151"/>
        <v>1</v>
      </c>
      <c r="P867" s="291" t="s">
        <v>3020</v>
      </c>
      <c r="Q867" s="3093">
        <f t="shared" si="152"/>
        <v>1.03</v>
      </c>
      <c r="R867" s="3093">
        <f t="shared" si="153"/>
        <v>28725</v>
      </c>
      <c r="S867" s="1651">
        <f t="shared" si="154"/>
        <v>148</v>
      </c>
    </row>
    <row r="868" spans="1:19">
      <c r="A868" s="1061" t="str">
        <f>清单!D973</f>
        <v>C-8-3-1301</v>
      </c>
      <c r="B868" s="1061">
        <f>清单!F973</f>
        <v>51.59</v>
      </c>
      <c r="C868" s="3093">
        <f t="shared" si="145"/>
        <v>1</v>
      </c>
      <c r="D868" s="293"/>
      <c r="E868" s="3093">
        <f t="shared" si="146"/>
        <v>1</v>
      </c>
      <c r="F868" s="293"/>
      <c r="G868" s="3093">
        <f t="shared" si="147"/>
        <v>1</v>
      </c>
      <c r="H868" s="293"/>
      <c r="I868" s="3093">
        <f t="shared" si="148"/>
        <v>1</v>
      </c>
      <c r="J868" s="293"/>
      <c r="K868" s="3093">
        <f t="shared" si="149"/>
        <v>1</v>
      </c>
      <c r="L868" s="293"/>
      <c r="M868" s="3093">
        <f t="shared" si="150"/>
        <v>1</v>
      </c>
      <c r="N868" s="293"/>
      <c r="O868" s="3093">
        <f t="shared" si="151"/>
        <v>1</v>
      </c>
      <c r="P868" s="291" t="s">
        <v>3020</v>
      </c>
      <c r="Q868" s="3093">
        <f t="shared" si="152"/>
        <v>1.03</v>
      </c>
      <c r="R868" s="3093">
        <f t="shared" si="153"/>
        <v>28725</v>
      </c>
      <c r="S868" s="1651">
        <f t="shared" si="154"/>
        <v>148</v>
      </c>
    </row>
    <row r="869" spans="1:19">
      <c r="A869" s="1061" t="str">
        <f>清单!D992</f>
        <v>C-8-3-304</v>
      </c>
      <c r="B869" s="1061">
        <f>清单!F992</f>
        <v>51.55</v>
      </c>
      <c r="C869" s="3093">
        <f t="shared" si="145"/>
        <v>1</v>
      </c>
      <c r="D869" s="293"/>
      <c r="E869" s="3093">
        <f t="shared" si="146"/>
        <v>1</v>
      </c>
      <c r="F869" s="293"/>
      <c r="G869" s="3093">
        <f t="shared" si="147"/>
        <v>1</v>
      </c>
      <c r="H869" s="293"/>
      <c r="I869" s="3093">
        <f t="shared" si="148"/>
        <v>1</v>
      </c>
      <c r="J869" s="293"/>
      <c r="K869" s="3093">
        <f t="shared" si="149"/>
        <v>1</v>
      </c>
      <c r="L869" s="293"/>
      <c r="M869" s="3093">
        <f t="shared" si="150"/>
        <v>1</v>
      </c>
      <c r="N869" s="293"/>
      <c r="O869" s="3093">
        <f t="shared" si="151"/>
        <v>1</v>
      </c>
      <c r="P869" s="291" t="s">
        <v>3024</v>
      </c>
      <c r="Q869" s="3093">
        <f t="shared" si="152"/>
        <v>0.97</v>
      </c>
      <c r="R869" s="3093">
        <f t="shared" si="153"/>
        <v>27051</v>
      </c>
      <c r="S869" s="1651">
        <f t="shared" si="154"/>
        <v>139</v>
      </c>
    </row>
    <row r="870" spans="1:19">
      <c r="A870" s="1061" t="str">
        <f>清单!D993</f>
        <v>C-8-3-401</v>
      </c>
      <c r="B870" s="1061">
        <f>清单!F993</f>
        <v>51.59</v>
      </c>
      <c r="C870" s="3093">
        <f t="shared" si="145"/>
        <v>1</v>
      </c>
      <c r="D870" s="293"/>
      <c r="E870" s="3093">
        <f t="shared" si="146"/>
        <v>1</v>
      </c>
      <c r="F870" s="293"/>
      <c r="G870" s="3093">
        <f t="shared" si="147"/>
        <v>1</v>
      </c>
      <c r="H870" s="293"/>
      <c r="I870" s="3093">
        <f t="shared" si="148"/>
        <v>1</v>
      </c>
      <c r="J870" s="293"/>
      <c r="K870" s="3093">
        <f t="shared" si="149"/>
        <v>1</v>
      </c>
      <c r="L870" s="293"/>
      <c r="M870" s="3093">
        <f t="shared" si="150"/>
        <v>1</v>
      </c>
      <c r="N870" s="293"/>
      <c r="O870" s="3093">
        <f t="shared" si="151"/>
        <v>1</v>
      </c>
      <c r="P870" s="291" t="s">
        <v>3024</v>
      </c>
      <c r="Q870" s="3093">
        <f t="shared" si="152"/>
        <v>0.97</v>
      </c>
      <c r="R870" s="3093">
        <f t="shared" si="153"/>
        <v>27051</v>
      </c>
      <c r="S870" s="1651">
        <f t="shared" si="154"/>
        <v>140</v>
      </c>
    </row>
    <row r="871" spans="1:19">
      <c r="A871" s="1061" t="str">
        <f>清单!D976</f>
        <v>C-8-3-1304</v>
      </c>
      <c r="B871" s="1061">
        <f>清单!F976</f>
        <v>51.55</v>
      </c>
      <c r="C871" s="3093">
        <f t="shared" si="145"/>
        <v>1</v>
      </c>
      <c r="D871" s="293"/>
      <c r="E871" s="3093">
        <f t="shared" si="146"/>
        <v>1</v>
      </c>
      <c r="F871" s="293"/>
      <c r="G871" s="3093">
        <f t="shared" si="147"/>
        <v>1</v>
      </c>
      <c r="H871" s="293"/>
      <c r="I871" s="3093">
        <f t="shared" si="148"/>
        <v>1</v>
      </c>
      <c r="J871" s="293"/>
      <c r="K871" s="3093">
        <f t="shared" si="149"/>
        <v>1</v>
      </c>
      <c r="L871" s="293"/>
      <c r="M871" s="3093">
        <f t="shared" si="150"/>
        <v>1</v>
      </c>
      <c r="N871" s="293"/>
      <c r="O871" s="3093">
        <f t="shared" si="151"/>
        <v>1</v>
      </c>
      <c r="P871" s="291" t="s">
        <v>3020</v>
      </c>
      <c r="Q871" s="3093">
        <f t="shared" si="152"/>
        <v>1.03</v>
      </c>
      <c r="R871" s="3093">
        <f t="shared" si="153"/>
        <v>28725</v>
      </c>
      <c r="S871" s="1651">
        <f t="shared" si="154"/>
        <v>148</v>
      </c>
    </row>
    <row r="872" spans="1:19">
      <c r="A872" s="1061" t="str">
        <f>清单!D977</f>
        <v>C-8-3-1401</v>
      </c>
      <c r="B872" s="1061">
        <f>清单!F977</f>
        <v>51.59</v>
      </c>
      <c r="C872" s="3093">
        <f t="shared" si="145"/>
        <v>1</v>
      </c>
      <c r="D872" s="293"/>
      <c r="E872" s="3093">
        <f t="shared" si="146"/>
        <v>1</v>
      </c>
      <c r="F872" s="293"/>
      <c r="G872" s="3093">
        <f t="shared" si="147"/>
        <v>1</v>
      </c>
      <c r="H872" s="293"/>
      <c r="I872" s="3093">
        <f t="shared" si="148"/>
        <v>1</v>
      </c>
      <c r="J872" s="293"/>
      <c r="K872" s="3093">
        <f t="shared" si="149"/>
        <v>1</v>
      </c>
      <c r="L872" s="293"/>
      <c r="M872" s="3093">
        <f t="shared" si="150"/>
        <v>1</v>
      </c>
      <c r="N872" s="293"/>
      <c r="O872" s="3093">
        <f t="shared" si="151"/>
        <v>1</v>
      </c>
      <c r="P872" s="291" t="s">
        <v>3020</v>
      </c>
      <c r="Q872" s="3093">
        <f t="shared" si="152"/>
        <v>1.03</v>
      </c>
      <c r="R872" s="3093">
        <f t="shared" si="153"/>
        <v>28725</v>
      </c>
      <c r="S872" s="1651">
        <f t="shared" si="154"/>
        <v>148</v>
      </c>
    </row>
    <row r="873" spans="1:19">
      <c r="A873" s="1061" t="str">
        <f>清单!D996</f>
        <v>C-8-3-404</v>
      </c>
      <c r="B873" s="1061">
        <f>清单!F996</f>
        <v>51.55</v>
      </c>
      <c r="C873" s="3093">
        <f t="shared" si="145"/>
        <v>1</v>
      </c>
      <c r="D873" s="293"/>
      <c r="E873" s="3093">
        <f t="shared" si="146"/>
        <v>1</v>
      </c>
      <c r="F873" s="293"/>
      <c r="G873" s="3093">
        <f t="shared" si="147"/>
        <v>1</v>
      </c>
      <c r="H873" s="293"/>
      <c r="I873" s="3093">
        <f t="shared" si="148"/>
        <v>1</v>
      </c>
      <c r="J873" s="293"/>
      <c r="K873" s="3093">
        <f t="shared" si="149"/>
        <v>1</v>
      </c>
      <c r="L873" s="293"/>
      <c r="M873" s="3093">
        <f t="shared" si="150"/>
        <v>1</v>
      </c>
      <c r="N873" s="293"/>
      <c r="O873" s="3093">
        <f t="shared" si="151"/>
        <v>1</v>
      </c>
      <c r="P873" s="291" t="s">
        <v>3024</v>
      </c>
      <c r="Q873" s="3093">
        <f t="shared" si="152"/>
        <v>0.97</v>
      </c>
      <c r="R873" s="3093">
        <f t="shared" si="153"/>
        <v>27051</v>
      </c>
      <c r="S873" s="1651">
        <f t="shared" si="154"/>
        <v>139</v>
      </c>
    </row>
    <row r="874" spans="1:19">
      <c r="A874" s="1061" t="str">
        <f>清单!D997</f>
        <v>C-8-3-501</v>
      </c>
      <c r="B874" s="1061">
        <f>清单!F997</f>
        <v>51.59</v>
      </c>
      <c r="C874" s="3093">
        <f t="shared" si="145"/>
        <v>1</v>
      </c>
      <c r="D874" s="293"/>
      <c r="E874" s="3093">
        <f t="shared" si="146"/>
        <v>1</v>
      </c>
      <c r="F874" s="293"/>
      <c r="G874" s="3093">
        <f t="shared" si="147"/>
        <v>1</v>
      </c>
      <c r="H874" s="293"/>
      <c r="I874" s="3093">
        <f t="shared" si="148"/>
        <v>1</v>
      </c>
      <c r="J874" s="293"/>
      <c r="K874" s="3093">
        <f t="shared" si="149"/>
        <v>1</v>
      </c>
      <c r="L874" s="293"/>
      <c r="M874" s="3093">
        <f t="shared" si="150"/>
        <v>1</v>
      </c>
      <c r="N874" s="293"/>
      <c r="O874" s="3093">
        <f t="shared" si="151"/>
        <v>1</v>
      </c>
      <c r="P874" s="291" t="s">
        <v>3024</v>
      </c>
      <c r="Q874" s="3093">
        <f t="shared" si="152"/>
        <v>0.97</v>
      </c>
      <c r="R874" s="3093">
        <f t="shared" si="153"/>
        <v>27051</v>
      </c>
      <c r="S874" s="1651">
        <f t="shared" si="154"/>
        <v>140</v>
      </c>
    </row>
    <row r="875" spans="1:19">
      <c r="A875" s="1061" t="str">
        <f>清单!D980</f>
        <v>C-8-3-1404</v>
      </c>
      <c r="B875" s="1061">
        <f>清单!F980</f>
        <v>51.55</v>
      </c>
      <c r="C875" s="3093">
        <f t="shared" si="145"/>
        <v>1</v>
      </c>
      <c r="D875" s="293"/>
      <c r="E875" s="3093">
        <f t="shared" si="146"/>
        <v>1</v>
      </c>
      <c r="F875" s="293"/>
      <c r="G875" s="3093">
        <f t="shared" si="147"/>
        <v>1</v>
      </c>
      <c r="H875" s="293"/>
      <c r="I875" s="3093">
        <f t="shared" si="148"/>
        <v>1</v>
      </c>
      <c r="J875" s="293"/>
      <c r="K875" s="3093">
        <f t="shared" si="149"/>
        <v>1</v>
      </c>
      <c r="L875" s="293"/>
      <c r="M875" s="3093">
        <f t="shared" si="150"/>
        <v>1</v>
      </c>
      <c r="N875" s="293"/>
      <c r="O875" s="3093">
        <f t="shared" si="151"/>
        <v>1</v>
      </c>
      <c r="P875" s="291" t="s">
        <v>3020</v>
      </c>
      <c r="Q875" s="3093">
        <f t="shared" si="152"/>
        <v>1.03</v>
      </c>
      <c r="R875" s="3093">
        <f t="shared" si="153"/>
        <v>28725</v>
      </c>
      <c r="S875" s="1651">
        <f t="shared" si="154"/>
        <v>148</v>
      </c>
    </row>
    <row r="876" spans="1:19">
      <c r="A876" s="1061" t="str">
        <f>清单!D981</f>
        <v>C-8-3-1501</v>
      </c>
      <c r="B876" s="1061">
        <f>清单!F981</f>
        <v>51.59</v>
      </c>
      <c r="C876" s="3093">
        <f t="shared" si="145"/>
        <v>1</v>
      </c>
      <c r="D876" s="293"/>
      <c r="E876" s="3093">
        <f t="shared" si="146"/>
        <v>1</v>
      </c>
      <c r="F876" s="293"/>
      <c r="G876" s="3093">
        <f t="shared" si="147"/>
        <v>1</v>
      </c>
      <c r="H876" s="293"/>
      <c r="I876" s="3093">
        <f t="shared" si="148"/>
        <v>1</v>
      </c>
      <c r="J876" s="293"/>
      <c r="K876" s="3093">
        <f t="shared" si="149"/>
        <v>1</v>
      </c>
      <c r="L876" s="293"/>
      <c r="M876" s="3093">
        <f t="shared" si="150"/>
        <v>1</v>
      </c>
      <c r="N876" s="293"/>
      <c r="O876" s="3093">
        <f t="shared" si="151"/>
        <v>1</v>
      </c>
      <c r="P876" s="291" t="s">
        <v>3020</v>
      </c>
      <c r="Q876" s="3093">
        <f t="shared" si="152"/>
        <v>1.03</v>
      </c>
      <c r="R876" s="3093">
        <f t="shared" si="153"/>
        <v>28725</v>
      </c>
      <c r="S876" s="1651">
        <f t="shared" si="154"/>
        <v>148</v>
      </c>
    </row>
    <row r="877" spans="1:19">
      <c r="A877" s="1061" t="str">
        <f>清单!D1000</f>
        <v>C-8-3-504</v>
      </c>
      <c r="B877" s="1061">
        <f>清单!F1000</f>
        <v>51.55</v>
      </c>
      <c r="C877" s="3093">
        <f t="shared" si="145"/>
        <v>1</v>
      </c>
      <c r="D877" s="293"/>
      <c r="E877" s="3093">
        <f t="shared" si="146"/>
        <v>1</v>
      </c>
      <c r="F877" s="293"/>
      <c r="G877" s="3093">
        <f t="shared" si="147"/>
        <v>1</v>
      </c>
      <c r="H877" s="293"/>
      <c r="I877" s="3093">
        <f t="shared" si="148"/>
        <v>1</v>
      </c>
      <c r="J877" s="293"/>
      <c r="K877" s="3093">
        <f t="shared" si="149"/>
        <v>1</v>
      </c>
      <c r="L877" s="293"/>
      <c r="M877" s="3093">
        <f t="shared" si="150"/>
        <v>1</v>
      </c>
      <c r="N877" s="293"/>
      <c r="O877" s="3093">
        <f t="shared" si="151"/>
        <v>1</v>
      </c>
      <c r="P877" s="291" t="s">
        <v>3024</v>
      </c>
      <c r="Q877" s="3093">
        <f t="shared" si="152"/>
        <v>0.97</v>
      </c>
      <c r="R877" s="3093">
        <f t="shared" si="153"/>
        <v>27051</v>
      </c>
      <c r="S877" s="1651">
        <f t="shared" si="154"/>
        <v>139</v>
      </c>
    </row>
    <row r="878" spans="1:19">
      <c r="A878" s="1061" t="str">
        <f>清单!D1001</f>
        <v>C-8-3-601</v>
      </c>
      <c r="B878" s="1061">
        <f>清单!F1001</f>
        <v>51.59</v>
      </c>
      <c r="C878" s="3093">
        <f t="shared" si="145"/>
        <v>1</v>
      </c>
      <c r="D878" s="293"/>
      <c r="E878" s="3093">
        <f t="shared" si="146"/>
        <v>1</v>
      </c>
      <c r="F878" s="293"/>
      <c r="G878" s="3093">
        <f t="shared" si="147"/>
        <v>1</v>
      </c>
      <c r="H878" s="293"/>
      <c r="I878" s="3093">
        <f t="shared" si="148"/>
        <v>1</v>
      </c>
      <c r="J878" s="293"/>
      <c r="K878" s="3093">
        <f t="shared" si="149"/>
        <v>1</v>
      </c>
      <c r="L878" s="293"/>
      <c r="M878" s="3093">
        <f t="shared" si="150"/>
        <v>1</v>
      </c>
      <c r="N878" s="293"/>
      <c r="O878" s="3093">
        <f t="shared" si="151"/>
        <v>1</v>
      </c>
      <c r="P878" s="291" t="s">
        <v>3022</v>
      </c>
      <c r="Q878" s="3093">
        <f t="shared" si="152"/>
        <v>1</v>
      </c>
      <c r="R878" s="3093">
        <f t="shared" si="153"/>
        <v>27888</v>
      </c>
      <c r="S878" s="1651">
        <f t="shared" si="154"/>
        <v>144</v>
      </c>
    </row>
    <row r="879" spans="1:19">
      <c r="A879" s="1061" t="str">
        <f>清单!D984</f>
        <v>C-8-3-1504</v>
      </c>
      <c r="B879" s="1061">
        <f>清单!F984</f>
        <v>51.55</v>
      </c>
      <c r="C879" s="3093">
        <f t="shared" si="145"/>
        <v>1</v>
      </c>
      <c r="D879" s="293"/>
      <c r="E879" s="3093">
        <f t="shared" si="146"/>
        <v>1</v>
      </c>
      <c r="F879" s="293"/>
      <c r="G879" s="3093">
        <f t="shared" si="147"/>
        <v>1</v>
      </c>
      <c r="H879" s="293"/>
      <c r="I879" s="3093">
        <f t="shared" si="148"/>
        <v>1</v>
      </c>
      <c r="J879" s="293"/>
      <c r="K879" s="3093">
        <f t="shared" si="149"/>
        <v>1</v>
      </c>
      <c r="L879" s="293"/>
      <c r="M879" s="3093">
        <f t="shared" si="150"/>
        <v>1</v>
      </c>
      <c r="N879" s="293"/>
      <c r="O879" s="3093">
        <f t="shared" si="151"/>
        <v>1</v>
      </c>
      <c r="P879" s="291" t="s">
        <v>3020</v>
      </c>
      <c r="Q879" s="3093">
        <f t="shared" si="152"/>
        <v>1.03</v>
      </c>
      <c r="R879" s="3093">
        <f t="shared" si="153"/>
        <v>28725</v>
      </c>
      <c r="S879" s="1651">
        <f t="shared" si="154"/>
        <v>148</v>
      </c>
    </row>
    <row r="880" spans="1:19">
      <c r="A880" s="1061" t="str">
        <f>清单!D985</f>
        <v>C-8-3-201</v>
      </c>
      <c r="B880" s="1061">
        <f>清单!F985</f>
        <v>51.59</v>
      </c>
      <c r="C880" s="3093">
        <f t="shared" si="145"/>
        <v>1</v>
      </c>
      <c r="D880" s="293"/>
      <c r="E880" s="3093">
        <f t="shared" si="146"/>
        <v>1</v>
      </c>
      <c r="F880" s="293"/>
      <c r="G880" s="3093">
        <f t="shared" si="147"/>
        <v>1</v>
      </c>
      <c r="H880" s="293"/>
      <c r="I880" s="3093">
        <f t="shared" si="148"/>
        <v>1</v>
      </c>
      <c r="J880" s="293"/>
      <c r="K880" s="3093">
        <f t="shared" si="149"/>
        <v>1</v>
      </c>
      <c r="L880" s="293"/>
      <c r="M880" s="3093">
        <f t="shared" si="150"/>
        <v>1</v>
      </c>
      <c r="N880" s="293"/>
      <c r="O880" s="3093">
        <f t="shared" si="151"/>
        <v>1</v>
      </c>
      <c r="P880" s="291" t="s">
        <v>3024</v>
      </c>
      <c r="Q880" s="3093">
        <f t="shared" si="152"/>
        <v>0.97</v>
      </c>
      <c r="R880" s="3093">
        <f t="shared" si="153"/>
        <v>27051</v>
      </c>
      <c r="S880" s="1651">
        <f t="shared" si="154"/>
        <v>140</v>
      </c>
    </row>
    <row r="881" spans="1:19">
      <c r="A881" s="1061" t="str">
        <f>清单!D1004</f>
        <v>C-8-3-604</v>
      </c>
      <c r="B881" s="1061">
        <f>清单!F1004</f>
        <v>51.55</v>
      </c>
      <c r="C881" s="3093">
        <f t="shared" si="145"/>
        <v>1</v>
      </c>
      <c r="D881" s="293"/>
      <c r="E881" s="3093">
        <f t="shared" si="146"/>
        <v>1</v>
      </c>
      <c r="F881" s="293"/>
      <c r="G881" s="3093">
        <f t="shared" si="147"/>
        <v>1</v>
      </c>
      <c r="H881" s="293"/>
      <c r="I881" s="3093">
        <f t="shared" si="148"/>
        <v>1</v>
      </c>
      <c r="J881" s="293"/>
      <c r="K881" s="3093">
        <f t="shared" si="149"/>
        <v>1</v>
      </c>
      <c r="L881" s="293"/>
      <c r="M881" s="3093">
        <f t="shared" si="150"/>
        <v>1</v>
      </c>
      <c r="N881" s="293"/>
      <c r="O881" s="3093">
        <f t="shared" si="151"/>
        <v>1</v>
      </c>
      <c r="P881" s="291" t="s">
        <v>3022</v>
      </c>
      <c r="Q881" s="3093">
        <f t="shared" si="152"/>
        <v>1</v>
      </c>
      <c r="R881" s="3093">
        <f t="shared" si="153"/>
        <v>27888</v>
      </c>
      <c r="S881" s="1651">
        <f t="shared" si="154"/>
        <v>144</v>
      </c>
    </row>
    <row r="882" spans="1:19">
      <c r="A882" s="1061" t="str">
        <f>清单!D1005</f>
        <v>C-8-3-701</v>
      </c>
      <c r="B882" s="1061">
        <f>清单!F1005</f>
        <v>51.59</v>
      </c>
      <c r="C882" s="3093">
        <f t="shared" si="145"/>
        <v>1</v>
      </c>
      <c r="D882" s="293"/>
      <c r="E882" s="3093">
        <f t="shared" si="146"/>
        <v>1</v>
      </c>
      <c r="F882" s="293"/>
      <c r="G882" s="3093">
        <f t="shared" si="147"/>
        <v>1</v>
      </c>
      <c r="H882" s="293"/>
      <c r="I882" s="3093">
        <f t="shared" si="148"/>
        <v>1</v>
      </c>
      <c r="J882" s="293"/>
      <c r="K882" s="3093">
        <f t="shared" si="149"/>
        <v>1</v>
      </c>
      <c r="L882" s="293"/>
      <c r="M882" s="3093">
        <f t="shared" si="150"/>
        <v>1</v>
      </c>
      <c r="N882" s="293"/>
      <c r="O882" s="3093">
        <f t="shared" si="151"/>
        <v>1</v>
      </c>
      <c r="P882" s="291" t="s">
        <v>3022</v>
      </c>
      <c r="Q882" s="3093">
        <f t="shared" si="152"/>
        <v>1</v>
      </c>
      <c r="R882" s="3093">
        <f t="shared" si="153"/>
        <v>27888</v>
      </c>
      <c r="S882" s="1651">
        <f t="shared" si="154"/>
        <v>144</v>
      </c>
    </row>
    <row r="883" spans="1:19">
      <c r="A883" s="1061" t="str">
        <f>清单!D988</f>
        <v>C-8-3-204</v>
      </c>
      <c r="B883" s="1061">
        <f>清单!F988</f>
        <v>51.55</v>
      </c>
      <c r="C883" s="3093">
        <f t="shared" si="145"/>
        <v>1</v>
      </c>
      <c r="D883" s="293"/>
      <c r="E883" s="3093">
        <f t="shared" si="146"/>
        <v>1</v>
      </c>
      <c r="F883" s="293"/>
      <c r="G883" s="3093">
        <f t="shared" si="147"/>
        <v>1</v>
      </c>
      <c r="H883" s="293"/>
      <c r="I883" s="3093">
        <f t="shared" si="148"/>
        <v>1</v>
      </c>
      <c r="J883" s="293"/>
      <c r="K883" s="3093">
        <f t="shared" si="149"/>
        <v>1</v>
      </c>
      <c r="L883" s="293"/>
      <c r="M883" s="3093">
        <f t="shared" si="150"/>
        <v>1</v>
      </c>
      <c r="N883" s="293"/>
      <c r="O883" s="3093">
        <f t="shared" si="151"/>
        <v>1</v>
      </c>
      <c r="P883" s="291" t="s">
        <v>3024</v>
      </c>
      <c r="Q883" s="3093">
        <f t="shared" si="152"/>
        <v>0.97</v>
      </c>
      <c r="R883" s="3093">
        <f t="shared" si="153"/>
        <v>27051</v>
      </c>
      <c r="S883" s="1651">
        <f t="shared" si="154"/>
        <v>139</v>
      </c>
    </row>
    <row r="884" spans="1:19">
      <c r="A884" s="1061" t="str">
        <f>清单!D989</f>
        <v>C-8-3-301</v>
      </c>
      <c r="B884" s="1061">
        <f>清单!F989</f>
        <v>51.59</v>
      </c>
      <c r="C884" s="3093">
        <f t="shared" si="145"/>
        <v>1</v>
      </c>
      <c r="D884" s="293"/>
      <c r="E884" s="3093">
        <f t="shared" si="146"/>
        <v>1</v>
      </c>
      <c r="F884" s="293"/>
      <c r="G884" s="3093">
        <f t="shared" si="147"/>
        <v>1</v>
      </c>
      <c r="H884" s="293"/>
      <c r="I884" s="3093">
        <f t="shared" si="148"/>
        <v>1</v>
      </c>
      <c r="J884" s="293"/>
      <c r="K884" s="3093">
        <f t="shared" si="149"/>
        <v>1</v>
      </c>
      <c r="L884" s="293"/>
      <c r="M884" s="3093">
        <f t="shared" si="150"/>
        <v>1</v>
      </c>
      <c r="N884" s="293"/>
      <c r="O884" s="3093">
        <f t="shared" si="151"/>
        <v>1</v>
      </c>
      <c r="P884" s="291" t="s">
        <v>3024</v>
      </c>
      <c r="Q884" s="3093">
        <f t="shared" si="152"/>
        <v>0.97</v>
      </c>
      <c r="R884" s="3093">
        <f t="shared" si="153"/>
        <v>27051</v>
      </c>
      <c r="S884" s="1651">
        <f t="shared" si="154"/>
        <v>140</v>
      </c>
    </row>
    <row r="885" spans="1:19">
      <c r="A885" s="1061" t="str">
        <f>清单!D1008</f>
        <v>C-8-3-704</v>
      </c>
      <c r="B885" s="1061">
        <f>清单!F1008</f>
        <v>51.55</v>
      </c>
      <c r="C885" s="3093">
        <f t="shared" si="145"/>
        <v>1</v>
      </c>
      <c r="D885" s="293"/>
      <c r="E885" s="3093">
        <f t="shared" si="146"/>
        <v>1</v>
      </c>
      <c r="F885" s="293"/>
      <c r="G885" s="3093">
        <f t="shared" si="147"/>
        <v>1</v>
      </c>
      <c r="H885" s="293"/>
      <c r="I885" s="3093">
        <f t="shared" si="148"/>
        <v>1</v>
      </c>
      <c r="J885" s="293"/>
      <c r="K885" s="3093">
        <f t="shared" si="149"/>
        <v>1</v>
      </c>
      <c r="L885" s="293"/>
      <c r="M885" s="3093">
        <f t="shared" si="150"/>
        <v>1</v>
      </c>
      <c r="N885" s="293"/>
      <c r="O885" s="3093">
        <f t="shared" si="151"/>
        <v>1</v>
      </c>
      <c r="P885" s="291" t="s">
        <v>3022</v>
      </c>
      <c r="Q885" s="3093">
        <f t="shared" si="152"/>
        <v>1</v>
      </c>
      <c r="R885" s="3093">
        <f t="shared" si="153"/>
        <v>27888</v>
      </c>
      <c r="S885" s="1651">
        <f t="shared" si="154"/>
        <v>144</v>
      </c>
    </row>
    <row r="886" spans="1:19">
      <c r="A886" s="1061" t="str">
        <f>清单!D1009</f>
        <v>C-8-3-801</v>
      </c>
      <c r="B886" s="1061">
        <f>清单!F1009</f>
        <v>51.59</v>
      </c>
      <c r="C886" s="3093">
        <f t="shared" si="145"/>
        <v>1</v>
      </c>
      <c r="D886" s="293"/>
      <c r="E886" s="3093">
        <f t="shared" si="146"/>
        <v>1</v>
      </c>
      <c r="F886" s="293"/>
      <c r="G886" s="3093">
        <f t="shared" si="147"/>
        <v>1</v>
      </c>
      <c r="H886" s="293"/>
      <c r="I886" s="3093">
        <f t="shared" si="148"/>
        <v>1</v>
      </c>
      <c r="J886" s="293"/>
      <c r="K886" s="3093">
        <f t="shared" si="149"/>
        <v>1</v>
      </c>
      <c r="L886" s="293"/>
      <c r="M886" s="3093">
        <f t="shared" si="150"/>
        <v>1</v>
      </c>
      <c r="N886" s="293"/>
      <c r="O886" s="3093">
        <f t="shared" si="151"/>
        <v>1</v>
      </c>
      <c r="P886" s="291" t="s">
        <v>3022</v>
      </c>
      <c r="Q886" s="3093">
        <f t="shared" si="152"/>
        <v>1</v>
      </c>
      <c r="R886" s="3093">
        <f t="shared" si="153"/>
        <v>27888</v>
      </c>
      <c r="S886" s="1651">
        <f t="shared" si="154"/>
        <v>144</v>
      </c>
    </row>
    <row r="887" spans="1:19">
      <c r="A887" s="1061" t="str">
        <f>清单!D992</f>
        <v>C-8-3-304</v>
      </c>
      <c r="B887" s="1061">
        <f>清单!F992</f>
        <v>51.55</v>
      </c>
      <c r="C887" s="3093">
        <f t="shared" si="145"/>
        <v>1</v>
      </c>
      <c r="D887" s="293"/>
      <c r="E887" s="3093">
        <f t="shared" si="146"/>
        <v>1</v>
      </c>
      <c r="F887" s="293"/>
      <c r="G887" s="3093">
        <f t="shared" si="147"/>
        <v>1</v>
      </c>
      <c r="H887" s="293"/>
      <c r="I887" s="3093">
        <f t="shared" si="148"/>
        <v>1</v>
      </c>
      <c r="J887" s="293"/>
      <c r="K887" s="3093">
        <f t="shared" si="149"/>
        <v>1</v>
      </c>
      <c r="L887" s="293"/>
      <c r="M887" s="3093">
        <f t="shared" si="150"/>
        <v>1</v>
      </c>
      <c r="N887" s="293"/>
      <c r="O887" s="3093">
        <f t="shared" si="151"/>
        <v>1</v>
      </c>
      <c r="P887" s="291" t="s">
        <v>3024</v>
      </c>
      <c r="Q887" s="3093">
        <f t="shared" si="152"/>
        <v>0.97</v>
      </c>
      <c r="R887" s="3093">
        <f t="shared" si="153"/>
        <v>27051</v>
      </c>
      <c r="S887" s="1651">
        <f t="shared" si="154"/>
        <v>139</v>
      </c>
    </row>
    <row r="888" spans="1:19">
      <c r="A888" s="1061" t="str">
        <f>清单!D993</f>
        <v>C-8-3-401</v>
      </c>
      <c r="B888" s="1061">
        <f>清单!F993</f>
        <v>51.59</v>
      </c>
      <c r="C888" s="3093">
        <f t="shared" si="145"/>
        <v>1</v>
      </c>
      <c r="D888" s="293"/>
      <c r="E888" s="3093">
        <f t="shared" si="146"/>
        <v>1</v>
      </c>
      <c r="F888" s="293"/>
      <c r="G888" s="3093">
        <f t="shared" si="147"/>
        <v>1</v>
      </c>
      <c r="H888" s="293"/>
      <c r="I888" s="3093">
        <f t="shared" si="148"/>
        <v>1</v>
      </c>
      <c r="J888" s="293"/>
      <c r="K888" s="3093">
        <f t="shared" si="149"/>
        <v>1</v>
      </c>
      <c r="L888" s="293"/>
      <c r="M888" s="3093">
        <f t="shared" si="150"/>
        <v>1</v>
      </c>
      <c r="N888" s="293"/>
      <c r="O888" s="3093">
        <f t="shared" si="151"/>
        <v>1</v>
      </c>
      <c r="P888" s="291" t="s">
        <v>3024</v>
      </c>
      <c r="Q888" s="3093">
        <f t="shared" si="152"/>
        <v>0.97</v>
      </c>
      <c r="R888" s="3093">
        <f t="shared" si="153"/>
        <v>27051</v>
      </c>
      <c r="S888" s="1651">
        <f t="shared" si="154"/>
        <v>140</v>
      </c>
    </row>
    <row r="889" spans="1:19">
      <c r="A889" s="1061" t="str">
        <f>清单!D1012</f>
        <v>C-8-3-804</v>
      </c>
      <c r="B889" s="1061">
        <f>清单!F1012</f>
        <v>51.55</v>
      </c>
      <c r="C889" s="3093">
        <f t="shared" si="145"/>
        <v>1</v>
      </c>
      <c r="D889" s="293"/>
      <c r="E889" s="3093">
        <f t="shared" si="146"/>
        <v>1</v>
      </c>
      <c r="F889" s="293"/>
      <c r="G889" s="3093">
        <f t="shared" si="147"/>
        <v>1</v>
      </c>
      <c r="H889" s="293"/>
      <c r="I889" s="3093">
        <f t="shared" si="148"/>
        <v>1</v>
      </c>
      <c r="J889" s="293"/>
      <c r="K889" s="3093">
        <f t="shared" si="149"/>
        <v>1</v>
      </c>
      <c r="L889" s="293"/>
      <c r="M889" s="3093">
        <f t="shared" si="150"/>
        <v>1</v>
      </c>
      <c r="N889" s="293"/>
      <c r="O889" s="3093">
        <f t="shared" si="151"/>
        <v>1</v>
      </c>
      <c r="P889" s="291" t="s">
        <v>3022</v>
      </c>
      <c r="Q889" s="3093">
        <f t="shared" si="152"/>
        <v>1</v>
      </c>
      <c r="R889" s="3093">
        <f t="shared" si="153"/>
        <v>27888</v>
      </c>
      <c r="S889" s="1651">
        <f t="shared" si="154"/>
        <v>144</v>
      </c>
    </row>
    <row r="890" spans="1:19">
      <c r="A890" s="1061" t="str">
        <f>清单!D1013</f>
        <v>C-8-3-901</v>
      </c>
      <c r="B890" s="1061">
        <f>清单!F1013</f>
        <v>51.59</v>
      </c>
      <c r="C890" s="3093">
        <f t="shared" si="145"/>
        <v>1</v>
      </c>
      <c r="D890" s="293"/>
      <c r="E890" s="3093">
        <f t="shared" si="146"/>
        <v>1</v>
      </c>
      <c r="F890" s="293"/>
      <c r="G890" s="3093">
        <f t="shared" si="147"/>
        <v>1</v>
      </c>
      <c r="H890" s="293"/>
      <c r="I890" s="3093">
        <f t="shared" si="148"/>
        <v>1</v>
      </c>
      <c r="J890" s="293"/>
      <c r="K890" s="3093">
        <f t="shared" si="149"/>
        <v>1</v>
      </c>
      <c r="L890" s="293"/>
      <c r="M890" s="3093">
        <f t="shared" si="150"/>
        <v>1</v>
      </c>
      <c r="N890" s="293"/>
      <c r="O890" s="3093">
        <f t="shared" si="151"/>
        <v>1</v>
      </c>
      <c r="P890" s="291" t="s">
        <v>3022</v>
      </c>
      <c r="Q890" s="3093">
        <f t="shared" si="152"/>
        <v>1</v>
      </c>
      <c r="R890" s="3093">
        <f t="shared" si="153"/>
        <v>27888</v>
      </c>
      <c r="S890" s="1651">
        <f t="shared" si="154"/>
        <v>144</v>
      </c>
    </row>
    <row r="891" spans="1:19">
      <c r="A891" s="1061" t="str">
        <f>清单!D996</f>
        <v>C-8-3-404</v>
      </c>
      <c r="B891" s="1061">
        <f>清单!F996</f>
        <v>51.55</v>
      </c>
      <c r="C891" s="3093">
        <f t="shared" si="145"/>
        <v>1</v>
      </c>
      <c r="D891" s="293"/>
      <c r="E891" s="3093">
        <f t="shared" si="146"/>
        <v>1</v>
      </c>
      <c r="F891" s="293"/>
      <c r="G891" s="3093">
        <f t="shared" si="147"/>
        <v>1</v>
      </c>
      <c r="H891" s="293"/>
      <c r="I891" s="3093">
        <f t="shared" si="148"/>
        <v>1</v>
      </c>
      <c r="J891" s="293"/>
      <c r="K891" s="3093">
        <f t="shared" si="149"/>
        <v>1</v>
      </c>
      <c r="L891" s="293"/>
      <c r="M891" s="3093">
        <f t="shared" si="150"/>
        <v>1</v>
      </c>
      <c r="N891" s="293"/>
      <c r="O891" s="3093">
        <f t="shared" si="151"/>
        <v>1</v>
      </c>
      <c r="P891" s="291" t="s">
        <v>3024</v>
      </c>
      <c r="Q891" s="3093">
        <f t="shared" si="152"/>
        <v>0.97</v>
      </c>
      <c r="R891" s="3093">
        <f t="shared" si="153"/>
        <v>27051</v>
      </c>
      <c r="S891" s="1651">
        <f t="shared" si="154"/>
        <v>139</v>
      </c>
    </row>
    <row r="892" spans="1:19">
      <c r="A892" s="1061" t="str">
        <f>清单!D997</f>
        <v>C-8-3-501</v>
      </c>
      <c r="B892" s="1061">
        <f>清单!F997</f>
        <v>51.59</v>
      </c>
      <c r="C892" s="3093">
        <f t="shared" si="145"/>
        <v>1</v>
      </c>
      <c r="D892" s="293"/>
      <c r="E892" s="3093">
        <f t="shared" si="146"/>
        <v>1</v>
      </c>
      <c r="F892" s="293"/>
      <c r="G892" s="3093">
        <f t="shared" si="147"/>
        <v>1</v>
      </c>
      <c r="H892" s="293"/>
      <c r="I892" s="3093">
        <f t="shared" si="148"/>
        <v>1</v>
      </c>
      <c r="J892" s="293"/>
      <c r="K892" s="3093">
        <f t="shared" si="149"/>
        <v>1</v>
      </c>
      <c r="L892" s="293"/>
      <c r="M892" s="3093">
        <f t="shared" si="150"/>
        <v>1</v>
      </c>
      <c r="N892" s="293"/>
      <c r="O892" s="3093">
        <f t="shared" si="151"/>
        <v>1</v>
      </c>
      <c r="P892" s="291" t="s">
        <v>3024</v>
      </c>
      <c r="Q892" s="3093">
        <f t="shared" si="152"/>
        <v>0.97</v>
      </c>
      <c r="R892" s="3093">
        <f t="shared" si="153"/>
        <v>27051</v>
      </c>
      <c r="S892" s="1651">
        <f t="shared" si="154"/>
        <v>140</v>
      </c>
    </row>
    <row r="893" spans="1:19">
      <c r="A893" s="1061" t="str">
        <f>清单!D1016</f>
        <v>C-8-3-904</v>
      </c>
      <c r="B893" s="1061">
        <f>清单!F1016</f>
        <v>51.55</v>
      </c>
      <c r="C893" s="3093">
        <f t="shared" ref="C893:C955" si="155">IF(B893="",1,(LOOKUP(B893,$3:$3,$4:$4)-LOOKUP($B$24,$3:$3,$4:$4)+100)/100)</f>
        <v>1</v>
      </c>
      <c r="D893" s="293"/>
      <c r="E893" s="3093">
        <f t="shared" ref="E893:E955" si="156">(SUMIF($5:$5,D893,$6:$6)-SUMIF($5:$5,$D$24,$6:$6)+100)/100</f>
        <v>1</v>
      </c>
      <c r="F893" s="293"/>
      <c r="G893" s="3093">
        <f t="shared" ref="G893:G955" si="157">(SUMIF($7:$7,F893,$8:$8)-SUMIF($7:$7,$F$24,$8:$8)+100)/100</f>
        <v>1</v>
      </c>
      <c r="H893" s="293"/>
      <c r="I893" s="3093">
        <f t="shared" ref="I893:I955" si="158">(SUMIF($9:$9,H893,$10:$10)-SUMIF($9:$9,$H$24,$10:$10)+100)/100</f>
        <v>1</v>
      </c>
      <c r="J893" s="293"/>
      <c r="K893" s="3093">
        <f t="shared" ref="K893:K955" si="159">(SUMIF($11:$11,J893,$12:$12)-SUMIF($11:$11,$J$24,$12:$12)+100)/100</f>
        <v>1</v>
      </c>
      <c r="L893" s="293"/>
      <c r="M893" s="3093">
        <f t="shared" ref="M893:M955" si="160">(SUMIF($13:$13,L893,$14:$14)-SUMIF($13:$13,$L$24,$14:$14)+100)/100</f>
        <v>1</v>
      </c>
      <c r="N893" s="293"/>
      <c r="O893" s="3093">
        <f t="shared" ref="O893:O955" si="161">(SUMIF($15:$15,N893,$16:$16)-SUMIF($15:$15,$N$24,$16:$16)+100)/100</f>
        <v>1</v>
      </c>
      <c r="P893" s="291" t="s">
        <v>3022</v>
      </c>
      <c r="Q893" s="3093">
        <f t="shared" ref="Q893:Q955" si="162">(SUMIF($17:$17,P893,$18:$18)-SUMIF($17:$17,$P$24,$18:$18)+100)/100</f>
        <v>1</v>
      </c>
      <c r="R893" s="3093">
        <f t="shared" ref="R893:R955" si="163">IF(B893="",0,ROUND($R$24*C893*E893*G893*I893*K893*M893*O893*Q893,0))</f>
        <v>27888</v>
      </c>
      <c r="S893" s="1651">
        <f t="shared" ref="S893:S955" si="164">ROUND(R893*B893/10000,0)</f>
        <v>144</v>
      </c>
    </row>
    <row r="894" spans="1:19">
      <c r="A894" s="1061" t="str">
        <f>清单!D1017</f>
        <v>C-8-4-1001</v>
      </c>
      <c r="B894" s="1061">
        <f>清单!F1017</f>
        <v>51.48</v>
      </c>
      <c r="C894" s="3093">
        <f t="shared" si="155"/>
        <v>1</v>
      </c>
      <c r="D894" s="293"/>
      <c r="E894" s="3093">
        <f t="shared" si="156"/>
        <v>1</v>
      </c>
      <c r="F894" s="293"/>
      <c r="G894" s="3093">
        <f t="shared" si="157"/>
        <v>1</v>
      </c>
      <c r="H894" s="293"/>
      <c r="I894" s="3093">
        <f t="shared" si="158"/>
        <v>1</v>
      </c>
      <c r="J894" s="293"/>
      <c r="K894" s="3093">
        <f t="shared" si="159"/>
        <v>1</v>
      </c>
      <c r="L894" s="293"/>
      <c r="M894" s="3093">
        <f t="shared" si="160"/>
        <v>1</v>
      </c>
      <c r="N894" s="293"/>
      <c r="O894" s="3093">
        <f t="shared" si="161"/>
        <v>1</v>
      </c>
      <c r="P894" s="291" t="s">
        <v>3022</v>
      </c>
      <c r="Q894" s="3093">
        <f t="shared" si="162"/>
        <v>1</v>
      </c>
      <c r="R894" s="3093">
        <f t="shared" si="163"/>
        <v>27888</v>
      </c>
      <c r="S894" s="1651">
        <f t="shared" si="164"/>
        <v>144</v>
      </c>
    </row>
    <row r="895" spans="1:19">
      <c r="A895" s="1061" t="str">
        <f>清单!D1000</f>
        <v>C-8-3-504</v>
      </c>
      <c r="B895" s="1061">
        <f>清单!F1000</f>
        <v>51.55</v>
      </c>
      <c r="C895" s="3093">
        <f t="shared" si="155"/>
        <v>1</v>
      </c>
      <c r="D895" s="293"/>
      <c r="E895" s="3093">
        <f t="shared" si="156"/>
        <v>1</v>
      </c>
      <c r="F895" s="293"/>
      <c r="G895" s="3093">
        <f t="shared" si="157"/>
        <v>1</v>
      </c>
      <c r="H895" s="293"/>
      <c r="I895" s="3093">
        <f t="shared" si="158"/>
        <v>1</v>
      </c>
      <c r="J895" s="293"/>
      <c r="K895" s="3093">
        <f t="shared" si="159"/>
        <v>1</v>
      </c>
      <c r="L895" s="293"/>
      <c r="M895" s="3093">
        <f t="shared" si="160"/>
        <v>1</v>
      </c>
      <c r="N895" s="293"/>
      <c r="O895" s="3093">
        <f t="shared" si="161"/>
        <v>1</v>
      </c>
      <c r="P895" s="291" t="s">
        <v>3024</v>
      </c>
      <c r="Q895" s="3093">
        <f t="shared" si="162"/>
        <v>0.97</v>
      </c>
      <c r="R895" s="3093">
        <f t="shared" si="163"/>
        <v>27051</v>
      </c>
      <c r="S895" s="1651">
        <f t="shared" si="164"/>
        <v>139</v>
      </c>
    </row>
    <row r="896" spans="1:19">
      <c r="A896" s="1061" t="str">
        <f>清单!D1001</f>
        <v>C-8-3-601</v>
      </c>
      <c r="B896" s="1061">
        <f>清单!F1001</f>
        <v>51.59</v>
      </c>
      <c r="C896" s="3093">
        <f t="shared" si="155"/>
        <v>1</v>
      </c>
      <c r="D896" s="293"/>
      <c r="E896" s="3093">
        <f t="shared" si="156"/>
        <v>1</v>
      </c>
      <c r="F896" s="293"/>
      <c r="G896" s="3093">
        <f t="shared" si="157"/>
        <v>1</v>
      </c>
      <c r="H896" s="293"/>
      <c r="I896" s="3093">
        <f t="shared" si="158"/>
        <v>1</v>
      </c>
      <c r="J896" s="293"/>
      <c r="K896" s="3093">
        <f t="shared" si="159"/>
        <v>1</v>
      </c>
      <c r="L896" s="293"/>
      <c r="M896" s="3093">
        <f t="shared" si="160"/>
        <v>1</v>
      </c>
      <c r="N896" s="293"/>
      <c r="O896" s="3093">
        <f t="shared" si="161"/>
        <v>1</v>
      </c>
      <c r="P896" s="291" t="s">
        <v>3022</v>
      </c>
      <c r="Q896" s="3093">
        <f t="shared" si="162"/>
        <v>1</v>
      </c>
      <c r="R896" s="3093">
        <f t="shared" si="163"/>
        <v>27888</v>
      </c>
      <c r="S896" s="1651">
        <f t="shared" si="164"/>
        <v>144</v>
      </c>
    </row>
    <row r="897" spans="1:19">
      <c r="A897" s="1061" t="str">
        <f>清单!D1020</f>
        <v>C-8-4-1004</v>
      </c>
      <c r="B897" s="1061">
        <f>清单!F1020</f>
        <v>52.19</v>
      </c>
      <c r="C897" s="3093">
        <f t="shared" si="155"/>
        <v>1</v>
      </c>
      <c r="D897" s="293"/>
      <c r="E897" s="3093">
        <f t="shared" si="156"/>
        <v>1</v>
      </c>
      <c r="F897" s="293"/>
      <c r="G897" s="3093">
        <f t="shared" si="157"/>
        <v>1</v>
      </c>
      <c r="H897" s="293"/>
      <c r="I897" s="3093">
        <f t="shared" si="158"/>
        <v>1</v>
      </c>
      <c r="J897" s="293"/>
      <c r="K897" s="3093">
        <f t="shared" si="159"/>
        <v>1</v>
      </c>
      <c r="L897" s="293"/>
      <c r="M897" s="3093">
        <f t="shared" si="160"/>
        <v>1</v>
      </c>
      <c r="N897" s="293"/>
      <c r="O897" s="3093">
        <f t="shared" si="161"/>
        <v>1</v>
      </c>
      <c r="P897" s="291" t="s">
        <v>3022</v>
      </c>
      <c r="Q897" s="3093">
        <f t="shared" si="162"/>
        <v>1</v>
      </c>
      <c r="R897" s="3093">
        <f t="shared" si="163"/>
        <v>27888</v>
      </c>
      <c r="S897" s="1651">
        <f t="shared" si="164"/>
        <v>146</v>
      </c>
    </row>
    <row r="898" spans="1:19">
      <c r="A898" s="1061" t="str">
        <f>清单!D1021</f>
        <v>C-8-4-101</v>
      </c>
      <c r="B898" s="1061">
        <f>清单!F1021</f>
        <v>51.48</v>
      </c>
      <c r="C898" s="3093">
        <f t="shared" si="155"/>
        <v>1</v>
      </c>
      <c r="D898" s="293"/>
      <c r="E898" s="3093">
        <f t="shared" si="156"/>
        <v>1</v>
      </c>
      <c r="F898" s="293"/>
      <c r="G898" s="3093">
        <f t="shared" si="157"/>
        <v>1</v>
      </c>
      <c r="H898" s="293"/>
      <c r="I898" s="3093">
        <f t="shared" si="158"/>
        <v>1</v>
      </c>
      <c r="J898" s="293"/>
      <c r="K898" s="3093">
        <f t="shared" si="159"/>
        <v>1</v>
      </c>
      <c r="L898" s="293"/>
      <c r="M898" s="3093">
        <f t="shared" si="160"/>
        <v>1</v>
      </c>
      <c r="N898" s="293"/>
      <c r="O898" s="3093">
        <f t="shared" si="161"/>
        <v>1</v>
      </c>
      <c r="P898" s="291" t="s">
        <v>3024</v>
      </c>
      <c r="Q898" s="3093">
        <f t="shared" si="162"/>
        <v>0.97</v>
      </c>
      <c r="R898" s="3093">
        <f t="shared" si="163"/>
        <v>27051</v>
      </c>
      <c r="S898" s="1651">
        <f t="shared" si="164"/>
        <v>139</v>
      </c>
    </row>
    <row r="899" spans="1:19">
      <c r="A899" s="1061" t="str">
        <f>清单!D1004</f>
        <v>C-8-3-604</v>
      </c>
      <c r="B899" s="1061">
        <f>清单!F1004</f>
        <v>51.55</v>
      </c>
      <c r="C899" s="3093">
        <f t="shared" si="155"/>
        <v>1</v>
      </c>
      <c r="D899" s="293"/>
      <c r="E899" s="3093">
        <f t="shared" si="156"/>
        <v>1</v>
      </c>
      <c r="F899" s="293"/>
      <c r="G899" s="3093">
        <f t="shared" si="157"/>
        <v>1</v>
      </c>
      <c r="H899" s="293"/>
      <c r="I899" s="3093">
        <f t="shared" si="158"/>
        <v>1</v>
      </c>
      <c r="J899" s="293"/>
      <c r="K899" s="3093">
        <f t="shared" si="159"/>
        <v>1</v>
      </c>
      <c r="L899" s="293"/>
      <c r="M899" s="3093">
        <f t="shared" si="160"/>
        <v>1</v>
      </c>
      <c r="N899" s="293"/>
      <c r="O899" s="3093">
        <f t="shared" si="161"/>
        <v>1</v>
      </c>
      <c r="P899" s="291" t="s">
        <v>3022</v>
      </c>
      <c r="Q899" s="3093">
        <f t="shared" si="162"/>
        <v>1</v>
      </c>
      <c r="R899" s="3093">
        <f t="shared" si="163"/>
        <v>27888</v>
      </c>
      <c r="S899" s="1651">
        <f t="shared" si="164"/>
        <v>144</v>
      </c>
    </row>
    <row r="900" spans="1:19">
      <c r="A900" s="1061" t="str">
        <f>清单!D1005</f>
        <v>C-8-3-701</v>
      </c>
      <c r="B900" s="1061">
        <f>清单!F1005</f>
        <v>51.59</v>
      </c>
      <c r="C900" s="3093">
        <f t="shared" si="155"/>
        <v>1</v>
      </c>
      <c r="D900" s="293"/>
      <c r="E900" s="3093">
        <f t="shared" si="156"/>
        <v>1</v>
      </c>
      <c r="F900" s="293"/>
      <c r="G900" s="3093">
        <f t="shared" si="157"/>
        <v>1</v>
      </c>
      <c r="H900" s="293"/>
      <c r="I900" s="3093">
        <f t="shared" si="158"/>
        <v>1</v>
      </c>
      <c r="J900" s="293"/>
      <c r="K900" s="3093">
        <f t="shared" si="159"/>
        <v>1</v>
      </c>
      <c r="L900" s="293"/>
      <c r="M900" s="3093">
        <f t="shared" si="160"/>
        <v>1</v>
      </c>
      <c r="N900" s="293"/>
      <c r="O900" s="3093">
        <f t="shared" si="161"/>
        <v>1</v>
      </c>
      <c r="P900" s="291" t="s">
        <v>3022</v>
      </c>
      <c r="Q900" s="3093">
        <f t="shared" si="162"/>
        <v>1</v>
      </c>
      <c r="R900" s="3093">
        <f t="shared" si="163"/>
        <v>27888</v>
      </c>
      <c r="S900" s="1651">
        <f t="shared" si="164"/>
        <v>144</v>
      </c>
    </row>
    <row r="901" spans="1:19">
      <c r="A901" s="1061" t="str">
        <f>清单!D1024</f>
        <v>C-8-4-1101</v>
      </c>
      <c r="B901" s="1061">
        <f>清单!F1024</f>
        <v>51.48</v>
      </c>
      <c r="C901" s="3093">
        <f t="shared" si="155"/>
        <v>1</v>
      </c>
      <c r="D901" s="293"/>
      <c r="E901" s="3093">
        <f t="shared" si="156"/>
        <v>1</v>
      </c>
      <c r="F901" s="293"/>
      <c r="G901" s="3093">
        <f t="shared" si="157"/>
        <v>1</v>
      </c>
      <c r="H901" s="293"/>
      <c r="I901" s="3093">
        <f t="shared" si="158"/>
        <v>1</v>
      </c>
      <c r="J901" s="293"/>
      <c r="K901" s="3093">
        <f t="shared" si="159"/>
        <v>1</v>
      </c>
      <c r="L901" s="293"/>
      <c r="M901" s="3093">
        <f t="shared" si="160"/>
        <v>1</v>
      </c>
      <c r="N901" s="293"/>
      <c r="O901" s="3093">
        <f t="shared" si="161"/>
        <v>1</v>
      </c>
      <c r="P901" s="291" t="s">
        <v>3020</v>
      </c>
      <c r="Q901" s="3093">
        <f t="shared" si="162"/>
        <v>1.03</v>
      </c>
      <c r="R901" s="3093">
        <f t="shared" si="163"/>
        <v>28725</v>
      </c>
      <c r="S901" s="1651">
        <f t="shared" si="164"/>
        <v>148</v>
      </c>
    </row>
    <row r="902" spans="1:19">
      <c r="A902" s="1061" t="str">
        <f>清单!D1025</f>
        <v>C-8-4-1102</v>
      </c>
      <c r="B902" s="1061">
        <f>清单!F1025</f>
        <v>52.23</v>
      </c>
      <c r="C902" s="3093">
        <f t="shared" si="155"/>
        <v>1</v>
      </c>
      <c r="D902" s="293"/>
      <c r="E902" s="3093">
        <f t="shared" si="156"/>
        <v>1</v>
      </c>
      <c r="F902" s="293"/>
      <c r="G902" s="3093">
        <f t="shared" si="157"/>
        <v>1</v>
      </c>
      <c r="H902" s="293"/>
      <c r="I902" s="3093">
        <f t="shared" si="158"/>
        <v>1</v>
      </c>
      <c r="J902" s="293"/>
      <c r="K902" s="3093">
        <f t="shared" si="159"/>
        <v>1</v>
      </c>
      <c r="L902" s="293"/>
      <c r="M902" s="3093">
        <f t="shared" si="160"/>
        <v>1</v>
      </c>
      <c r="N902" s="293"/>
      <c r="O902" s="3093">
        <f t="shared" si="161"/>
        <v>1</v>
      </c>
      <c r="P902" s="291" t="s">
        <v>3020</v>
      </c>
      <c r="Q902" s="3093">
        <f t="shared" si="162"/>
        <v>1.03</v>
      </c>
      <c r="R902" s="3093">
        <f t="shared" si="163"/>
        <v>28725</v>
      </c>
      <c r="S902" s="1651">
        <f t="shared" si="164"/>
        <v>150</v>
      </c>
    </row>
    <row r="903" spans="1:19">
      <c r="A903" s="1061" t="str">
        <f>清单!D1008</f>
        <v>C-8-3-704</v>
      </c>
      <c r="B903" s="1061">
        <f>清单!F1008</f>
        <v>51.55</v>
      </c>
      <c r="C903" s="3093">
        <f t="shared" si="155"/>
        <v>1</v>
      </c>
      <c r="D903" s="293"/>
      <c r="E903" s="3093">
        <f t="shared" si="156"/>
        <v>1</v>
      </c>
      <c r="F903" s="293"/>
      <c r="G903" s="3093">
        <f t="shared" si="157"/>
        <v>1</v>
      </c>
      <c r="H903" s="293"/>
      <c r="I903" s="3093">
        <f t="shared" si="158"/>
        <v>1</v>
      </c>
      <c r="J903" s="293"/>
      <c r="K903" s="3093">
        <f t="shared" si="159"/>
        <v>1</v>
      </c>
      <c r="L903" s="293"/>
      <c r="M903" s="3093">
        <f t="shared" si="160"/>
        <v>1</v>
      </c>
      <c r="N903" s="293"/>
      <c r="O903" s="3093">
        <f t="shared" si="161"/>
        <v>1</v>
      </c>
      <c r="P903" s="291" t="s">
        <v>3022</v>
      </c>
      <c r="Q903" s="3093">
        <f t="shared" si="162"/>
        <v>1</v>
      </c>
      <c r="R903" s="3093">
        <f t="shared" si="163"/>
        <v>27888</v>
      </c>
      <c r="S903" s="1651">
        <f t="shared" si="164"/>
        <v>144</v>
      </c>
    </row>
    <row r="904" spans="1:19">
      <c r="A904" s="1061" t="str">
        <f>清单!D1009</f>
        <v>C-8-3-801</v>
      </c>
      <c r="B904" s="1061">
        <f>清单!F1009</f>
        <v>51.59</v>
      </c>
      <c r="C904" s="3093">
        <f t="shared" si="155"/>
        <v>1</v>
      </c>
      <c r="D904" s="293"/>
      <c r="E904" s="3093">
        <f t="shared" si="156"/>
        <v>1</v>
      </c>
      <c r="F904" s="293"/>
      <c r="G904" s="3093">
        <f t="shared" si="157"/>
        <v>1</v>
      </c>
      <c r="H904" s="293"/>
      <c r="I904" s="3093">
        <f t="shared" si="158"/>
        <v>1</v>
      </c>
      <c r="J904" s="293"/>
      <c r="K904" s="3093">
        <f t="shared" si="159"/>
        <v>1</v>
      </c>
      <c r="L904" s="293"/>
      <c r="M904" s="3093">
        <f t="shared" si="160"/>
        <v>1</v>
      </c>
      <c r="N904" s="293"/>
      <c r="O904" s="3093">
        <f t="shared" si="161"/>
        <v>1</v>
      </c>
      <c r="P904" s="291" t="s">
        <v>3022</v>
      </c>
      <c r="Q904" s="3093">
        <f t="shared" si="162"/>
        <v>1</v>
      </c>
      <c r="R904" s="3093">
        <f t="shared" si="163"/>
        <v>27888</v>
      </c>
      <c r="S904" s="1651">
        <f t="shared" si="164"/>
        <v>144</v>
      </c>
    </row>
    <row r="905" spans="1:19">
      <c r="A905" s="1061" t="str">
        <f>清单!D1028</f>
        <v>C-8-4-1201</v>
      </c>
      <c r="B905" s="1061">
        <f>清单!F1028</f>
        <v>51.48</v>
      </c>
      <c r="C905" s="3093">
        <f t="shared" si="155"/>
        <v>1</v>
      </c>
      <c r="D905" s="293"/>
      <c r="E905" s="3093">
        <f t="shared" si="156"/>
        <v>1</v>
      </c>
      <c r="F905" s="293"/>
      <c r="G905" s="3093">
        <f t="shared" si="157"/>
        <v>1</v>
      </c>
      <c r="H905" s="293"/>
      <c r="I905" s="3093">
        <f t="shared" si="158"/>
        <v>1</v>
      </c>
      <c r="J905" s="293"/>
      <c r="K905" s="3093">
        <f t="shared" si="159"/>
        <v>1</v>
      </c>
      <c r="L905" s="293"/>
      <c r="M905" s="3093">
        <f t="shared" si="160"/>
        <v>1</v>
      </c>
      <c r="N905" s="293"/>
      <c r="O905" s="3093">
        <f t="shared" si="161"/>
        <v>1</v>
      </c>
      <c r="P905" s="291" t="s">
        <v>3020</v>
      </c>
      <c r="Q905" s="3093">
        <f t="shared" si="162"/>
        <v>1.03</v>
      </c>
      <c r="R905" s="3093">
        <f t="shared" si="163"/>
        <v>28725</v>
      </c>
      <c r="S905" s="1651">
        <f t="shared" si="164"/>
        <v>148</v>
      </c>
    </row>
    <row r="906" spans="1:19">
      <c r="A906" s="1061" t="str">
        <f>清单!D1029</f>
        <v>C-8-4-1202</v>
      </c>
      <c r="B906" s="1061">
        <f>清单!F1029</f>
        <v>52.23</v>
      </c>
      <c r="C906" s="3093">
        <f t="shared" si="155"/>
        <v>1</v>
      </c>
      <c r="D906" s="293"/>
      <c r="E906" s="3093">
        <f t="shared" si="156"/>
        <v>1</v>
      </c>
      <c r="F906" s="293"/>
      <c r="G906" s="3093">
        <f t="shared" si="157"/>
        <v>1</v>
      </c>
      <c r="H906" s="293"/>
      <c r="I906" s="3093">
        <f t="shared" si="158"/>
        <v>1</v>
      </c>
      <c r="J906" s="293"/>
      <c r="K906" s="3093">
        <f t="shared" si="159"/>
        <v>1</v>
      </c>
      <c r="L906" s="293"/>
      <c r="M906" s="3093">
        <f t="shared" si="160"/>
        <v>1</v>
      </c>
      <c r="N906" s="293"/>
      <c r="O906" s="3093">
        <f t="shared" si="161"/>
        <v>1</v>
      </c>
      <c r="P906" s="291" t="s">
        <v>3020</v>
      </c>
      <c r="Q906" s="3093">
        <f t="shared" si="162"/>
        <v>1.03</v>
      </c>
      <c r="R906" s="3093">
        <f t="shared" si="163"/>
        <v>28725</v>
      </c>
      <c r="S906" s="1651">
        <f t="shared" si="164"/>
        <v>150</v>
      </c>
    </row>
    <row r="907" spans="1:19">
      <c r="A907" s="1061" t="str">
        <f>清单!D1012</f>
        <v>C-8-3-804</v>
      </c>
      <c r="B907" s="1061">
        <f>清单!F1012</f>
        <v>51.55</v>
      </c>
      <c r="C907" s="3093">
        <f t="shared" si="155"/>
        <v>1</v>
      </c>
      <c r="D907" s="293"/>
      <c r="E907" s="3093">
        <f t="shared" si="156"/>
        <v>1</v>
      </c>
      <c r="F907" s="293"/>
      <c r="G907" s="3093">
        <f t="shared" si="157"/>
        <v>1</v>
      </c>
      <c r="H907" s="293"/>
      <c r="I907" s="3093">
        <f t="shared" si="158"/>
        <v>1</v>
      </c>
      <c r="J907" s="293"/>
      <c r="K907" s="3093">
        <f t="shared" si="159"/>
        <v>1</v>
      </c>
      <c r="L907" s="293"/>
      <c r="M907" s="3093">
        <f t="shared" si="160"/>
        <v>1</v>
      </c>
      <c r="N907" s="293"/>
      <c r="O907" s="3093">
        <f t="shared" si="161"/>
        <v>1</v>
      </c>
      <c r="P907" s="291" t="s">
        <v>3022</v>
      </c>
      <c r="Q907" s="3093">
        <f t="shared" si="162"/>
        <v>1</v>
      </c>
      <c r="R907" s="3093">
        <f t="shared" si="163"/>
        <v>27888</v>
      </c>
      <c r="S907" s="1651">
        <f t="shared" si="164"/>
        <v>144</v>
      </c>
    </row>
    <row r="908" spans="1:19">
      <c r="A908" s="1061" t="str">
        <f>清单!D1013</f>
        <v>C-8-3-901</v>
      </c>
      <c r="B908" s="1061">
        <f>清单!F1013</f>
        <v>51.59</v>
      </c>
      <c r="C908" s="3093">
        <f t="shared" si="155"/>
        <v>1</v>
      </c>
      <c r="D908" s="293"/>
      <c r="E908" s="3093">
        <f t="shared" si="156"/>
        <v>1</v>
      </c>
      <c r="F908" s="293"/>
      <c r="G908" s="3093">
        <f t="shared" si="157"/>
        <v>1</v>
      </c>
      <c r="H908" s="293"/>
      <c r="I908" s="3093">
        <f t="shared" si="158"/>
        <v>1</v>
      </c>
      <c r="J908" s="293"/>
      <c r="K908" s="3093">
        <f t="shared" si="159"/>
        <v>1</v>
      </c>
      <c r="L908" s="293"/>
      <c r="M908" s="3093">
        <f t="shared" si="160"/>
        <v>1</v>
      </c>
      <c r="N908" s="293"/>
      <c r="O908" s="3093">
        <f t="shared" si="161"/>
        <v>1</v>
      </c>
      <c r="P908" s="291" t="s">
        <v>3022</v>
      </c>
      <c r="Q908" s="3093">
        <f t="shared" si="162"/>
        <v>1</v>
      </c>
      <c r="R908" s="3093">
        <f t="shared" si="163"/>
        <v>27888</v>
      </c>
      <c r="S908" s="1651">
        <f t="shared" si="164"/>
        <v>144</v>
      </c>
    </row>
    <row r="909" spans="1:19">
      <c r="A909" s="1061" t="str">
        <f>清单!D1032</f>
        <v>C-8-4-1301</v>
      </c>
      <c r="B909" s="1061">
        <f>清单!F1032</f>
        <v>51.48</v>
      </c>
      <c r="C909" s="3093">
        <f t="shared" si="155"/>
        <v>1</v>
      </c>
      <c r="D909" s="293"/>
      <c r="E909" s="3093">
        <f t="shared" si="156"/>
        <v>1</v>
      </c>
      <c r="F909" s="293"/>
      <c r="G909" s="3093">
        <f t="shared" si="157"/>
        <v>1</v>
      </c>
      <c r="H909" s="293"/>
      <c r="I909" s="3093">
        <f t="shared" si="158"/>
        <v>1</v>
      </c>
      <c r="J909" s="293"/>
      <c r="K909" s="3093">
        <f t="shared" si="159"/>
        <v>1</v>
      </c>
      <c r="L909" s="293"/>
      <c r="M909" s="3093">
        <f t="shared" si="160"/>
        <v>1</v>
      </c>
      <c r="N909" s="293"/>
      <c r="O909" s="3093">
        <f t="shared" si="161"/>
        <v>1</v>
      </c>
      <c r="P909" s="291" t="s">
        <v>3020</v>
      </c>
      <c r="Q909" s="3093">
        <f t="shared" si="162"/>
        <v>1.03</v>
      </c>
      <c r="R909" s="3093">
        <f t="shared" si="163"/>
        <v>28725</v>
      </c>
      <c r="S909" s="1651">
        <f t="shared" si="164"/>
        <v>148</v>
      </c>
    </row>
    <row r="910" spans="1:19">
      <c r="A910" s="1061" t="str">
        <f>清单!D1033</f>
        <v>C-8-4-1302</v>
      </c>
      <c r="B910" s="1061">
        <f>清单!F1033</f>
        <v>52.23</v>
      </c>
      <c r="C910" s="3093">
        <f t="shared" si="155"/>
        <v>1</v>
      </c>
      <c r="D910" s="293"/>
      <c r="E910" s="3093">
        <f t="shared" si="156"/>
        <v>1</v>
      </c>
      <c r="F910" s="293"/>
      <c r="G910" s="3093">
        <f t="shared" si="157"/>
        <v>1</v>
      </c>
      <c r="H910" s="293"/>
      <c r="I910" s="3093">
        <f t="shared" si="158"/>
        <v>1</v>
      </c>
      <c r="J910" s="293"/>
      <c r="K910" s="3093">
        <f t="shared" si="159"/>
        <v>1</v>
      </c>
      <c r="L910" s="293"/>
      <c r="M910" s="3093">
        <f t="shared" si="160"/>
        <v>1</v>
      </c>
      <c r="N910" s="293"/>
      <c r="O910" s="3093">
        <f t="shared" si="161"/>
        <v>1</v>
      </c>
      <c r="P910" s="291" t="s">
        <v>3020</v>
      </c>
      <c r="Q910" s="3093">
        <f t="shared" si="162"/>
        <v>1.03</v>
      </c>
      <c r="R910" s="3093">
        <f t="shared" si="163"/>
        <v>28725</v>
      </c>
      <c r="S910" s="1651">
        <f t="shared" si="164"/>
        <v>150</v>
      </c>
    </row>
    <row r="911" spans="1:19">
      <c r="A911" s="1061" t="str">
        <f>清单!D1016</f>
        <v>C-8-3-904</v>
      </c>
      <c r="B911" s="1061">
        <f>清单!F1016</f>
        <v>51.55</v>
      </c>
      <c r="C911" s="3093">
        <f t="shared" si="155"/>
        <v>1</v>
      </c>
      <c r="D911" s="293"/>
      <c r="E911" s="3093">
        <f t="shared" si="156"/>
        <v>1</v>
      </c>
      <c r="F911" s="293"/>
      <c r="G911" s="3093">
        <f t="shared" si="157"/>
        <v>1</v>
      </c>
      <c r="H911" s="293"/>
      <c r="I911" s="3093">
        <f t="shared" si="158"/>
        <v>1</v>
      </c>
      <c r="J911" s="293"/>
      <c r="K911" s="3093">
        <f t="shared" si="159"/>
        <v>1</v>
      </c>
      <c r="L911" s="293"/>
      <c r="M911" s="3093">
        <f t="shared" si="160"/>
        <v>1</v>
      </c>
      <c r="N911" s="293"/>
      <c r="O911" s="3093">
        <f t="shared" si="161"/>
        <v>1</v>
      </c>
      <c r="P911" s="291" t="s">
        <v>3022</v>
      </c>
      <c r="Q911" s="3093">
        <f t="shared" si="162"/>
        <v>1</v>
      </c>
      <c r="R911" s="3093">
        <f t="shared" si="163"/>
        <v>27888</v>
      </c>
      <c r="S911" s="1651">
        <f t="shared" si="164"/>
        <v>144</v>
      </c>
    </row>
    <row r="912" spans="1:19">
      <c r="A912" s="1061" t="str">
        <f>清单!D1017</f>
        <v>C-8-4-1001</v>
      </c>
      <c r="B912" s="1061">
        <f>清单!F1017</f>
        <v>51.48</v>
      </c>
      <c r="C912" s="3093">
        <f t="shared" si="155"/>
        <v>1</v>
      </c>
      <c r="D912" s="293"/>
      <c r="E912" s="3093">
        <f t="shared" si="156"/>
        <v>1</v>
      </c>
      <c r="F912" s="293"/>
      <c r="G912" s="3093">
        <f t="shared" si="157"/>
        <v>1</v>
      </c>
      <c r="H912" s="293"/>
      <c r="I912" s="3093">
        <f t="shared" si="158"/>
        <v>1</v>
      </c>
      <c r="J912" s="293"/>
      <c r="K912" s="3093">
        <f t="shared" si="159"/>
        <v>1</v>
      </c>
      <c r="L912" s="293"/>
      <c r="M912" s="3093">
        <f t="shared" si="160"/>
        <v>1</v>
      </c>
      <c r="N912" s="293"/>
      <c r="O912" s="3093">
        <f t="shared" si="161"/>
        <v>1</v>
      </c>
      <c r="P912" s="291" t="s">
        <v>3022</v>
      </c>
      <c r="Q912" s="3093">
        <f t="shared" si="162"/>
        <v>1</v>
      </c>
      <c r="R912" s="3093">
        <f t="shared" si="163"/>
        <v>27888</v>
      </c>
      <c r="S912" s="1651">
        <f t="shared" si="164"/>
        <v>144</v>
      </c>
    </row>
    <row r="913" spans="1:19">
      <c r="A913" s="1061" t="str">
        <f>清单!D1036</f>
        <v>C-8-4-1401</v>
      </c>
      <c r="B913" s="1061">
        <f>清单!F1036</f>
        <v>51.48</v>
      </c>
      <c r="C913" s="3093">
        <f t="shared" si="155"/>
        <v>1</v>
      </c>
      <c r="D913" s="293"/>
      <c r="E913" s="3093">
        <f t="shared" si="156"/>
        <v>1</v>
      </c>
      <c r="F913" s="293"/>
      <c r="G913" s="3093">
        <f t="shared" si="157"/>
        <v>1</v>
      </c>
      <c r="H913" s="293"/>
      <c r="I913" s="3093">
        <f t="shared" si="158"/>
        <v>1</v>
      </c>
      <c r="J913" s="293"/>
      <c r="K913" s="3093">
        <f t="shared" si="159"/>
        <v>1</v>
      </c>
      <c r="L913" s="293"/>
      <c r="M913" s="3093">
        <f t="shared" si="160"/>
        <v>1</v>
      </c>
      <c r="N913" s="293"/>
      <c r="O913" s="3093">
        <f t="shared" si="161"/>
        <v>1</v>
      </c>
      <c r="P913" s="291" t="s">
        <v>3020</v>
      </c>
      <c r="Q913" s="3093">
        <f t="shared" si="162"/>
        <v>1.03</v>
      </c>
      <c r="R913" s="3093">
        <f t="shared" si="163"/>
        <v>28725</v>
      </c>
      <c r="S913" s="1651">
        <f t="shared" si="164"/>
        <v>148</v>
      </c>
    </row>
    <row r="914" spans="1:19">
      <c r="A914" s="1061" t="str">
        <f>清单!D1037</f>
        <v>C-8-4-1402</v>
      </c>
      <c r="B914" s="1061">
        <f>清单!F1037</f>
        <v>52.23</v>
      </c>
      <c r="C914" s="3093">
        <f t="shared" si="155"/>
        <v>1</v>
      </c>
      <c r="D914" s="293"/>
      <c r="E914" s="3093">
        <f t="shared" si="156"/>
        <v>1</v>
      </c>
      <c r="F914" s="293"/>
      <c r="G914" s="3093">
        <f t="shared" si="157"/>
        <v>1</v>
      </c>
      <c r="H914" s="293"/>
      <c r="I914" s="3093">
        <f t="shared" si="158"/>
        <v>1</v>
      </c>
      <c r="J914" s="293"/>
      <c r="K914" s="3093">
        <f t="shared" si="159"/>
        <v>1</v>
      </c>
      <c r="L914" s="293"/>
      <c r="M914" s="3093">
        <f t="shared" si="160"/>
        <v>1</v>
      </c>
      <c r="N914" s="293"/>
      <c r="O914" s="3093">
        <f t="shared" si="161"/>
        <v>1</v>
      </c>
      <c r="P914" s="291" t="s">
        <v>3020</v>
      </c>
      <c r="Q914" s="3093">
        <f t="shared" si="162"/>
        <v>1.03</v>
      </c>
      <c r="R914" s="3093">
        <f t="shared" si="163"/>
        <v>28725</v>
      </c>
      <c r="S914" s="1651">
        <f t="shared" si="164"/>
        <v>150</v>
      </c>
    </row>
    <row r="915" spans="1:19">
      <c r="A915" s="1061" t="str">
        <f>清单!D1020</f>
        <v>C-8-4-1004</v>
      </c>
      <c r="B915" s="1061">
        <f>清单!F1020</f>
        <v>52.19</v>
      </c>
      <c r="C915" s="3093">
        <f t="shared" si="155"/>
        <v>1</v>
      </c>
      <c r="D915" s="293"/>
      <c r="E915" s="3093">
        <f t="shared" si="156"/>
        <v>1</v>
      </c>
      <c r="F915" s="293"/>
      <c r="G915" s="3093">
        <f t="shared" si="157"/>
        <v>1</v>
      </c>
      <c r="H915" s="293"/>
      <c r="I915" s="3093">
        <f t="shared" si="158"/>
        <v>1</v>
      </c>
      <c r="J915" s="293"/>
      <c r="K915" s="3093">
        <f t="shared" si="159"/>
        <v>1</v>
      </c>
      <c r="L915" s="293"/>
      <c r="M915" s="3093">
        <f t="shared" si="160"/>
        <v>1</v>
      </c>
      <c r="N915" s="293"/>
      <c r="O915" s="3093">
        <f t="shared" si="161"/>
        <v>1</v>
      </c>
      <c r="P915" s="291" t="s">
        <v>3022</v>
      </c>
      <c r="Q915" s="3093">
        <f t="shared" si="162"/>
        <v>1</v>
      </c>
      <c r="R915" s="3093">
        <f t="shared" si="163"/>
        <v>27888</v>
      </c>
      <c r="S915" s="1651">
        <f t="shared" si="164"/>
        <v>146</v>
      </c>
    </row>
    <row r="916" spans="1:19">
      <c r="A916" s="1061" t="str">
        <f>清单!D1021</f>
        <v>C-8-4-101</v>
      </c>
      <c r="B916" s="1061">
        <f>清单!F1021</f>
        <v>51.48</v>
      </c>
      <c r="C916" s="3093">
        <f t="shared" si="155"/>
        <v>1</v>
      </c>
      <c r="D916" s="293"/>
      <c r="E916" s="3093">
        <f t="shared" si="156"/>
        <v>1</v>
      </c>
      <c r="F916" s="293"/>
      <c r="G916" s="3093">
        <f t="shared" si="157"/>
        <v>1</v>
      </c>
      <c r="H916" s="293"/>
      <c r="I916" s="3093">
        <f t="shared" si="158"/>
        <v>1</v>
      </c>
      <c r="J916" s="293"/>
      <c r="K916" s="3093">
        <f t="shared" si="159"/>
        <v>1</v>
      </c>
      <c r="L916" s="293"/>
      <c r="M916" s="3093">
        <f t="shared" si="160"/>
        <v>1</v>
      </c>
      <c r="N916" s="293"/>
      <c r="O916" s="3093">
        <f t="shared" si="161"/>
        <v>1</v>
      </c>
      <c r="P916" s="291" t="s">
        <v>3024</v>
      </c>
      <c r="Q916" s="3093">
        <f t="shared" si="162"/>
        <v>0.97</v>
      </c>
      <c r="R916" s="3093">
        <f t="shared" si="163"/>
        <v>27051</v>
      </c>
      <c r="S916" s="1651">
        <f t="shared" si="164"/>
        <v>139</v>
      </c>
    </row>
    <row r="917" spans="1:19">
      <c r="A917" s="1061" t="str">
        <f>清单!D1040</f>
        <v>C-8-4-1501</v>
      </c>
      <c r="B917" s="1061">
        <f>清单!F1040</f>
        <v>51.48</v>
      </c>
      <c r="C917" s="3093">
        <f t="shared" si="155"/>
        <v>1</v>
      </c>
      <c r="D917" s="293"/>
      <c r="E917" s="3093">
        <f t="shared" si="156"/>
        <v>1</v>
      </c>
      <c r="F917" s="293"/>
      <c r="G917" s="3093">
        <f t="shared" si="157"/>
        <v>1</v>
      </c>
      <c r="H917" s="293"/>
      <c r="I917" s="3093">
        <f t="shared" si="158"/>
        <v>1</v>
      </c>
      <c r="J917" s="293"/>
      <c r="K917" s="3093">
        <f t="shared" si="159"/>
        <v>1</v>
      </c>
      <c r="L917" s="293"/>
      <c r="M917" s="3093">
        <f t="shared" si="160"/>
        <v>1</v>
      </c>
      <c r="N917" s="293"/>
      <c r="O917" s="3093">
        <f t="shared" si="161"/>
        <v>1</v>
      </c>
      <c r="P917" s="291" t="s">
        <v>3020</v>
      </c>
      <c r="Q917" s="3093">
        <f t="shared" si="162"/>
        <v>1.03</v>
      </c>
      <c r="R917" s="3093">
        <f t="shared" si="163"/>
        <v>28725</v>
      </c>
      <c r="S917" s="1651">
        <f t="shared" si="164"/>
        <v>148</v>
      </c>
    </row>
    <row r="918" spans="1:19">
      <c r="A918" s="1061" t="str">
        <f>清单!D1023</f>
        <v>C-8-4-103</v>
      </c>
      <c r="B918" s="1061">
        <f>清单!F1023</f>
        <v>80.680000000000007</v>
      </c>
      <c r="C918" s="3093">
        <f t="shared" si="155"/>
        <v>0.97</v>
      </c>
      <c r="D918" s="293"/>
      <c r="E918" s="3093">
        <f t="shared" si="156"/>
        <v>1</v>
      </c>
      <c r="F918" s="293"/>
      <c r="G918" s="3093">
        <f t="shared" si="157"/>
        <v>1</v>
      </c>
      <c r="H918" s="293"/>
      <c r="I918" s="3093">
        <f t="shared" si="158"/>
        <v>1</v>
      </c>
      <c r="J918" s="293"/>
      <c r="K918" s="3093">
        <f t="shared" si="159"/>
        <v>1</v>
      </c>
      <c r="L918" s="293"/>
      <c r="M918" s="3093">
        <f t="shared" si="160"/>
        <v>1</v>
      </c>
      <c r="N918" s="293"/>
      <c r="O918" s="3093">
        <f t="shared" si="161"/>
        <v>1</v>
      </c>
      <c r="P918" s="291" t="s">
        <v>3024</v>
      </c>
      <c r="Q918" s="3093">
        <f t="shared" si="162"/>
        <v>0.97</v>
      </c>
      <c r="R918" s="3093">
        <f t="shared" si="163"/>
        <v>26240</v>
      </c>
      <c r="S918" s="1651">
        <f t="shared" si="164"/>
        <v>212</v>
      </c>
    </row>
    <row r="919" spans="1:19">
      <c r="A919" s="1061" t="str">
        <f>清单!D1042</f>
        <v>C-8-4-1503</v>
      </c>
      <c r="B919" s="1061">
        <f>清单!F1042</f>
        <v>52.23</v>
      </c>
      <c r="C919" s="3093">
        <f t="shared" si="155"/>
        <v>1</v>
      </c>
      <c r="D919" s="293"/>
      <c r="E919" s="3093">
        <f t="shared" si="156"/>
        <v>1</v>
      </c>
      <c r="F919" s="293"/>
      <c r="G919" s="3093">
        <f t="shared" si="157"/>
        <v>1</v>
      </c>
      <c r="H919" s="293"/>
      <c r="I919" s="3093">
        <f t="shared" si="158"/>
        <v>1</v>
      </c>
      <c r="J919" s="293"/>
      <c r="K919" s="3093">
        <f t="shared" si="159"/>
        <v>1</v>
      </c>
      <c r="L919" s="293"/>
      <c r="M919" s="3093">
        <f t="shared" si="160"/>
        <v>1</v>
      </c>
      <c r="N919" s="293"/>
      <c r="O919" s="3093">
        <f t="shared" si="161"/>
        <v>1</v>
      </c>
      <c r="P919" s="291" t="s">
        <v>3020</v>
      </c>
      <c r="Q919" s="3093">
        <f t="shared" si="162"/>
        <v>1.03</v>
      </c>
      <c r="R919" s="3093">
        <f t="shared" si="163"/>
        <v>28725</v>
      </c>
      <c r="S919" s="1651">
        <f t="shared" si="164"/>
        <v>150</v>
      </c>
    </row>
    <row r="920" spans="1:19">
      <c r="A920" s="1061" t="str">
        <f>清单!D1043</f>
        <v>C-8-4-1504</v>
      </c>
      <c r="B920" s="1061">
        <f>清单!F1043</f>
        <v>52.19</v>
      </c>
      <c r="C920" s="3093">
        <f t="shared" si="155"/>
        <v>1</v>
      </c>
      <c r="D920" s="293"/>
      <c r="E920" s="3093">
        <f t="shared" si="156"/>
        <v>1</v>
      </c>
      <c r="F920" s="293"/>
      <c r="G920" s="3093">
        <f t="shared" si="157"/>
        <v>1</v>
      </c>
      <c r="H920" s="293"/>
      <c r="I920" s="3093">
        <f t="shared" si="158"/>
        <v>1</v>
      </c>
      <c r="J920" s="293"/>
      <c r="K920" s="3093">
        <f t="shared" si="159"/>
        <v>1</v>
      </c>
      <c r="L920" s="293"/>
      <c r="M920" s="3093">
        <f t="shared" si="160"/>
        <v>1</v>
      </c>
      <c r="N920" s="293"/>
      <c r="O920" s="3093">
        <f t="shared" si="161"/>
        <v>1</v>
      </c>
      <c r="P920" s="291" t="s">
        <v>3020</v>
      </c>
      <c r="Q920" s="3093">
        <f t="shared" si="162"/>
        <v>1.03</v>
      </c>
      <c r="R920" s="3093">
        <f t="shared" si="163"/>
        <v>28725</v>
      </c>
      <c r="S920" s="1651">
        <f t="shared" si="164"/>
        <v>150</v>
      </c>
    </row>
    <row r="921" spans="1:19">
      <c r="A921" s="1061" t="str">
        <f>清单!D1026</f>
        <v>C-8-4-1103</v>
      </c>
      <c r="B921" s="1061">
        <f>清单!F1026</f>
        <v>52.23</v>
      </c>
      <c r="C921" s="3093">
        <f t="shared" si="155"/>
        <v>1</v>
      </c>
      <c r="D921" s="293"/>
      <c r="E921" s="3093">
        <f t="shared" si="156"/>
        <v>1</v>
      </c>
      <c r="F921" s="293"/>
      <c r="G921" s="3093">
        <f t="shared" si="157"/>
        <v>1</v>
      </c>
      <c r="H921" s="293"/>
      <c r="I921" s="3093">
        <f t="shared" si="158"/>
        <v>1</v>
      </c>
      <c r="J921" s="293"/>
      <c r="K921" s="3093">
        <f t="shared" si="159"/>
        <v>1</v>
      </c>
      <c r="L921" s="293"/>
      <c r="M921" s="3093">
        <f t="shared" si="160"/>
        <v>1</v>
      </c>
      <c r="N921" s="293"/>
      <c r="O921" s="3093">
        <f t="shared" si="161"/>
        <v>1</v>
      </c>
      <c r="P921" s="291" t="s">
        <v>3020</v>
      </c>
      <c r="Q921" s="3093">
        <f t="shared" si="162"/>
        <v>1.03</v>
      </c>
      <c r="R921" s="3093">
        <f t="shared" si="163"/>
        <v>28725</v>
      </c>
      <c r="S921" s="1651">
        <f t="shared" si="164"/>
        <v>150</v>
      </c>
    </row>
    <row r="922" spans="1:19">
      <c r="A922" s="1061" t="str">
        <f>清单!D1027</f>
        <v>C-8-4-1104</v>
      </c>
      <c r="B922" s="1061">
        <f>清单!F1027</f>
        <v>52.19</v>
      </c>
      <c r="C922" s="3093">
        <f t="shared" si="155"/>
        <v>1</v>
      </c>
      <c r="D922" s="293"/>
      <c r="E922" s="3093">
        <f t="shared" si="156"/>
        <v>1</v>
      </c>
      <c r="F922" s="293"/>
      <c r="G922" s="3093">
        <f t="shared" si="157"/>
        <v>1</v>
      </c>
      <c r="H922" s="293"/>
      <c r="I922" s="3093">
        <f t="shared" si="158"/>
        <v>1</v>
      </c>
      <c r="J922" s="293"/>
      <c r="K922" s="3093">
        <f t="shared" si="159"/>
        <v>1</v>
      </c>
      <c r="L922" s="293"/>
      <c r="M922" s="3093">
        <f t="shared" si="160"/>
        <v>1</v>
      </c>
      <c r="N922" s="293"/>
      <c r="O922" s="3093">
        <f t="shared" si="161"/>
        <v>1</v>
      </c>
      <c r="P922" s="291" t="s">
        <v>3020</v>
      </c>
      <c r="Q922" s="3093">
        <f t="shared" si="162"/>
        <v>1.03</v>
      </c>
      <c r="R922" s="3093">
        <f t="shared" si="163"/>
        <v>28725</v>
      </c>
      <c r="S922" s="1651">
        <f t="shared" si="164"/>
        <v>150</v>
      </c>
    </row>
    <row r="923" spans="1:19">
      <c r="A923" s="1061" t="str">
        <f>清单!D1046</f>
        <v>C-8-4-203</v>
      </c>
      <c r="B923" s="1061">
        <f>清单!F1046</f>
        <v>52.23</v>
      </c>
      <c r="C923" s="3093">
        <f t="shared" si="155"/>
        <v>1</v>
      </c>
      <c r="D923" s="293"/>
      <c r="E923" s="3093">
        <f t="shared" si="156"/>
        <v>1</v>
      </c>
      <c r="F923" s="293"/>
      <c r="G923" s="3093">
        <f t="shared" si="157"/>
        <v>1</v>
      </c>
      <c r="H923" s="293"/>
      <c r="I923" s="3093">
        <f t="shared" si="158"/>
        <v>1</v>
      </c>
      <c r="J923" s="293"/>
      <c r="K923" s="3093">
        <f t="shared" si="159"/>
        <v>1</v>
      </c>
      <c r="L923" s="293"/>
      <c r="M923" s="3093">
        <f t="shared" si="160"/>
        <v>1</v>
      </c>
      <c r="N923" s="293"/>
      <c r="O923" s="3093">
        <f t="shared" si="161"/>
        <v>1</v>
      </c>
      <c r="P923" s="291" t="s">
        <v>3024</v>
      </c>
      <c r="Q923" s="3093">
        <f t="shared" si="162"/>
        <v>0.97</v>
      </c>
      <c r="R923" s="3093">
        <f t="shared" si="163"/>
        <v>27051</v>
      </c>
      <c r="S923" s="1651">
        <f t="shared" si="164"/>
        <v>141</v>
      </c>
    </row>
    <row r="924" spans="1:19">
      <c r="A924" s="1061" t="str">
        <f>清单!D1047</f>
        <v>C-8-4-204</v>
      </c>
      <c r="B924" s="1061">
        <f>清单!F1047</f>
        <v>52.19</v>
      </c>
      <c r="C924" s="3093">
        <f t="shared" si="155"/>
        <v>1</v>
      </c>
      <c r="D924" s="293"/>
      <c r="E924" s="3093">
        <f t="shared" si="156"/>
        <v>1</v>
      </c>
      <c r="F924" s="293"/>
      <c r="G924" s="3093">
        <f t="shared" si="157"/>
        <v>1</v>
      </c>
      <c r="H924" s="293"/>
      <c r="I924" s="3093">
        <f t="shared" si="158"/>
        <v>1</v>
      </c>
      <c r="J924" s="293"/>
      <c r="K924" s="3093">
        <f t="shared" si="159"/>
        <v>1</v>
      </c>
      <c r="L924" s="293"/>
      <c r="M924" s="3093">
        <f t="shared" si="160"/>
        <v>1</v>
      </c>
      <c r="N924" s="293"/>
      <c r="O924" s="3093">
        <f t="shared" si="161"/>
        <v>1</v>
      </c>
      <c r="P924" s="291" t="s">
        <v>3024</v>
      </c>
      <c r="Q924" s="3093">
        <f t="shared" si="162"/>
        <v>0.97</v>
      </c>
      <c r="R924" s="3093">
        <f t="shared" si="163"/>
        <v>27051</v>
      </c>
      <c r="S924" s="1651">
        <f t="shared" si="164"/>
        <v>141</v>
      </c>
    </row>
    <row r="925" spans="1:19">
      <c r="A925" s="1061" t="str">
        <f>清单!D1030</f>
        <v>C-8-4-1203</v>
      </c>
      <c r="B925" s="1061">
        <f>清单!F1030</f>
        <v>52.23</v>
      </c>
      <c r="C925" s="3093">
        <f t="shared" si="155"/>
        <v>1</v>
      </c>
      <c r="D925" s="293"/>
      <c r="E925" s="3093">
        <f t="shared" si="156"/>
        <v>1</v>
      </c>
      <c r="F925" s="293"/>
      <c r="G925" s="3093">
        <f t="shared" si="157"/>
        <v>1</v>
      </c>
      <c r="H925" s="293"/>
      <c r="I925" s="3093">
        <f t="shared" si="158"/>
        <v>1</v>
      </c>
      <c r="J925" s="293"/>
      <c r="K925" s="3093">
        <f t="shared" si="159"/>
        <v>1</v>
      </c>
      <c r="L925" s="293"/>
      <c r="M925" s="3093">
        <f t="shared" si="160"/>
        <v>1</v>
      </c>
      <c r="N925" s="293"/>
      <c r="O925" s="3093">
        <f t="shared" si="161"/>
        <v>1</v>
      </c>
      <c r="P925" s="291" t="s">
        <v>3020</v>
      </c>
      <c r="Q925" s="3093">
        <f t="shared" si="162"/>
        <v>1.03</v>
      </c>
      <c r="R925" s="3093">
        <f t="shared" si="163"/>
        <v>28725</v>
      </c>
      <c r="S925" s="1651">
        <f t="shared" si="164"/>
        <v>150</v>
      </c>
    </row>
    <row r="926" spans="1:19">
      <c r="A926" s="1061" t="str">
        <f>清单!D1031</f>
        <v>C-8-4-1204</v>
      </c>
      <c r="B926" s="1061">
        <f>清单!F1031</f>
        <v>52.19</v>
      </c>
      <c r="C926" s="3093">
        <f t="shared" si="155"/>
        <v>1</v>
      </c>
      <c r="D926" s="293"/>
      <c r="E926" s="3093">
        <f t="shared" si="156"/>
        <v>1</v>
      </c>
      <c r="F926" s="293"/>
      <c r="G926" s="3093">
        <f t="shared" si="157"/>
        <v>1</v>
      </c>
      <c r="H926" s="293"/>
      <c r="I926" s="3093">
        <f t="shared" si="158"/>
        <v>1</v>
      </c>
      <c r="J926" s="293"/>
      <c r="K926" s="3093">
        <f t="shared" si="159"/>
        <v>1</v>
      </c>
      <c r="L926" s="293"/>
      <c r="M926" s="3093">
        <f t="shared" si="160"/>
        <v>1</v>
      </c>
      <c r="N926" s="293"/>
      <c r="O926" s="3093">
        <f t="shared" si="161"/>
        <v>1</v>
      </c>
      <c r="P926" s="291" t="s">
        <v>3020</v>
      </c>
      <c r="Q926" s="3093">
        <f t="shared" si="162"/>
        <v>1.03</v>
      </c>
      <c r="R926" s="3093">
        <f t="shared" si="163"/>
        <v>28725</v>
      </c>
      <c r="S926" s="1651">
        <f t="shared" si="164"/>
        <v>150</v>
      </c>
    </row>
    <row r="927" spans="1:19">
      <c r="A927" s="1061" t="str">
        <f>清单!D1050</f>
        <v>C-8-4-303</v>
      </c>
      <c r="B927" s="1061">
        <f>清单!F1050</f>
        <v>52.23</v>
      </c>
      <c r="C927" s="3093">
        <f t="shared" si="155"/>
        <v>1</v>
      </c>
      <c r="D927" s="293"/>
      <c r="E927" s="3093">
        <f t="shared" si="156"/>
        <v>1</v>
      </c>
      <c r="F927" s="293"/>
      <c r="G927" s="3093">
        <f t="shared" si="157"/>
        <v>1</v>
      </c>
      <c r="H927" s="293"/>
      <c r="I927" s="3093">
        <f t="shared" si="158"/>
        <v>1</v>
      </c>
      <c r="J927" s="293"/>
      <c r="K927" s="3093">
        <f t="shared" si="159"/>
        <v>1</v>
      </c>
      <c r="L927" s="293"/>
      <c r="M927" s="3093">
        <f t="shared" si="160"/>
        <v>1</v>
      </c>
      <c r="N927" s="293"/>
      <c r="O927" s="3093">
        <f t="shared" si="161"/>
        <v>1</v>
      </c>
      <c r="P927" s="291" t="s">
        <v>3024</v>
      </c>
      <c r="Q927" s="3093">
        <f t="shared" si="162"/>
        <v>0.97</v>
      </c>
      <c r="R927" s="3093">
        <f t="shared" si="163"/>
        <v>27051</v>
      </c>
      <c r="S927" s="1651">
        <f t="shared" si="164"/>
        <v>141</v>
      </c>
    </row>
    <row r="928" spans="1:19">
      <c r="A928" s="1061" t="str">
        <f>清单!D1051</f>
        <v>C-8-4-304</v>
      </c>
      <c r="B928" s="1061">
        <f>清单!F1051</f>
        <v>52.19</v>
      </c>
      <c r="C928" s="3093">
        <f t="shared" si="155"/>
        <v>1</v>
      </c>
      <c r="D928" s="293"/>
      <c r="E928" s="3093">
        <f t="shared" si="156"/>
        <v>1</v>
      </c>
      <c r="F928" s="293"/>
      <c r="G928" s="3093">
        <f t="shared" si="157"/>
        <v>1</v>
      </c>
      <c r="H928" s="293"/>
      <c r="I928" s="3093">
        <f t="shared" si="158"/>
        <v>1</v>
      </c>
      <c r="J928" s="293"/>
      <c r="K928" s="3093">
        <f t="shared" si="159"/>
        <v>1</v>
      </c>
      <c r="L928" s="293"/>
      <c r="M928" s="3093">
        <f t="shared" si="160"/>
        <v>1</v>
      </c>
      <c r="N928" s="293"/>
      <c r="O928" s="3093">
        <f t="shared" si="161"/>
        <v>1</v>
      </c>
      <c r="P928" s="291" t="s">
        <v>3024</v>
      </c>
      <c r="Q928" s="3093">
        <f t="shared" si="162"/>
        <v>0.97</v>
      </c>
      <c r="R928" s="3093">
        <f t="shared" si="163"/>
        <v>27051</v>
      </c>
      <c r="S928" s="1651">
        <f t="shared" si="164"/>
        <v>141</v>
      </c>
    </row>
    <row r="929" spans="1:19">
      <c r="A929" s="1061" t="str">
        <f>清单!D1034</f>
        <v>C-8-4-1303</v>
      </c>
      <c r="B929" s="1061">
        <f>清单!F1034</f>
        <v>52.23</v>
      </c>
      <c r="C929" s="3093">
        <f t="shared" si="155"/>
        <v>1</v>
      </c>
      <c r="D929" s="293"/>
      <c r="E929" s="3093">
        <f t="shared" si="156"/>
        <v>1</v>
      </c>
      <c r="F929" s="293"/>
      <c r="G929" s="3093">
        <f t="shared" si="157"/>
        <v>1</v>
      </c>
      <c r="H929" s="293"/>
      <c r="I929" s="3093">
        <f t="shared" si="158"/>
        <v>1</v>
      </c>
      <c r="J929" s="293"/>
      <c r="K929" s="3093">
        <f t="shared" si="159"/>
        <v>1</v>
      </c>
      <c r="L929" s="293"/>
      <c r="M929" s="3093">
        <f t="shared" si="160"/>
        <v>1</v>
      </c>
      <c r="N929" s="293"/>
      <c r="O929" s="3093">
        <f t="shared" si="161"/>
        <v>1</v>
      </c>
      <c r="P929" s="291" t="s">
        <v>3020</v>
      </c>
      <c r="Q929" s="3093">
        <f t="shared" si="162"/>
        <v>1.03</v>
      </c>
      <c r="R929" s="3093">
        <f t="shared" si="163"/>
        <v>28725</v>
      </c>
      <c r="S929" s="1651">
        <f t="shared" si="164"/>
        <v>150</v>
      </c>
    </row>
    <row r="930" spans="1:19">
      <c r="A930" s="1061" t="str">
        <f>清单!D1035</f>
        <v>C-8-4-1304</v>
      </c>
      <c r="B930" s="1061">
        <f>清单!F1035</f>
        <v>52.19</v>
      </c>
      <c r="C930" s="3093">
        <f t="shared" si="155"/>
        <v>1</v>
      </c>
      <c r="D930" s="293"/>
      <c r="E930" s="3093">
        <f t="shared" si="156"/>
        <v>1</v>
      </c>
      <c r="F930" s="293"/>
      <c r="G930" s="3093">
        <f t="shared" si="157"/>
        <v>1</v>
      </c>
      <c r="H930" s="293"/>
      <c r="I930" s="3093">
        <f t="shared" si="158"/>
        <v>1</v>
      </c>
      <c r="J930" s="293"/>
      <c r="K930" s="3093">
        <f t="shared" si="159"/>
        <v>1</v>
      </c>
      <c r="L930" s="293"/>
      <c r="M930" s="3093">
        <f t="shared" si="160"/>
        <v>1</v>
      </c>
      <c r="N930" s="293"/>
      <c r="O930" s="3093">
        <f t="shared" si="161"/>
        <v>1</v>
      </c>
      <c r="P930" s="291" t="s">
        <v>3020</v>
      </c>
      <c r="Q930" s="3093">
        <f t="shared" si="162"/>
        <v>1.03</v>
      </c>
      <c r="R930" s="3093">
        <f t="shared" si="163"/>
        <v>28725</v>
      </c>
      <c r="S930" s="1651">
        <f t="shared" si="164"/>
        <v>150</v>
      </c>
    </row>
    <row r="931" spans="1:19">
      <c r="A931" s="1061" t="str">
        <f>清单!D1054</f>
        <v>C-8-4-403</v>
      </c>
      <c r="B931" s="1061">
        <f>清单!F1054</f>
        <v>52.23</v>
      </c>
      <c r="C931" s="3093">
        <f t="shared" si="155"/>
        <v>1</v>
      </c>
      <c r="D931" s="293"/>
      <c r="E931" s="3093">
        <f t="shared" si="156"/>
        <v>1</v>
      </c>
      <c r="F931" s="293"/>
      <c r="G931" s="3093">
        <f t="shared" si="157"/>
        <v>1</v>
      </c>
      <c r="H931" s="293"/>
      <c r="I931" s="3093">
        <f t="shared" si="158"/>
        <v>1</v>
      </c>
      <c r="J931" s="293"/>
      <c r="K931" s="3093">
        <f t="shared" si="159"/>
        <v>1</v>
      </c>
      <c r="L931" s="293"/>
      <c r="M931" s="3093">
        <f t="shared" si="160"/>
        <v>1</v>
      </c>
      <c r="N931" s="293"/>
      <c r="O931" s="3093">
        <f t="shared" si="161"/>
        <v>1</v>
      </c>
      <c r="P931" s="291" t="s">
        <v>3024</v>
      </c>
      <c r="Q931" s="3093">
        <f t="shared" si="162"/>
        <v>0.97</v>
      </c>
      <c r="R931" s="3093">
        <f t="shared" si="163"/>
        <v>27051</v>
      </c>
      <c r="S931" s="1651">
        <f t="shared" si="164"/>
        <v>141</v>
      </c>
    </row>
    <row r="932" spans="1:19">
      <c r="A932" s="1061" t="str">
        <f>清单!D1055</f>
        <v>C-8-4-404</v>
      </c>
      <c r="B932" s="1061">
        <f>清单!F1055</f>
        <v>52.19</v>
      </c>
      <c r="C932" s="3093">
        <f t="shared" si="155"/>
        <v>1</v>
      </c>
      <c r="D932" s="293"/>
      <c r="E932" s="3093">
        <f t="shared" si="156"/>
        <v>1</v>
      </c>
      <c r="F932" s="293"/>
      <c r="G932" s="3093">
        <f t="shared" si="157"/>
        <v>1</v>
      </c>
      <c r="H932" s="293"/>
      <c r="I932" s="3093">
        <f t="shared" si="158"/>
        <v>1</v>
      </c>
      <c r="J932" s="293"/>
      <c r="K932" s="3093">
        <f t="shared" si="159"/>
        <v>1</v>
      </c>
      <c r="L932" s="293"/>
      <c r="M932" s="3093">
        <f t="shared" si="160"/>
        <v>1</v>
      </c>
      <c r="N932" s="293"/>
      <c r="O932" s="3093">
        <f t="shared" si="161"/>
        <v>1</v>
      </c>
      <c r="P932" s="291" t="s">
        <v>3024</v>
      </c>
      <c r="Q932" s="3093">
        <f t="shared" si="162"/>
        <v>0.97</v>
      </c>
      <c r="R932" s="3093">
        <f t="shared" si="163"/>
        <v>27051</v>
      </c>
      <c r="S932" s="1651">
        <f t="shared" si="164"/>
        <v>141</v>
      </c>
    </row>
    <row r="933" spans="1:19">
      <c r="A933" s="1061" t="str">
        <f>清单!D1038</f>
        <v>C-8-4-1403</v>
      </c>
      <c r="B933" s="1061">
        <f>清单!F1038</f>
        <v>52.23</v>
      </c>
      <c r="C933" s="3093">
        <f t="shared" si="155"/>
        <v>1</v>
      </c>
      <c r="D933" s="293"/>
      <c r="E933" s="3093">
        <f t="shared" si="156"/>
        <v>1</v>
      </c>
      <c r="F933" s="293"/>
      <c r="G933" s="3093">
        <f t="shared" si="157"/>
        <v>1</v>
      </c>
      <c r="H933" s="293"/>
      <c r="I933" s="3093">
        <f t="shared" si="158"/>
        <v>1</v>
      </c>
      <c r="J933" s="293"/>
      <c r="K933" s="3093">
        <f t="shared" si="159"/>
        <v>1</v>
      </c>
      <c r="L933" s="293"/>
      <c r="M933" s="3093">
        <f t="shared" si="160"/>
        <v>1</v>
      </c>
      <c r="N933" s="293"/>
      <c r="O933" s="3093">
        <f t="shared" si="161"/>
        <v>1</v>
      </c>
      <c r="P933" s="291" t="s">
        <v>3020</v>
      </c>
      <c r="Q933" s="3093">
        <f t="shared" si="162"/>
        <v>1.03</v>
      </c>
      <c r="R933" s="3093">
        <f t="shared" si="163"/>
        <v>28725</v>
      </c>
      <c r="S933" s="1651">
        <f t="shared" si="164"/>
        <v>150</v>
      </c>
    </row>
    <row r="934" spans="1:19">
      <c r="A934" s="1061" t="str">
        <f>清单!D1039</f>
        <v>C-8-4-1404</v>
      </c>
      <c r="B934" s="1061">
        <f>清单!F1039</f>
        <v>52.19</v>
      </c>
      <c r="C934" s="3093">
        <f t="shared" si="155"/>
        <v>1</v>
      </c>
      <c r="D934" s="293"/>
      <c r="E934" s="3093">
        <f t="shared" si="156"/>
        <v>1</v>
      </c>
      <c r="F934" s="293"/>
      <c r="G934" s="3093">
        <f t="shared" si="157"/>
        <v>1</v>
      </c>
      <c r="H934" s="293"/>
      <c r="I934" s="3093">
        <f t="shared" si="158"/>
        <v>1</v>
      </c>
      <c r="J934" s="293"/>
      <c r="K934" s="3093">
        <f t="shared" si="159"/>
        <v>1</v>
      </c>
      <c r="L934" s="293"/>
      <c r="M934" s="3093">
        <f t="shared" si="160"/>
        <v>1</v>
      </c>
      <c r="N934" s="293"/>
      <c r="O934" s="3093">
        <f t="shared" si="161"/>
        <v>1</v>
      </c>
      <c r="P934" s="291" t="s">
        <v>3020</v>
      </c>
      <c r="Q934" s="3093">
        <f t="shared" si="162"/>
        <v>1.03</v>
      </c>
      <c r="R934" s="3093">
        <f t="shared" si="163"/>
        <v>28725</v>
      </c>
      <c r="S934" s="1651">
        <f t="shared" si="164"/>
        <v>150</v>
      </c>
    </row>
    <row r="935" spans="1:19">
      <c r="A935" s="1061" t="str">
        <f>清单!D1058</f>
        <v>C-8-4-503</v>
      </c>
      <c r="B935" s="1061">
        <f>清单!F1058</f>
        <v>52.23</v>
      </c>
      <c r="C935" s="3093">
        <f t="shared" si="155"/>
        <v>1</v>
      </c>
      <c r="D935" s="293"/>
      <c r="E935" s="3093">
        <f t="shared" si="156"/>
        <v>1</v>
      </c>
      <c r="F935" s="293"/>
      <c r="G935" s="3093">
        <f t="shared" si="157"/>
        <v>1</v>
      </c>
      <c r="H935" s="293"/>
      <c r="I935" s="3093">
        <f t="shared" si="158"/>
        <v>1</v>
      </c>
      <c r="J935" s="293"/>
      <c r="K935" s="3093">
        <f t="shared" si="159"/>
        <v>1</v>
      </c>
      <c r="L935" s="293"/>
      <c r="M935" s="3093">
        <f t="shared" si="160"/>
        <v>1</v>
      </c>
      <c r="N935" s="293"/>
      <c r="O935" s="3093">
        <f t="shared" si="161"/>
        <v>1</v>
      </c>
      <c r="P935" s="291" t="s">
        <v>3024</v>
      </c>
      <c r="Q935" s="3093">
        <f t="shared" si="162"/>
        <v>0.97</v>
      </c>
      <c r="R935" s="3093">
        <f t="shared" si="163"/>
        <v>27051</v>
      </c>
      <c r="S935" s="1651">
        <f t="shared" si="164"/>
        <v>141</v>
      </c>
    </row>
    <row r="936" spans="1:19">
      <c r="A936" s="1061" t="str">
        <f>清单!D1059</f>
        <v>C-8-4-504</v>
      </c>
      <c r="B936" s="1061">
        <f>清单!F1059</f>
        <v>52.19</v>
      </c>
      <c r="C936" s="3093">
        <f t="shared" si="155"/>
        <v>1</v>
      </c>
      <c r="D936" s="293"/>
      <c r="E936" s="3093">
        <f t="shared" si="156"/>
        <v>1</v>
      </c>
      <c r="F936" s="293"/>
      <c r="G936" s="3093">
        <f t="shared" si="157"/>
        <v>1</v>
      </c>
      <c r="H936" s="293"/>
      <c r="I936" s="3093">
        <f t="shared" si="158"/>
        <v>1</v>
      </c>
      <c r="J936" s="293"/>
      <c r="K936" s="3093">
        <f t="shared" si="159"/>
        <v>1</v>
      </c>
      <c r="L936" s="293"/>
      <c r="M936" s="3093">
        <f t="shared" si="160"/>
        <v>1</v>
      </c>
      <c r="N936" s="293"/>
      <c r="O936" s="3093">
        <f t="shared" si="161"/>
        <v>1</v>
      </c>
      <c r="P936" s="291" t="s">
        <v>3024</v>
      </c>
      <c r="Q936" s="3093">
        <f t="shared" si="162"/>
        <v>0.97</v>
      </c>
      <c r="R936" s="3093">
        <f t="shared" si="163"/>
        <v>27051</v>
      </c>
      <c r="S936" s="1651">
        <f t="shared" si="164"/>
        <v>141</v>
      </c>
    </row>
    <row r="937" spans="1:19">
      <c r="A937" s="1061" t="str">
        <f>清单!D1042</f>
        <v>C-8-4-1503</v>
      </c>
      <c r="B937" s="1061">
        <f>清单!F1042</f>
        <v>52.23</v>
      </c>
      <c r="C937" s="3093">
        <f t="shared" si="155"/>
        <v>1</v>
      </c>
      <c r="D937" s="293"/>
      <c r="E937" s="3093">
        <f t="shared" si="156"/>
        <v>1</v>
      </c>
      <c r="F937" s="293"/>
      <c r="G937" s="3093">
        <f t="shared" si="157"/>
        <v>1</v>
      </c>
      <c r="H937" s="293"/>
      <c r="I937" s="3093">
        <f t="shared" si="158"/>
        <v>1</v>
      </c>
      <c r="J937" s="293"/>
      <c r="K937" s="3093">
        <f t="shared" si="159"/>
        <v>1</v>
      </c>
      <c r="L937" s="293"/>
      <c r="M937" s="3093">
        <f t="shared" si="160"/>
        <v>1</v>
      </c>
      <c r="N937" s="293"/>
      <c r="O937" s="3093">
        <f t="shared" si="161"/>
        <v>1</v>
      </c>
      <c r="P937" s="291" t="s">
        <v>3020</v>
      </c>
      <c r="Q937" s="3093">
        <f t="shared" si="162"/>
        <v>1.03</v>
      </c>
      <c r="R937" s="3093">
        <f t="shared" si="163"/>
        <v>28725</v>
      </c>
      <c r="S937" s="1651">
        <f t="shared" si="164"/>
        <v>150</v>
      </c>
    </row>
    <row r="938" spans="1:19">
      <c r="A938" s="1061" t="str">
        <f>清单!D1043</f>
        <v>C-8-4-1504</v>
      </c>
      <c r="B938" s="1061">
        <f>清单!F1043</f>
        <v>52.19</v>
      </c>
      <c r="C938" s="3093">
        <f t="shared" si="155"/>
        <v>1</v>
      </c>
      <c r="D938" s="293"/>
      <c r="E938" s="3093">
        <f t="shared" si="156"/>
        <v>1</v>
      </c>
      <c r="F938" s="293"/>
      <c r="G938" s="3093">
        <f t="shared" si="157"/>
        <v>1</v>
      </c>
      <c r="H938" s="293"/>
      <c r="I938" s="3093">
        <f t="shared" si="158"/>
        <v>1</v>
      </c>
      <c r="J938" s="293"/>
      <c r="K938" s="3093">
        <f t="shared" si="159"/>
        <v>1</v>
      </c>
      <c r="L938" s="293"/>
      <c r="M938" s="3093">
        <f t="shared" si="160"/>
        <v>1</v>
      </c>
      <c r="N938" s="293"/>
      <c r="O938" s="3093">
        <f t="shared" si="161"/>
        <v>1</v>
      </c>
      <c r="P938" s="291" t="s">
        <v>3020</v>
      </c>
      <c r="Q938" s="3093">
        <f t="shared" si="162"/>
        <v>1.03</v>
      </c>
      <c r="R938" s="3093">
        <f t="shared" si="163"/>
        <v>28725</v>
      </c>
      <c r="S938" s="1651">
        <f t="shared" si="164"/>
        <v>150</v>
      </c>
    </row>
    <row r="939" spans="1:19">
      <c r="A939" s="1061" t="str">
        <f>清单!D1062</f>
        <v>C-8-4-603</v>
      </c>
      <c r="B939" s="1061">
        <f>清单!F1062</f>
        <v>52.23</v>
      </c>
      <c r="C939" s="3093">
        <f t="shared" si="155"/>
        <v>1</v>
      </c>
      <c r="D939" s="293"/>
      <c r="E939" s="3093">
        <f t="shared" si="156"/>
        <v>1</v>
      </c>
      <c r="F939" s="293"/>
      <c r="G939" s="3093">
        <f t="shared" si="157"/>
        <v>1</v>
      </c>
      <c r="H939" s="293"/>
      <c r="I939" s="3093">
        <f t="shared" si="158"/>
        <v>1</v>
      </c>
      <c r="J939" s="293"/>
      <c r="K939" s="3093">
        <f t="shared" si="159"/>
        <v>1</v>
      </c>
      <c r="L939" s="293"/>
      <c r="M939" s="3093">
        <f t="shared" si="160"/>
        <v>1</v>
      </c>
      <c r="N939" s="293"/>
      <c r="O939" s="3093">
        <f t="shared" si="161"/>
        <v>1</v>
      </c>
      <c r="P939" s="291" t="s">
        <v>3022</v>
      </c>
      <c r="Q939" s="3093">
        <f t="shared" si="162"/>
        <v>1</v>
      </c>
      <c r="R939" s="3093">
        <f t="shared" si="163"/>
        <v>27888</v>
      </c>
      <c r="S939" s="1651">
        <f t="shared" si="164"/>
        <v>146</v>
      </c>
    </row>
    <row r="940" spans="1:19">
      <c r="A940" s="1061" t="str">
        <f>清单!D1063</f>
        <v>C-8-4-604</v>
      </c>
      <c r="B940" s="1061">
        <f>清单!F1063</f>
        <v>52.19</v>
      </c>
      <c r="C940" s="3093">
        <f t="shared" si="155"/>
        <v>1</v>
      </c>
      <c r="D940" s="293"/>
      <c r="E940" s="3093">
        <f t="shared" si="156"/>
        <v>1</v>
      </c>
      <c r="F940" s="293"/>
      <c r="G940" s="3093">
        <f t="shared" si="157"/>
        <v>1</v>
      </c>
      <c r="H940" s="293"/>
      <c r="I940" s="3093">
        <f t="shared" si="158"/>
        <v>1</v>
      </c>
      <c r="J940" s="293"/>
      <c r="K940" s="3093">
        <f t="shared" si="159"/>
        <v>1</v>
      </c>
      <c r="L940" s="293"/>
      <c r="M940" s="3093">
        <f t="shared" si="160"/>
        <v>1</v>
      </c>
      <c r="N940" s="293"/>
      <c r="O940" s="3093">
        <f t="shared" si="161"/>
        <v>1</v>
      </c>
      <c r="P940" s="291" t="s">
        <v>3022</v>
      </c>
      <c r="Q940" s="3093">
        <f t="shared" si="162"/>
        <v>1</v>
      </c>
      <c r="R940" s="3093">
        <f t="shared" si="163"/>
        <v>27888</v>
      </c>
      <c r="S940" s="1651">
        <f t="shared" si="164"/>
        <v>146</v>
      </c>
    </row>
    <row r="941" spans="1:19">
      <c r="A941" s="1061" t="str">
        <f>清单!D1046</f>
        <v>C-8-4-203</v>
      </c>
      <c r="B941" s="1061">
        <f>清单!F1046</f>
        <v>52.23</v>
      </c>
      <c r="C941" s="3093">
        <f t="shared" si="155"/>
        <v>1</v>
      </c>
      <c r="D941" s="293"/>
      <c r="E941" s="3093">
        <f t="shared" si="156"/>
        <v>1</v>
      </c>
      <c r="F941" s="293"/>
      <c r="G941" s="3093">
        <f t="shared" si="157"/>
        <v>1</v>
      </c>
      <c r="H941" s="293"/>
      <c r="I941" s="3093">
        <f t="shared" si="158"/>
        <v>1</v>
      </c>
      <c r="J941" s="293"/>
      <c r="K941" s="3093">
        <f t="shared" si="159"/>
        <v>1</v>
      </c>
      <c r="L941" s="293"/>
      <c r="M941" s="3093">
        <f t="shared" si="160"/>
        <v>1</v>
      </c>
      <c r="N941" s="293"/>
      <c r="O941" s="3093">
        <f t="shared" si="161"/>
        <v>1</v>
      </c>
      <c r="P941" s="291" t="s">
        <v>3024</v>
      </c>
      <c r="Q941" s="3093">
        <f t="shared" si="162"/>
        <v>0.97</v>
      </c>
      <c r="R941" s="3093">
        <f t="shared" si="163"/>
        <v>27051</v>
      </c>
      <c r="S941" s="1651">
        <f t="shared" si="164"/>
        <v>141</v>
      </c>
    </row>
    <row r="942" spans="1:19">
      <c r="A942" s="1061" t="str">
        <f>清单!D1047</f>
        <v>C-8-4-204</v>
      </c>
      <c r="B942" s="1061">
        <f>清单!F1047</f>
        <v>52.19</v>
      </c>
      <c r="C942" s="3093">
        <f t="shared" si="155"/>
        <v>1</v>
      </c>
      <c r="D942" s="293"/>
      <c r="E942" s="3093">
        <f t="shared" si="156"/>
        <v>1</v>
      </c>
      <c r="F942" s="293"/>
      <c r="G942" s="3093">
        <f t="shared" si="157"/>
        <v>1</v>
      </c>
      <c r="H942" s="293"/>
      <c r="I942" s="3093">
        <f t="shared" si="158"/>
        <v>1</v>
      </c>
      <c r="J942" s="293"/>
      <c r="K942" s="3093">
        <f t="shared" si="159"/>
        <v>1</v>
      </c>
      <c r="L942" s="293"/>
      <c r="M942" s="3093">
        <f t="shared" si="160"/>
        <v>1</v>
      </c>
      <c r="N942" s="293"/>
      <c r="O942" s="3093">
        <f t="shared" si="161"/>
        <v>1</v>
      </c>
      <c r="P942" s="291" t="s">
        <v>3024</v>
      </c>
      <c r="Q942" s="3093">
        <f t="shared" si="162"/>
        <v>0.97</v>
      </c>
      <c r="R942" s="3093">
        <f t="shared" si="163"/>
        <v>27051</v>
      </c>
      <c r="S942" s="1651">
        <f t="shared" si="164"/>
        <v>141</v>
      </c>
    </row>
    <row r="943" spans="1:19">
      <c r="A943" s="1061" t="str">
        <f>清单!D1066</f>
        <v>C-8-4-703</v>
      </c>
      <c r="B943" s="1061">
        <f>清单!F1066</f>
        <v>52.23</v>
      </c>
      <c r="C943" s="3093">
        <f t="shared" si="155"/>
        <v>1</v>
      </c>
      <c r="D943" s="293"/>
      <c r="E943" s="3093">
        <f t="shared" si="156"/>
        <v>1</v>
      </c>
      <c r="F943" s="293"/>
      <c r="G943" s="3093">
        <f t="shared" si="157"/>
        <v>1</v>
      </c>
      <c r="H943" s="293"/>
      <c r="I943" s="3093">
        <f t="shared" si="158"/>
        <v>1</v>
      </c>
      <c r="J943" s="293"/>
      <c r="K943" s="3093">
        <f t="shared" si="159"/>
        <v>1</v>
      </c>
      <c r="L943" s="293"/>
      <c r="M943" s="3093">
        <f t="shared" si="160"/>
        <v>1</v>
      </c>
      <c r="N943" s="293"/>
      <c r="O943" s="3093">
        <f t="shared" si="161"/>
        <v>1</v>
      </c>
      <c r="P943" s="291" t="s">
        <v>3022</v>
      </c>
      <c r="Q943" s="3093">
        <f t="shared" si="162"/>
        <v>1</v>
      </c>
      <c r="R943" s="3093">
        <f t="shared" si="163"/>
        <v>27888</v>
      </c>
      <c r="S943" s="1651">
        <f t="shared" si="164"/>
        <v>146</v>
      </c>
    </row>
    <row r="944" spans="1:19">
      <c r="A944" s="1061" t="str">
        <f>清单!D1067</f>
        <v>C-8-4-704</v>
      </c>
      <c r="B944" s="1061">
        <f>清单!F1067</f>
        <v>52.19</v>
      </c>
      <c r="C944" s="3093">
        <f t="shared" si="155"/>
        <v>1</v>
      </c>
      <c r="D944" s="293"/>
      <c r="E944" s="3093">
        <f t="shared" si="156"/>
        <v>1</v>
      </c>
      <c r="F944" s="293"/>
      <c r="G944" s="3093">
        <f t="shared" si="157"/>
        <v>1</v>
      </c>
      <c r="H944" s="293"/>
      <c r="I944" s="3093">
        <f t="shared" si="158"/>
        <v>1</v>
      </c>
      <c r="J944" s="293"/>
      <c r="K944" s="3093">
        <f t="shared" si="159"/>
        <v>1</v>
      </c>
      <c r="L944" s="293"/>
      <c r="M944" s="3093">
        <f t="shared" si="160"/>
        <v>1</v>
      </c>
      <c r="N944" s="293"/>
      <c r="O944" s="3093">
        <f t="shared" si="161"/>
        <v>1</v>
      </c>
      <c r="P944" s="291" t="s">
        <v>3022</v>
      </c>
      <c r="Q944" s="3093">
        <f t="shared" si="162"/>
        <v>1</v>
      </c>
      <c r="R944" s="3093">
        <f t="shared" si="163"/>
        <v>27888</v>
      </c>
      <c r="S944" s="1651">
        <f t="shared" si="164"/>
        <v>146</v>
      </c>
    </row>
    <row r="945" spans="1:19">
      <c r="A945" s="1061" t="str">
        <f>清单!D1050</f>
        <v>C-8-4-303</v>
      </c>
      <c r="B945" s="1061">
        <f>清单!F1050</f>
        <v>52.23</v>
      </c>
      <c r="C945" s="3093">
        <f t="shared" si="155"/>
        <v>1</v>
      </c>
      <c r="D945" s="293"/>
      <c r="E945" s="3093">
        <f t="shared" si="156"/>
        <v>1</v>
      </c>
      <c r="F945" s="293"/>
      <c r="G945" s="3093">
        <f t="shared" si="157"/>
        <v>1</v>
      </c>
      <c r="H945" s="293"/>
      <c r="I945" s="3093">
        <f t="shared" si="158"/>
        <v>1</v>
      </c>
      <c r="J945" s="293"/>
      <c r="K945" s="3093">
        <f t="shared" si="159"/>
        <v>1</v>
      </c>
      <c r="L945" s="293"/>
      <c r="M945" s="3093">
        <f t="shared" si="160"/>
        <v>1</v>
      </c>
      <c r="N945" s="293"/>
      <c r="O945" s="3093">
        <f t="shared" si="161"/>
        <v>1</v>
      </c>
      <c r="P945" s="291" t="s">
        <v>3024</v>
      </c>
      <c r="Q945" s="3093">
        <f t="shared" si="162"/>
        <v>0.97</v>
      </c>
      <c r="R945" s="3093">
        <f t="shared" si="163"/>
        <v>27051</v>
      </c>
      <c r="S945" s="1651">
        <f t="shared" si="164"/>
        <v>141</v>
      </c>
    </row>
    <row r="946" spans="1:19">
      <c r="A946" s="1061" t="str">
        <f>清单!D1051</f>
        <v>C-8-4-304</v>
      </c>
      <c r="B946" s="1061">
        <f>清单!F1051</f>
        <v>52.19</v>
      </c>
      <c r="C946" s="3093">
        <f t="shared" si="155"/>
        <v>1</v>
      </c>
      <c r="D946" s="293"/>
      <c r="E946" s="3093">
        <f t="shared" si="156"/>
        <v>1</v>
      </c>
      <c r="F946" s="293"/>
      <c r="G946" s="3093">
        <f t="shared" si="157"/>
        <v>1</v>
      </c>
      <c r="H946" s="293"/>
      <c r="I946" s="3093">
        <f t="shared" si="158"/>
        <v>1</v>
      </c>
      <c r="J946" s="293"/>
      <c r="K946" s="3093">
        <f t="shared" si="159"/>
        <v>1</v>
      </c>
      <c r="L946" s="293"/>
      <c r="M946" s="3093">
        <f t="shared" si="160"/>
        <v>1</v>
      </c>
      <c r="N946" s="293"/>
      <c r="O946" s="3093">
        <f t="shared" si="161"/>
        <v>1</v>
      </c>
      <c r="P946" s="291" t="s">
        <v>3024</v>
      </c>
      <c r="Q946" s="3093">
        <f t="shared" si="162"/>
        <v>0.97</v>
      </c>
      <c r="R946" s="3093">
        <f t="shared" si="163"/>
        <v>27051</v>
      </c>
      <c r="S946" s="1651">
        <f t="shared" si="164"/>
        <v>141</v>
      </c>
    </row>
    <row r="947" spans="1:19">
      <c r="A947" s="1061" t="str">
        <f>清单!D1070</f>
        <v>C-8-4-803</v>
      </c>
      <c r="B947" s="1061">
        <f>清单!F1070</f>
        <v>52.23</v>
      </c>
      <c r="C947" s="3093">
        <f t="shared" si="155"/>
        <v>1</v>
      </c>
      <c r="D947" s="293"/>
      <c r="E947" s="3093">
        <f t="shared" si="156"/>
        <v>1</v>
      </c>
      <c r="F947" s="293"/>
      <c r="G947" s="3093">
        <f t="shared" si="157"/>
        <v>1</v>
      </c>
      <c r="H947" s="293"/>
      <c r="I947" s="3093">
        <f t="shared" si="158"/>
        <v>1</v>
      </c>
      <c r="J947" s="293"/>
      <c r="K947" s="3093">
        <f t="shared" si="159"/>
        <v>1</v>
      </c>
      <c r="L947" s="293"/>
      <c r="M947" s="3093">
        <f t="shared" si="160"/>
        <v>1</v>
      </c>
      <c r="N947" s="293"/>
      <c r="O947" s="3093">
        <f t="shared" si="161"/>
        <v>1</v>
      </c>
      <c r="P947" s="291" t="s">
        <v>3022</v>
      </c>
      <c r="Q947" s="3093">
        <f t="shared" si="162"/>
        <v>1</v>
      </c>
      <c r="R947" s="3093">
        <f t="shared" si="163"/>
        <v>27888</v>
      </c>
      <c r="S947" s="1651">
        <f t="shared" si="164"/>
        <v>146</v>
      </c>
    </row>
    <row r="948" spans="1:19">
      <c r="A948" s="1061" t="str">
        <f>清单!D1071</f>
        <v>C-8-4-804</v>
      </c>
      <c r="B948" s="1061">
        <f>清单!F1071</f>
        <v>52.19</v>
      </c>
      <c r="C948" s="3093">
        <f t="shared" si="155"/>
        <v>1</v>
      </c>
      <c r="D948" s="293"/>
      <c r="E948" s="3093">
        <f t="shared" si="156"/>
        <v>1</v>
      </c>
      <c r="F948" s="293"/>
      <c r="G948" s="3093">
        <f t="shared" si="157"/>
        <v>1</v>
      </c>
      <c r="H948" s="293"/>
      <c r="I948" s="3093">
        <f t="shared" si="158"/>
        <v>1</v>
      </c>
      <c r="J948" s="293"/>
      <c r="K948" s="3093">
        <f t="shared" si="159"/>
        <v>1</v>
      </c>
      <c r="L948" s="293"/>
      <c r="M948" s="3093">
        <f t="shared" si="160"/>
        <v>1</v>
      </c>
      <c r="N948" s="293"/>
      <c r="O948" s="3093">
        <f t="shared" si="161"/>
        <v>1</v>
      </c>
      <c r="P948" s="291" t="s">
        <v>3022</v>
      </c>
      <c r="Q948" s="3093">
        <f t="shared" si="162"/>
        <v>1</v>
      </c>
      <c r="R948" s="3093">
        <f t="shared" si="163"/>
        <v>27888</v>
      </c>
      <c r="S948" s="1651">
        <f t="shared" si="164"/>
        <v>146</v>
      </c>
    </row>
    <row r="949" spans="1:19">
      <c r="A949" s="1061" t="str">
        <f>清单!D1054</f>
        <v>C-8-4-403</v>
      </c>
      <c r="B949" s="1061">
        <f>清单!F1054</f>
        <v>52.23</v>
      </c>
      <c r="C949" s="3093">
        <f t="shared" si="155"/>
        <v>1</v>
      </c>
      <c r="D949" s="293"/>
      <c r="E949" s="3093">
        <f t="shared" si="156"/>
        <v>1</v>
      </c>
      <c r="F949" s="293"/>
      <c r="G949" s="3093">
        <f t="shared" si="157"/>
        <v>1</v>
      </c>
      <c r="H949" s="293"/>
      <c r="I949" s="3093">
        <f t="shared" si="158"/>
        <v>1</v>
      </c>
      <c r="J949" s="293"/>
      <c r="K949" s="3093">
        <f t="shared" si="159"/>
        <v>1</v>
      </c>
      <c r="L949" s="293"/>
      <c r="M949" s="3093">
        <f t="shared" si="160"/>
        <v>1</v>
      </c>
      <c r="N949" s="293"/>
      <c r="O949" s="3093">
        <f t="shared" si="161"/>
        <v>1</v>
      </c>
      <c r="P949" s="291" t="s">
        <v>3024</v>
      </c>
      <c r="Q949" s="3093">
        <f t="shared" si="162"/>
        <v>0.97</v>
      </c>
      <c r="R949" s="3093">
        <f t="shared" si="163"/>
        <v>27051</v>
      </c>
      <c r="S949" s="1651">
        <f t="shared" si="164"/>
        <v>141</v>
      </c>
    </row>
    <row r="950" spans="1:19">
      <c r="A950" s="1061" t="str">
        <f>清单!D1055</f>
        <v>C-8-4-404</v>
      </c>
      <c r="B950" s="1061">
        <f>清单!F1055</f>
        <v>52.19</v>
      </c>
      <c r="C950" s="3093">
        <f t="shared" si="155"/>
        <v>1</v>
      </c>
      <c r="D950" s="293"/>
      <c r="E950" s="3093">
        <f t="shared" si="156"/>
        <v>1</v>
      </c>
      <c r="F950" s="293"/>
      <c r="G950" s="3093">
        <f t="shared" si="157"/>
        <v>1</v>
      </c>
      <c r="H950" s="293"/>
      <c r="I950" s="3093">
        <f t="shared" si="158"/>
        <v>1</v>
      </c>
      <c r="J950" s="293"/>
      <c r="K950" s="3093">
        <f t="shared" si="159"/>
        <v>1</v>
      </c>
      <c r="L950" s="293"/>
      <c r="M950" s="3093">
        <f t="shared" si="160"/>
        <v>1</v>
      </c>
      <c r="N950" s="293"/>
      <c r="O950" s="3093">
        <f t="shared" si="161"/>
        <v>1</v>
      </c>
      <c r="P950" s="291" t="s">
        <v>3024</v>
      </c>
      <c r="Q950" s="3093">
        <f t="shared" si="162"/>
        <v>0.97</v>
      </c>
      <c r="R950" s="3093">
        <f t="shared" si="163"/>
        <v>27051</v>
      </c>
      <c r="S950" s="1651">
        <f t="shared" si="164"/>
        <v>141</v>
      </c>
    </row>
    <row r="951" spans="1:19">
      <c r="A951" s="1061" t="str">
        <f>清单!D1074</f>
        <v>C-8-4-903</v>
      </c>
      <c r="B951" s="1061">
        <f>清单!F1074</f>
        <v>52.23</v>
      </c>
      <c r="C951" s="3093">
        <f t="shared" si="155"/>
        <v>1</v>
      </c>
      <c r="D951" s="293"/>
      <c r="E951" s="3093">
        <f t="shared" si="156"/>
        <v>1</v>
      </c>
      <c r="F951" s="293"/>
      <c r="G951" s="3093">
        <f t="shared" si="157"/>
        <v>1</v>
      </c>
      <c r="H951" s="293"/>
      <c r="I951" s="3093">
        <f t="shared" si="158"/>
        <v>1</v>
      </c>
      <c r="J951" s="293"/>
      <c r="K951" s="3093">
        <f t="shared" si="159"/>
        <v>1</v>
      </c>
      <c r="L951" s="293"/>
      <c r="M951" s="3093">
        <f t="shared" si="160"/>
        <v>1</v>
      </c>
      <c r="N951" s="293"/>
      <c r="O951" s="3093">
        <f t="shared" si="161"/>
        <v>1</v>
      </c>
      <c r="P951" s="291" t="s">
        <v>3022</v>
      </c>
      <c r="Q951" s="3093">
        <f t="shared" si="162"/>
        <v>1</v>
      </c>
      <c r="R951" s="3093">
        <f t="shared" si="163"/>
        <v>27888</v>
      </c>
      <c r="S951" s="1651">
        <f t="shared" si="164"/>
        <v>146</v>
      </c>
    </row>
    <row r="952" spans="1:19">
      <c r="A952" s="1061" t="str">
        <f>清单!D1075</f>
        <v>C-8-4-904</v>
      </c>
      <c r="B952" s="1061">
        <f>清单!F1075</f>
        <v>52.19</v>
      </c>
      <c r="C952" s="3093">
        <f t="shared" si="155"/>
        <v>1</v>
      </c>
      <c r="D952" s="293"/>
      <c r="E952" s="3093">
        <f t="shared" si="156"/>
        <v>1</v>
      </c>
      <c r="F952" s="293"/>
      <c r="G952" s="3093">
        <f t="shared" si="157"/>
        <v>1</v>
      </c>
      <c r="H952" s="293"/>
      <c r="I952" s="3093">
        <f t="shared" si="158"/>
        <v>1</v>
      </c>
      <c r="J952" s="293"/>
      <c r="K952" s="3093">
        <f t="shared" si="159"/>
        <v>1</v>
      </c>
      <c r="L952" s="293"/>
      <c r="M952" s="3093">
        <f t="shared" si="160"/>
        <v>1</v>
      </c>
      <c r="N952" s="293"/>
      <c r="O952" s="3093">
        <f t="shared" si="161"/>
        <v>1</v>
      </c>
      <c r="P952" s="291" t="s">
        <v>3022</v>
      </c>
      <c r="Q952" s="3093">
        <f t="shared" si="162"/>
        <v>1</v>
      </c>
      <c r="R952" s="3093">
        <f t="shared" si="163"/>
        <v>27888</v>
      </c>
      <c r="S952" s="1651">
        <f t="shared" si="164"/>
        <v>146</v>
      </c>
    </row>
    <row r="953" spans="1:19">
      <c r="A953" s="1061" t="str">
        <f>清单!D1058</f>
        <v>C-8-4-503</v>
      </c>
      <c r="B953" s="1061">
        <f>清单!F1058</f>
        <v>52.23</v>
      </c>
      <c r="C953" s="3093">
        <f t="shared" si="155"/>
        <v>1</v>
      </c>
      <c r="D953" s="293"/>
      <c r="E953" s="3093">
        <f t="shared" si="156"/>
        <v>1</v>
      </c>
      <c r="F953" s="293"/>
      <c r="G953" s="3093">
        <f t="shared" si="157"/>
        <v>1</v>
      </c>
      <c r="H953" s="293"/>
      <c r="I953" s="3093">
        <f t="shared" si="158"/>
        <v>1</v>
      </c>
      <c r="J953" s="293"/>
      <c r="K953" s="3093">
        <f t="shared" si="159"/>
        <v>1</v>
      </c>
      <c r="L953" s="293"/>
      <c r="M953" s="3093">
        <f t="shared" si="160"/>
        <v>1</v>
      </c>
      <c r="N953" s="293"/>
      <c r="O953" s="3093">
        <f t="shared" si="161"/>
        <v>1</v>
      </c>
      <c r="P953" s="291" t="s">
        <v>3024</v>
      </c>
      <c r="Q953" s="3093">
        <f t="shared" si="162"/>
        <v>0.97</v>
      </c>
      <c r="R953" s="3093">
        <f t="shared" si="163"/>
        <v>27051</v>
      </c>
      <c r="S953" s="1651">
        <f t="shared" si="164"/>
        <v>141</v>
      </c>
    </row>
    <row r="954" spans="1:19">
      <c r="A954" s="1061" t="str">
        <f>清单!D1059</f>
        <v>C-8-4-504</v>
      </c>
      <c r="B954" s="1061">
        <f>清单!F1059</f>
        <v>52.19</v>
      </c>
      <c r="C954" s="3093">
        <f t="shared" si="155"/>
        <v>1</v>
      </c>
      <c r="D954" s="293"/>
      <c r="E954" s="3093">
        <f t="shared" si="156"/>
        <v>1</v>
      </c>
      <c r="F954" s="293"/>
      <c r="G954" s="3093">
        <f t="shared" si="157"/>
        <v>1</v>
      </c>
      <c r="H954" s="293"/>
      <c r="I954" s="3093">
        <f t="shared" si="158"/>
        <v>1</v>
      </c>
      <c r="J954" s="293"/>
      <c r="K954" s="3093">
        <f t="shared" si="159"/>
        <v>1</v>
      </c>
      <c r="L954" s="293"/>
      <c r="M954" s="3093">
        <f t="shared" si="160"/>
        <v>1</v>
      </c>
      <c r="N954" s="293"/>
      <c r="O954" s="3093">
        <f t="shared" si="161"/>
        <v>1</v>
      </c>
      <c r="P954" s="291" t="s">
        <v>3024</v>
      </c>
      <c r="Q954" s="3093">
        <f t="shared" si="162"/>
        <v>0.97</v>
      </c>
      <c r="R954" s="3093">
        <f t="shared" si="163"/>
        <v>27051</v>
      </c>
      <c r="S954" s="1651">
        <f t="shared" si="164"/>
        <v>141</v>
      </c>
    </row>
    <row r="955" spans="1:19">
      <c r="A955" s="1061">
        <f>清单!D1078</f>
        <v>0</v>
      </c>
      <c r="B955" s="1061">
        <f>清单!F1078</f>
        <v>0</v>
      </c>
      <c r="C955" s="3093">
        <f t="shared" si="155"/>
        <v>1</v>
      </c>
      <c r="D955" s="293"/>
      <c r="E955" s="3093">
        <f t="shared" si="156"/>
        <v>1</v>
      </c>
      <c r="F955" s="293"/>
      <c r="G955" s="3093">
        <f t="shared" si="157"/>
        <v>1</v>
      </c>
      <c r="H955" s="293"/>
      <c r="I955" s="3093">
        <f t="shared" si="158"/>
        <v>1</v>
      </c>
      <c r="J955" s="293"/>
      <c r="K955" s="3093">
        <f t="shared" si="159"/>
        <v>1</v>
      </c>
      <c r="L955" s="293"/>
      <c r="M955" s="3093">
        <f t="shared" si="160"/>
        <v>1</v>
      </c>
      <c r="N955" s="293"/>
      <c r="O955" s="3093">
        <f t="shared" si="161"/>
        <v>1</v>
      </c>
      <c r="P955" s="291"/>
      <c r="Q955" s="3093">
        <f t="shared" si="162"/>
        <v>0.03</v>
      </c>
      <c r="R955" s="3093">
        <f t="shared" si="163"/>
        <v>837</v>
      </c>
      <c r="S955" s="1651">
        <f t="shared" si="164"/>
        <v>0</v>
      </c>
    </row>
  </sheetData>
  <sheetProtection password="CEE9" sheet="1" objects="1" scenarios="1" formatCells="0" formatColumns="0" formatRows="0"/>
  <mergeCells count="2">
    <mergeCell ref="C1:S1"/>
    <mergeCell ref="C22:Q22"/>
  </mergeCells>
  <phoneticPr fontId="215" type="noConversion"/>
  <conditionalFormatting sqref="C24:C955 E24:E955 G24:G955 I24:I955 K24:K955 M24:M955 O24:O955 Q24:Q955">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A79" zoomScale="115" zoomScaleNormal="100" zoomScaleSheetLayoutView="115" zoomScalePageLayoutView="80" workbookViewId="0">
      <selection activeCell="E94" sqref="E94:H94"/>
    </sheetView>
  </sheetViews>
  <sheetFormatPr defaultColWidth="12.625" defaultRowHeight="21.75" customHeight="1"/>
  <cols>
    <col min="1" max="2" width="12.625" style="2131"/>
    <col min="3" max="4" width="12.625" style="2131" customWidth="1"/>
    <col min="5" max="9" width="12.625" style="2131"/>
    <col min="10" max="11" width="12.625" style="232" customWidth="1"/>
    <col min="12" max="12" width="12.625" style="232"/>
    <col min="13" max="13" width="14.125" style="232" customWidth="1"/>
    <col min="14" max="26" width="12.625" style="232"/>
    <col min="27" max="35" width="12.625" style="2130"/>
    <col min="36" max="16384" width="12.625" style="2131"/>
  </cols>
  <sheetData>
    <row r="1" spans="1:12" ht="21.75" customHeight="1" thickBot="1">
      <c r="A1" s="2132" t="s">
        <v>715</v>
      </c>
      <c r="B1" s="1778"/>
      <c r="C1" s="2133" t="s">
        <v>466</v>
      </c>
      <c r="D1" s="1778"/>
      <c r="E1" s="1778"/>
      <c r="F1" s="2134" t="s">
        <v>716</v>
      </c>
      <c r="G1" s="2135" t="s">
        <v>395</v>
      </c>
      <c r="H1" s="2134" t="str">
        <f>IF(G1="现房","——","估价对象范围")</f>
        <v>估价对象范围</v>
      </c>
      <c r="I1" s="2264" t="s">
        <v>717</v>
      </c>
    </row>
    <row r="2" spans="1:12" ht="21.75" customHeight="1" thickBot="1">
      <c r="A2" s="3215" t="str">
        <f>项目基本情况!S2</f>
        <v>北京市顺义区北小营镇顺义新城第30街区30-01-02地块R2二类居住用地出让国有建设用地使用权及在建建筑物房地产</v>
      </c>
      <c r="B2" s="3216"/>
      <c r="C2" s="3216"/>
      <c r="D2" s="3216"/>
      <c r="E2" s="3216"/>
      <c r="F2" s="3216"/>
      <c r="G2" s="3216"/>
      <c r="H2" s="3216"/>
      <c r="I2" s="3217"/>
    </row>
    <row r="3" spans="1:12" ht="12.75">
      <c r="A3" s="3218" t="s">
        <v>718</v>
      </c>
      <c r="B3" s="3219"/>
      <c r="C3" s="3219"/>
      <c r="D3" s="3219"/>
      <c r="E3" s="3219"/>
      <c r="F3" s="3219"/>
      <c r="G3" s="3219"/>
      <c r="H3" s="3219"/>
      <c r="I3" s="3219"/>
    </row>
    <row r="4" spans="1:12" ht="14.25">
      <c r="A4" s="2136" t="s">
        <v>719</v>
      </c>
      <c r="B4" s="2137" t="s">
        <v>720</v>
      </c>
      <c r="C4" s="2138" t="s">
        <v>3009</v>
      </c>
      <c r="D4" s="2138" t="s">
        <v>266</v>
      </c>
      <c r="E4" s="3220" t="s">
        <v>722</v>
      </c>
      <c r="F4" s="3221"/>
      <c r="G4" s="3221"/>
      <c r="H4" s="3221"/>
      <c r="I4" s="3222"/>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5" t="s">
        <v>723</v>
      </c>
      <c r="B5" s="3306">
        <v>25</v>
      </c>
      <c r="C5" s="3235"/>
      <c r="D5" s="3234"/>
      <c r="E5" s="1676" t="s">
        <v>724</v>
      </c>
      <c r="F5" s="2143"/>
      <c r="G5" s="2143"/>
      <c r="H5" s="2143"/>
      <c r="I5" s="1878"/>
    </row>
    <row r="6" spans="1:12" ht="12.75">
      <c r="A6" s="3265"/>
      <c r="B6" s="3306"/>
      <c r="C6" s="3236"/>
      <c r="D6" s="3234"/>
      <c r="E6" s="1676" t="s">
        <v>725</v>
      </c>
      <c r="F6" s="2143"/>
      <c r="G6" s="2143"/>
      <c r="H6" s="2143"/>
      <c r="I6" s="1878"/>
    </row>
    <row r="7" spans="1:12" ht="12.75">
      <c r="A7" s="3265"/>
      <c r="B7" s="3306"/>
      <c r="C7" s="3237"/>
      <c r="D7" s="3234"/>
      <c r="E7" s="1676" t="s">
        <v>726</v>
      </c>
      <c r="F7" s="2143"/>
      <c r="G7" s="2143"/>
      <c r="H7" s="2143"/>
      <c r="I7" s="1878"/>
    </row>
    <row r="8" spans="1:12" ht="12.75">
      <c r="A8" s="3265" t="s">
        <v>727</v>
      </c>
      <c r="B8" s="3306">
        <v>15</v>
      </c>
      <c r="C8" s="3235"/>
      <c r="D8" s="3234"/>
      <c r="E8" s="1676" t="s">
        <v>728</v>
      </c>
      <c r="F8" s="2143"/>
      <c r="G8" s="2143"/>
      <c r="H8" s="2143"/>
      <c r="I8" s="1878"/>
    </row>
    <row r="9" spans="1:12" ht="12.75">
      <c r="A9" s="3265"/>
      <c r="B9" s="3306"/>
      <c r="C9" s="3237"/>
      <c r="D9" s="3234"/>
      <c r="E9" s="1676" t="s">
        <v>729</v>
      </c>
      <c r="F9" s="2143"/>
      <c r="G9" s="2143"/>
      <c r="H9" s="2143"/>
      <c r="I9" s="1878"/>
    </row>
    <row r="10" spans="1:12" ht="12.75">
      <c r="A10" s="3265" t="s">
        <v>730</v>
      </c>
      <c r="B10" s="3306">
        <v>15</v>
      </c>
      <c r="C10" s="3235"/>
      <c r="D10" s="3234"/>
      <c r="E10" s="1676" t="s">
        <v>731</v>
      </c>
      <c r="F10" s="2143"/>
      <c r="G10" s="2143"/>
      <c r="H10" s="2143"/>
      <c r="I10" s="1878"/>
    </row>
    <row r="11" spans="1:12" ht="12.75">
      <c r="A11" s="3265"/>
      <c r="B11" s="3306"/>
      <c r="C11" s="3237"/>
      <c r="D11" s="3234"/>
      <c r="E11" s="1676" t="s">
        <v>732</v>
      </c>
      <c r="F11" s="2143"/>
      <c r="G11" s="2143"/>
      <c r="H11" s="2143"/>
      <c r="I11" s="1878"/>
    </row>
    <row r="12" spans="1:12" ht="12.75">
      <c r="A12" s="3265" t="s">
        <v>733</v>
      </c>
      <c r="B12" s="3306">
        <v>15</v>
      </c>
      <c r="C12" s="3235"/>
      <c r="D12" s="3234"/>
      <c r="E12" s="1676" t="s">
        <v>734</v>
      </c>
      <c r="F12" s="2143"/>
      <c r="G12" s="2143"/>
      <c r="H12" s="2143"/>
      <c r="I12" s="1878"/>
    </row>
    <row r="13" spans="1:12" ht="12.75">
      <c r="A13" s="3265"/>
      <c r="B13" s="3306"/>
      <c r="C13" s="3237"/>
      <c r="D13" s="3234"/>
      <c r="E13" s="1676" t="s">
        <v>735</v>
      </c>
      <c r="F13" s="2143"/>
      <c r="G13" s="2143"/>
      <c r="H13" s="2143"/>
      <c r="I13" s="1878"/>
    </row>
    <row r="14" spans="1:12" ht="12.75">
      <c r="A14" s="3265" t="s">
        <v>736</v>
      </c>
      <c r="B14" s="3306">
        <v>30</v>
      </c>
      <c r="C14" s="3235">
        <v>4</v>
      </c>
      <c r="D14" s="3234">
        <v>6</v>
      </c>
      <c r="E14" s="1676" t="s">
        <v>737</v>
      </c>
      <c r="F14" s="2143"/>
      <c r="G14" s="2143"/>
      <c r="H14" s="2143"/>
      <c r="I14" s="1878"/>
    </row>
    <row r="15" spans="1:12" ht="12.75">
      <c r="A15" s="3265"/>
      <c r="B15" s="3306"/>
      <c r="C15" s="3236"/>
      <c r="D15" s="3234"/>
      <c r="E15" s="1676" t="s">
        <v>738</v>
      </c>
      <c r="F15" s="2143"/>
      <c r="G15" s="2143"/>
      <c r="H15" s="2143"/>
      <c r="I15" s="1878"/>
    </row>
    <row r="16" spans="1:12" ht="12.75">
      <c r="A16" s="3265"/>
      <c r="B16" s="3306"/>
      <c r="C16" s="3237"/>
      <c r="D16" s="3234"/>
      <c r="E16" s="1676" t="s">
        <v>739</v>
      </c>
      <c r="F16" s="2143"/>
      <c r="G16" s="2143"/>
      <c r="H16" s="2143"/>
      <c r="I16" s="1878"/>
    </row>
    <row r="17" spans="1:36" ht="15">
      <c r="A17" s="2144" t="s">
        <v>740</v>
      </c>
      <c r="B17" s="2145"/>
      <c r="C17" s="2146">
        <f>SUM(C5:C16)</f>
        <v>4</v>
      </c>
      <c r="D17" s="2146">
        <f>SUM(D5:D16)</f>
        <v>6</v>
      </c>
      <c r="E17" s="274"/>
      <c r="F17" s="274"/>
      <c r="G17" s="274"/>
      <c r="H17" s="274"/>
      <c r="I17" s="274"/>
      <c r="K17" s="1636"/>
      <c r="L17" s="1636" t="s">
        <v>741</v>
      </c>
      <c r="M17" s="1636" t="s">
        <v>742</v>
      </c>
    </row>
    <row r="18" spans="1:36" ht="31.9" customHeight="1" thickBot="1">
      <c r="A18" s="2147" t="s">
        <v>743</v>
      </c>
      <c r="B18" s="2148"/>
      <c r="C18" s="2149">
        <f>ROUND(C17/SUM(C17:D17),2)</f>
        <v>0.4</v>
      </c>
      <c r="D18" s="2149">
        <f>1-C18</f>
        <v>0.6</v>
      </c>
      <c r="E18" s="3223" t="s">
        <v>744</v>
      </c>
      <c r="F18" s="3224"/>
      <c r="G18" s="3224"/>
      <c r="H18" s="3224"/>
      <c r="I18" s="3224"/>
      <c r="K18" s="1636" t="s">
        <v>362</v>
      </c>
      <c r="L18" s="1636">
        <f>IF(C1="",'数据-汇总表'!E3,SUMIF(项目类型,C1,'数据-汇总表'!E17:E26)+SUMIF(项目类型,C1,'数据-汇总表'!I17:I26))</f>
        <v>2338.25</v>
      </c>
      <c r="M18" s="1636">
        <f>IF(C1="",'数据-汇总表'!E3,SUMIF(项目类型,C1,'数据-汇总表'!E17:E26))</f>
        <v>2338.25</v>
      </c>
    </row>
    <row r="19" spans="1:36" ht="15">
      <c r="A19" s="1085" t="s">
        <v>745</v>
      </c>
      <c r="B19" s="2150" t="s">
        <v>746</v>
      </c>
      <c r="C19" s="2151">
        <f ca="1">SUMIF(INDIRECT("'"&amp;C4&amp;"'"&amp;"!A:A"),结果表商!B19,INDIRECT("'"&amp;C4&amp;"'"&amp;"!B:B"))</f>
        <v>6577</v>
      </c>
      <c r="D19" s="2115">
        <f ca="1">SUMIF(INDIRECT("'"&amp;D4&amp;"'"&amp;"!A:A"),结果表商!B19,INDIRECT("'"&amp;D4&amp;"'"&amp;"!B:B"))</f>
        <v>3592</v>
      </c>
      <c r="E19" s="1085" t="s">
        <v>747</v>
      </c>
      <c r="F19" s="2150" t="s">
        <v>746</v>
      </c>
      <c r="G19" s="2152">
        <f ca="1">ROUND(C19*$C$18+D19*$D$18,0)</f>
        <v>4786</v>
      </c>
      <c r="H19" s="2153" t="s">
        <v>748</v>
      </c>
      <c r="I19" s="274"/>
      <c r="K19" s="1636" t="s">
        <v>366</v>
      </c>
      <c r="L19" s="1636">
        <f>IF(C1="",'数据-汇总表'!D3,SUMIF(项目类型,C1,'数据-汇总表'!D17:D26)+SUMIF(项目类型,C1,'数据-汇总表'!H17:H27))</f>
        <v>0</v>
      </c>
      <c r="M19" s="1636">
        <f>IF(C1="",'数据-汇总表'!D3,SUMIF(项目类型,C1,'数据-汇总表'!D17:D26))</f>
        <v>0</v>
      </c>
    </row>
    <row r="20" spans="1:36" ht="15">
      <c r="A20" s="2154"/>
      <c r="B20" s="2155" t="s">
        <v>749</v>
      </c>
      <c r="C20" s="1427">
        <f ca="1">SUMIF(INDIRECT("'"&amp;C4&amp;"'"&amp;"!A:A"),结果表商!B20,INDIRECT("'"&amp;C4&amp;"'"&amp;"!B:B"))</f>
        <v>28128</v>
      </c>
      <c r="D20" s="1968">
        <f ca="1">SUMIF(INDIRECT("'"&amp;D4&amp;"'"&amp;"!A:A"),结果表商!B20,INDIRECT("'"&amp;D4&amp;"'"&amp;"!B:B"))</f>
        <v>15362</v>
      </c>
      <c r="E20" s="2154"/>
      <c r="F20" s="2155" t="s">
        <v>749</v>
      </c>
      <c r="G20" s="2156">
        <f ca="1">ROUND(C20*$C$18+D20*$D$18,0)</f>
        <v>20468</v>
      </c>
      <c r="H20" s="1787" t="s">
        <v>750</v>
      </c>
      <c r="I20" s="274"/>
    </row>
    <row r="21" spans="1:36" ht="15" customHeight="1" thickBot="1">
      <c r="A21" s="1091"/>
      <c r="B21" s="2157" t="s">
        <v>751</v>
      </c>
      <c r="C21" s="2158" t="e">
        <f ca="1">ROUND(C19*10000/L19,0)</f>
        <v>#DIV/0!</v>
      </c>
      <c r="D21" s="2159" t="e">
        <f ca="1">ROUND(D19*10000/L19,0)</f>
        <v>#DIV/0!</v>
      </c>
      <c r="E21" s="1091"/>
      <c r="F21" s="2157" t="s">
        <v>751</v>
      </c>
      <c r="G21" s="2160" t="e">
        <f ca="1">ROUND(G19*10000/L19,0)</f>
        <v>#DIV/0!</v>
      </c>
      <c r="H21" s="2161" t="s">
        <v>750</v>
      </c>
      <c r="I21" s="274"/>
      <c r="K21" s="232">
        <v>412505</v>
      </c>
      <c r="L21" s="232">
        <v>400289</v>
      </c>
    </row>
    <row r="22" spans="1:36" ht="15" thickBot="1">
      <c r="A22" s="2162" t="s">
        <v>752</v>
      </c>
      <c r="B22" s="2163"/>
      <c r="C22" s="2164"/>
      <c r="D22" s="2165">
        <f ca="1">IF(C19&lt;D19,D19/C19-1,C19/D19-1)</f>
        <v>0.83101336302895312</v>
      </c>
      <c r="E22" s="274"/>
      <c r="F22" s="274"/>
      <c r="G22" s="274"/>
      <c r="H22" s="274"/>
      <c r="I22" s="274"/>
      <c r="K22" s="232">
        <f ca="1">G19</f>
        <v>4786</v>
      </c>
      <c r="L22" s="232">
        <f>N59</f>
        <v>8147</v>
      </c>
    </row>
    <row r="23" spans="1:36" ht="13.5" thickBot="1">
      <c r="A23" s="1778"/>
      <c r="B23" s="1778"/>
      <c r="C23" s="1778"/>
      <c r="D23" s="1778"/>
      <c r="E23" s="274"/>
      <c r="F23" s="274"/>
      <c r="G23" s="274"/>
      <c r="H23" s="274"/>
      <c r="I23" s="274"/>
      <c r="K23" s="232">
        <f ca="1">K21-K22</f>
        <v>407719</v>
      </c>
      <c r="L23" s="232">
        <f>L21-L22</f>
        <v>392142</v>
      </c>
    </row>
    <row r="24" spans="1:36" ht="14.25">
      <c r="A24" s="3299" t="s">
        <v>753</v>
      </c>
      <c r="B24" s="2150" t="s">
        <v>746</v>
      </c>
      <c r="C24" s="2152">
        <f>IF(B30=0,0,D30)</f>
        <v>0</v>
      </c>
      <c r="D24" s="2166"/>
      <c r="E24" s="274"/>
      <c r="F24" s="274"/>
      <c r="G24" s="274"/>
      <c r="H24" s="274"/>
      <c r="I24" s="274"/>
    </row>
    <row r="25" spans="1:36" ht="14.25">
      <c r="A25" s="3300"/>
      <c r="B25" s="2155" t="s">
        <v>749</v>
      </c>
      <c r="C25" s="2167">
        <f>IF(B30=0,0,C30)</f>
        <v>0</v>
      </c>
      <c r="D25" s="2168"/>
      <c r="E25" s="274"/>
      <c r="F25" s="274"/>
      <c r="G25" s="274"/>
      <c r="H25" s="274"/>
      <c r="I25" s="274"/>
    </row>
    <row r="26" spans="1:36" ht="13.5" customHeight="1">
      <c r="A26" s="2169" t="s">
        <v>754</v>
      </c>
      <c r="B26" s="2170" t="s">
        <v>755</v>
      </c>
      <c r="C26" s="2170" t="s">
        <v>756</v>
      </c>
      <c r="D26" s="2171" t="s">
        <v>757</v>
      </c>
      <c r="E26" s="274"/>
      <c r="F26" s="274"/>
      <c r="G26" s="274"/>
      <c r="H26" s="274"/>
      <c r="I26" s="274"/>
    </row>
    <row r="27" spans="1:36" ht="14.25">
      <c r="A27" s="2169"/>
      <c r="B27" s="2170">
        <v>0</v>
      </c>
      <c r="C27" s="2170">
        <v>0</v>
      </c>
      <c r="D27" s="2171">
        <f>ROUND(C27*B27/10000,0)</f>
        <v>0</v>
      </c>
      <c r="E27" s="274"/>
      <c r="F27" s="274"/>
      <c r="G27" s="274"/>
      <c r="H27" s="274"/>
      <c r="I27" s="274"/>
    </row>
    <row r="28" spans="1:36" ht="14.25">
      <c r="A28" s="2169"/>
      <c r="B28" s="2170"/>
      <c r="C28" s="2170"/>
      <c r="D28" s="2171"/>
      <c r="E28" s="274"/>
      <c r="F28" s="274"/>
      <c r="G28" s="274"/>
      <c r="H28" s="274"/>
      <c r="I28" s="274"/>
    </row>
    <row r="29" spans="1:36" ht="14.25">
      <c r="A29" s="2169"/>
      <c r="B29" s="2170"/>
      <c r="C29" s="2170"/>
      <c r="D29" s="2171"/>
      <c r="E29" s="274"/>
      <c r="F29" s="274"/>
      <c r="G29" s="274"/>
      <c r="H29" s="274"/>
      <c r="I29" s="274"/>
    </row>
    <row r="30" spans="1:36" ht="15" thickBot="1">
      <c r="A30" s="2170" t="s">
        <v>758</v>
      </c>
      <c r="B30" s="2170"/>
      <c r="C30" s="2170"/>
      <c r="D30" s="2170"/>
      <c r="E30" s="2172" t="s">
        <v>759</v>
      </c>
      <c r="F30" s="274"/>
      <c r="G30" s="274"/>
      <c r="H30" s="274"/>
      <c r="I30" s="274"/>
    </row>
    <row r="31" spans="1:36" s="2129" customFormat="1" ht="26.45" customHeight="1" thickTop="1" thickBot="1">
      <c r="A31" s="2173"/>
      <c r="B31" s="2174"/>
      <c r="C31" s="2174"/>
      <c r="D31" s="2174"/>
      <c r="E31" s="2174"/>
      <c r="F31" s="2174"/>
      <c r="G31" s="2174"/>
      <c r="H31" s="2174"/>
      <c r="I31" s="2266" t="s">
        <v>760</v>
      </c>
      <c r="J31" s="2267"/>
      <c r="K31" s="2268"/>
      <c r="L31" s="2268"/>
      <c r="M31" s="2268"/>
      <c r="N31" s="2268"/>
      <c r="O31" s="2268"/>
      <c r="P31" s="2268"/>
      <c r="Q31" s="2268"/>
      <c r="R31" s="2268"/>
      <c r="S31" s="2268"/>
      <c r="T31" s="2268"/>
      <c r="U31" s="2268"/>
      <c r="V31" s="2268"/>
      <c r="W31" s="2268"/>
      <c r="X31" s="2268"/>
      <c r="Y31" s="2268"/>
      <c r="Z31" s="2268"/>
      <c r="AA31" s="2268"/>
      <c r="AB31" s="2298"/>
      <c r="AC31" s="2298"/>
      <c r="AD31" s="2298"/>
      <c r="AE31" s="2298"/>
      <c r="AF31" s="2298"/>
      <c r="AG31" s="2298"/>
      <c r="AH31" s="2298"/>
      <c r="AI31" s="2298"/>
      <c r="AJ31" s="2298"/>
    </row>
    <row r="32" spans="1:36" ht="16.5" thickTop="1" thickBot="1">
      <c r="A32" s="2175" t="s">
        <v>761</v>
      </c>
      <c r="B32" s="2176"/>
      <c r="C32" s="2177">
        <f ca="1">IF(D32="总价",G19-C24,G20-C25)</f>
        <v>4786</v>
      </c>
      <c r="D32" s="2178" t="s">
        <v>762</v>
      </c>
      <c r="E32" s="274"/>
      <c r="F32" s="274"/>
      <c r="G32" s="274"/>
      <c r="H32" s="274"/>
      <c r="I32" s="274"/>
    </row>
    <row r="33" spans="1:15" ht="15">
      <c r="A33" s="2015" t="s">
        <v>763</v>
      </c>
      <c r="B33" s="1676"/>
      <c r="C33" s="2179" t="s">
        <v>764</v>
      </c>
      <c r="D33" s="2180" t="s">
        <v>721</v>
      </c>
      <c r="E33" s="2181" t="s">
        <v>765</v>
      </c>
      <c r="F33" s="2182" t="str">
        <f>IF(D32="楼面单价","取值（单价）","取值（总价）")</f>
        <v>取值（总价）</v>
      </c>
      <c r="G33" s="274"/>
      <c r="H33" s="274"/>
      <c r="I33" s="274"/>
    </row>
    <row r="34" spans="1:15" ht="15">
      <c r="A34" s="2183"/>
      <c r="B34" s="2184" t="s">
        <v>766</v>
      </c>
      <c r="C34" s="2185">
        <f ca="1">IF(C33="自定义",F34,C32-C35)</f>
        <v>3570</v>
      </c>
      <c r="D34" s="2186">
        <f ca="1">IF(C33="自定义",ROUND(C34/C32,3),IF(C33="收益比率",SUMIF(INDIRECT("'"&amp;D33&amp;"'"&amp;"!b:b"),"土地收益比率",INDIRECT("'"&amp;D33&amp;"'"&amp;"!c:c")),SUMIF(INDIRECT("'"&amp;D33&amp;"'"&amp;"!b:b"),"土地成本比率",INDIRECT("'"&amp;D33&amp;"'"&amp;"!c:c"))))</f>
        <v>0.746</v>
      </c>
      <c r="E34" s="2187" t="s">
        <v>767</v>
      </c>
      <c r="F34" s="2188"/>
      <c r="G34" s="274"/>
      <c r="H34" s="274"/>
      <c r="I34" s="274"/>
    </row>
    <row r="35" spans="1:15" ht="15.75" thickBot="1">
      <c r="A35" s="2189"/>
      <c r="B35" s="2190" t="s">
        <v>768</v>
      </c>
      <c r="C35" s="2191">
        <f ca="1">IF(C33="自定义",F35,ROUND(C32*D35,0))</f>
        <v>1216</v>
      </c>
      <c r="D35" s="2192">
        <f ca="1">IF(C33="自定义",ROUND(C35/C32,3),IF(C33="收益比率",SUMIF(INDIRECT("'"&amp;D33&amp;"'"&amp;"!b:b"),"建筑物收益比率",INDIRECT("'"&amp;D33&amp;"'"&amp;"!c:c")),SUMIF(INDIRECT("'"&amp;D33&amp;"'"&amp;"!b:b"),"建筑物成本比率",INDIRECT("'"&amp;D33&amp;"'"&amp;"!c:c"))))</f>
        <v>0.254</v>
      </c>
      <c r="E35" s="2193" t="s">
        <v>769</v>
      </c>
      <c r="F35" s="2194"/>
      <c r="G35" s="274"/>
      <c r="H35" s="274"/>
      <c r="I35" s="274"/>
    </row>
    <row r="36" spans="1:15" ht="15.75" thickBot="1">
      <c r="A36" s="3301" t="s">
        <v>770</v>
      </c>
      <c r="B36" s="2195" t="s">
        <v>771</v>
      </c>
      <c r="C36" s="2196"/>
      <c r="D36" s="2197"/>
      <c r="E36" s="2198"/>
      <c r="F36" s="2199"/>
      <c r="G36" s="274"/>
      <c r="H36" s="274"/>
      <c r="I36" s="274"/>
    </row>
    <row r="37" spans="1:15" ht="15.75" thickBot="1">
      <c r="A37" s="3302"/>
      <c r="B37" s="2200" t="s">
        <v>772</v>
      </c>
      <c r="C37" s="2201"/>
      <c r="D37" s="2202"/>
      <c r="E37" s="2202"/>
      <c r="F37" s="2199"/>
      <c r="G37" s="274"/>
      <c r="H37" s="274"/>
      <c r="I37" s="274"/>
    </row>
    <row r="38" spans="1:15" ht="15.75" thickBot="1">
      <c r="A38" s="3303"/>
      <c r="B38" s="2203" t="s">
        <v>773</v>
      </c>
      <c r="C38" s="2204"/>
      <c r="D38" s="2205" t="s">
        <v>774</v>
      </c>
      <c r="E38" s="2202"/>
      <c r="F38" s="2199"/>
      <c r="G38" s="274"/>
      <c r="H38" s="274"/>
      <c r="I38" s="274"/>
    </row>
    <row r="39" spans="1:15" ht="15">
      <c r="A39" s="2154" t="s">
        <v>775</v>
      </c>
      <c r="B39" s="2206" t="s">
        <v>755</v>
      </c>
      <c r="C39" s="2207" t="s">
        <v>756</v>
      </c>
      <c r="D39" s="2207" t="s">
        <v>776</v>
      </c>
      <c r="E39" s="2208" t="s">
        <v>757</v>
      </c>
      <c r="F39" s="2199"/>
      <c r="G39" s="274"/>
      <c r="H39" s="274"/>
      <c r="I39" s="274"/>
    </row>
    <row r="40" spans="1:15" ht="14.25">
      <c r="A40" s="2209" t="s">
        <v>777</v>
      </c>
      <c r="B40" s="2210"/>
      <c r="C40" s="292"/>
      <c r="D40" s="292"/>
      <c r="E40" s="2211"/>
      <c r="F40" s="2199"/>
      <c r="G40" s="274"/>
      <c r="H40" s="274"/>
      <c r="I40" s="274"/>
    </row>
    <row r="41" spans="1:15" ht="14.25">
      <c r="A41" s="2209" t="s">
        <v>778</v>
      </c>
      <c r="B41" s="2210"/>
      <c r="C41" s="292"/>
      <c r="D41" s="292"/>
      <c r="E41" s="2211"/>
      <c r="F41" s="2199"/>
      <c r="G41" s="274"/>
      <c r="H41" s="274"/>
      <c r="I41" s="274"/>
    </row>
    <row r="42" spans="1:15" ht="15" thickBot="1">
      <c r="A42" s="2212"/>
      <c r="B42" s="2213"/>
      <c r="C42" s="2214"/>
      <c r="D42" s="2214"/>
      <c r="E42" s="2194"/>
      <c r="F42" s="2199"/>
      <c r="G42" s="274"/>
      <c r="H42" s="274"/>
      <c r="I42" s="274"/>
    </row>
    <row r="43" spans="1:15" ht="12.75">
      <c r="A43" s="2215"/>
      <c r="B43" s="2215"/>
      <c r="C43" s="2215"/>
      <c r="D43" s="2215"/>
      <c r="E43" s="2215"/>
      <c r="F43" s="2216"/>
      <c r="G43" s="2216"/>
      <c r="H43" s="2216"/>
      <c r="I43" s="2269"/>
    </row>
    <row r="44" spans="1:15" ht="18.75">
      <c r="A44" s="2217" t="s">
        <v>779</v>
      </c>
      <c r="B44" s="2218"/>
      <c r="C44" s="2218"/>
      <c r="D44" s="2219"/>
      <c r="E44" s="2219"/>
      <c r="F44" s="2220"/>
      <c r="G44" s="2220"/>
      <c r="H44" s="2220"/>
      <c r="I44" s="2220"/>
      <c r="J44" s="2270" t="s">
        <v>780</v>
      </c>
      <c r="K44" s="465"/>
      <c r="L44" s="465"/>
      <c r="M44" s="465"/>
      <c r="N44" s="465"/>
      <c r="O44" s="465"/>
    </row>
    <row r="45" spans="1:15" ht="14.25" customHeight="1" thickBot="1">
      <c r="A45" s="3225" t="s">
        <v>781</v>
      </c>
      <c r="B45" s="3226"/>
      <c r="C45" s="3227"/>
      <c r="D45" s="1635">
        <f>工程进度!N6</f>
        <v>8602</v>
      </c>
      <c r="E45" s="2221" t="s">
        <v>782</v>
      </c>
      <c r="F45" s="2222">
        <v>1</v>
      </c>
      <c r="G45" s="1646" t="s">
        <v>783</v>
      </c>
      <c r="H45" s="274"/>
      <c r="I45" s="274"/>
      <c r="J45" s="3228" t="s">
        <v>784</v>
      </c>
      <c r="K45" s="3228"/>
      <c r="L45" s="3228"/>
      <c r="M45" s="3228"/>
      <c r="N45" s="3228"/>
      <c r="O45" s="3228"/>
    </row>
    <row r="46" spans="1:15" ht="14.25" customHeight="1">
      <c r="A46" s="3229" t="s">
        <v>785</v>
      </c>
      <c r="B46" s="3230"/>
      <c r="C46" s="3230"/>
      <c r="D46" s="3230"/>
      <c r="E46" s="3230"/>
      <c r="F46" s="3230"/>
      <c r="G46" s="3231"/>
      <c r="H46" s="2223"/>
      <c r="I46" s="275"/>
      <c r="J46" s="3058">
        <v>1</v>
      </c>
      <c r="K46" s="3232" t="s">
        <v>786</v>
      </c>
      <c r="L46" s="3232"/>
      <c r="M46" s="3233"/>
      <c r="N46" s="3233"/>
      <c r="O46" s="3233"/>
    </row>
    <row r="47" spans="1:15" ht="12" customHeight="1">
      <c r="A47" s="2224" t="s">
        <v>787</v>
      </c>
      <c r="B47" s="2225"/>
      <c r="C47" s="2226"/>
      <c r="D47" s="1685" t="s">
        <v>788</v>
      </c>
      <c r="E47" s="1636" t="s">
        <v>789</v>
      </c>
      <c r="F47" s="2227" t="s">
        <v>790</v>
      </c>
      <c r="G47" s="2228" t="s">
        <v>791</v>
      </c>
      <c r="H47" s="2229"/>
      <c r="I47" s="275"/>
      <c r="J47" s="3058">
        <v>2</v>
      </c>
      <c r="K47" s="3232" t="s">
        <v>792</v>
      </c>
      <c r="L47" s="3232"/>
      <c r="M47" s="3238">
        <f>'数据-取费表'!B2</f>
        <v>45475</v>
      </c>
      <c r="N47" s="3238"/>
      <c r="O47" s="3238"/>
    </row>
    <row r="48" spans="1:15" ht="25.5">
      <c r="A48" s="3239" t="s">
        <v>793</v>
      </c>
      <c r="B48" s="3240"/>
      <c r="C48" s="3240"/>
      <c r="D48" s="3061">
        <f>IF(H48="情况1",0,IF(H48="情况2",D52,IF(H48="情况3",D53,IF(H48="情况4",D54))))</f>
        <v>451</v>
      </c>
      <c r="E48" s="3055" t="str">
        <f>IF(H48="情况4","(销售额-原购置价)×税（费）率","销售额×税（费）率")</f>
        <v>销售额×税（费）率</v>
      </c>
      <c r="F48" s="2231">
        <f>IF(H48="情况1","免征",'数据-取费表'!B41)</f>
        <v>5.5E-2</v>
      </c>
      <c r="G48" s="2232" t="s">
        <v>794</v>
      </c>
      <c r="H48" s="2233" t="s">
        <v>795</v>
      </c>
      <c r="I48" s="2223"/>
      <c r="J48" s="3058">
        <v>3</v>
      </c>
      <c r="K48" s="3232" t="s">
        <v>796</v>
      </c>
      <c r="L48" s="3232"/>
      <c r="M48" s="3241">
        <f>D45</f>
        <v>8602</v>
      </c>
      <c r="N48" s="3241"/>
      <c r="O48" s="3241"/>
    </row>
    <row r="49" spans="1:35" ht="25.5" customHeight="1">
      <c r="A49" s="3054" t="s">
        <v>797</v>
      </c>
      <c r="B49" s="3242" t="s">
        <v>798</v>
      </c>
      <c r="C49" s="3242"/>
      <c r="D49" s="2234">
        <v>0</v>
      </c>
      <c r="E49" s="1695" t="s">
        <v>799</v>
      </c>
      <c r="F49" s="3051" t="s">
        <v>124</v>
      </c>
      <c r="G49" s="3248"/>
      <c r="H49" s="2236" t="s">
        <v>800</v>
      </c>
      <c r="I49" s="2273"/>
      <c r="J49" s="3058">
        <v>4</v>
      </c>
      <c r="K49" s="3232" t="str">
        <f>IF(项目基本情况!E8="房地产抵押价值","房地产抵押价值","抵押担保权已注销时的房地产抵押价值")</f>
        <v>房地产抵押价值</v>
      </c>
      <c r="L49" s="3232"/>
      <c r="M49" s="3241">
        <f>M48</f>
        <v>8602</v>
      </c>
      <c r="N49" s="3241"/>
      <c r="O49" s="3241"/>
    </row>
    <row r="50" spans="1:35" ht="25.5" customHeight="1">
      <c r="A50" s="2237"/>
      <c r="B50" s="3242" t="s">
        <v>801</v>
      </c>
      <c r="C50" s="3242"/>
      <c r="D50" s="2238"/>
      <c r="E50" s="1710"/>
      <c r="F50" s="3051"/>
      <c r="G50" s="3249"/>
      <c r="H50" s="2239" t="s">
        <v>802</v>
      </c>
      <c r="I50" s="2273"/>
      <c r="J50" s="3228" t="s">
        <v>803</v>
      </c>
      <c r="K50" s="3228"/>
      <c r="L50" s="3228"/>
      <c r="M50" s="3228"/>
      <c r="N50" s="3228"/>
      <c r="O50" s="3228"/>
    </row>
    <row r="51" spans="1:35" ht="20.45" customHeight="1">
      <c r="A51" s="2240"/>
      <c r="B51" s="3242" t="s">
        <v>804</v>
      </c>
      <c r="C51" s="3242"/>
      <c r="D51" s="1685"/>
      <c r="E51" s="1699"/>
      <c r="F51" s="3051"/>
      <c r="G51" s="3250"/>
      <c r="H51" s="2239" t="s">
        <v>805</v>
      </c>
      <c r="I51" s="2273"/>
      <c r="J51" s="3053" t="s">
        <v>806</v>
      </c>
      <c r="K51" s="3232" t="s">
        <v>807</v>
      </c>
      <c r="L51" s="3232"/>
      <c r="M51" s="3053" t="s">
        <v>808</v>
      </c>
      <c r="N51" s="3053" t="s">
        <v>809</v>
      </c>
      <c r="O51" s="3053" t="s">
        <v>810</v>
      </c>
    </row>
    <row r="52" spans="1:35" ht="24" customHeight="1">
      <c r="A52" s="3060" t="s">
        <v>811</v>
      </c>
      <c r="B52" s="3242" t="s">
        <v>812</v>
      </c>
      <c r="C52" s="3242"/>
      <c r="D52" s="1685">
        <f>ROUND(D45*'数据-取费表'!B41/(1+'数据-取费表'!C42),0)</f>
        <v>451</v>
      </c>
      <c r="E52" s="3055" t="s">
        <v>813</v>
      </c>
      <c r="F52" s="2242">
        <f>'数据-取费表'!B41</f>
        <v>5.5E-2</v>
      </c>
      <c r="G52" s="2243"/>
      <c r="H52" s="1799"/>
      <c r="I52" s="2274"/>
      <c r="J52" s="3058">
        <v>1</v>
      </c>
      <c r="K52" s="3244" t="s">
        <v>814</v>
      </c>
      <c r="L52" s="3244"/>
      <c r="M52" s="2275">
        <f>D48</f>
        <v>451</v>
      </c>
      <c r="N52" s="3058" t="str">
        <f>E48</f>
        <v>销售额×税（费）率</v>
      </c>
      <c r="O52" s="2276">
        <f>F48</f>
        <v>5.5E-2</v>
      </c>
    </row>
    <row r="53" spans="1:35" ht="12" customHeight="1">
      <c r="A53" s="3060" t="s">
        <v>815</v>
      </c>
      <c r="B53" s="3245" t="s">
        <v>816</v>
      </c>
      <c r="C53" s="3246"/>
      <c r="D53" s="1685">
        <f>ROUND(D45*'数据-取费表'!B41/(1+'数据-取费表'!C42),0)</f>
        <v>451</v>
      </c>
      <c r="E53" s="3055" t="s">
        <v>813</v>
      </c>
      <c r="F53" s="2242">
        <f>'数据-取费表'!B41</f>
        <v>5.5E-2</v>
      </c>
      <c r="G53" s="2243"/>
      <c r="H53" s="1799"/>
      <c r="I53" s="2274"/>
      <c r="J53" s="3058">
        <v>2</v>
      </c>
      <c r="K53" s="3244" t="s">
        <v>817</v>
      </c>
      <c r="L53" s="3244"/>
      <c r="M53" s="2275">
        <f t="shared" ref="M53:O54" si="0">D55</f>
        <v>4</v>
      </c>
      <c r="N53" s="3058" t="str">
        <f t="shared" si="0"/>
        <v>销售额×税（费）率</v>
      </c>
      <c r="O53" s="2276">
        <f t="shared" si="0"/>
        <v>5.0000000000000001E-4</v>
      </c>
    </row>
    <row r="54" spans="1:35" ht="12" customHeight="1">
      <c r="A54" s="3060" t="s">
        <v>818</v>
      </c>
      <c r="B54" s="3245" t="s">
        <v>819</v>
      </c>
      <c r="C54" s="3246"/>
      <c r="D54" s="1685">
        <f>C68</f>
        <v>451</v>
      </c>
      <c r="E54" s="1699" t="s">
        <v>820</v>
      </c>
      <c r="F54" s="2242">
        <f>'数据-取费表'!B41</f>
        <v>5.5E-2</v>
      </c>
      <c r="G54" s="2243"/>
      <c r="H54" s="2244"/>
      <c r="I54" s="2274"/>
      <c r="J54" s="3058">
        <v>3</v>
      </c>
      <c r="K54" s="3244" t="s">
        <v>821</v>
      </c>
      <c r="L54" s="3244"/>
      <c r="M54" s="2275">
        <f t="shared" si="0"/>
        <v>0</v>
      </c>
      <c r="N54" s="3058" t="str">
        <f t="shared" si="0"/>
        <v>增值额×税（费）率</v>
      </c>
      <c r="O54" s="2277" t="str">
        <f t="shared" si="0"/>
        <v>——</v>
      </c>
    </row>
    <row r="55" spans="1:35" ht="24" customHeight="1">
      <c r="A55" s="3247" t="s">
        <v>822</v>
      </c>
      <c r="B55" s="3240"/>
      <c r="C55" s="3240"/>
      <c r="D55" s="3061">
        <f>IF(H55="个人住宅",0,ROUND(D45*I55,0))</f>
        <v>4</v>
      </c>
      <c r="E55" s="3055" t="s">
        <v>823</v>
      </c>
      <c r="F55" s="2242">
        <f>IF(H55="正常",I55,"免征")</f>
        <v>5.0000000000000001E-4</v>
      </c>
      <c r="G55" s="2243"/>
      <c r="H55" s="2233" t="s">
        <v>824</v>
      </c>
      <c r="I55" s="2278">
        <f>'数据-取费表'!B49</f>
        <v>5.0000000000000001E-4</v>
      </c>
      <c r="J55" s="3058" t="str">
        <f>IF(H59="非个人房产","",4)</f>
        <v/>
      </c>
      <c r="K55" s="3244" t="str">
        <f>IF(H59="非个人房产","——","个人所得税")</f>
        <v>——</v>
      </c>
      <c r="L55" s="3244"/>
      <c r="M55" s="2279" t="str">
        <f>D59</f>
        <v>——</v>
      </c>
      <c r="N55" s="3064" t="str">
        <f>E59</f>
        <v>——</v>
      </c>
      <c r="O55" s="2280" t="str">
        <f>F59</f>
        <v>——</v>
      </c>
    </row>
    <row r="56" spans="1:35" ht="24.75">
      <c r="A56" s="3247" t="s">
        <v>825</v>
      </c>
      <c r="B56" s="3240"/>
      <c r="C56" s="3240"/>
      <c r="D56" s="3061">
        <f>IF(H56="个人住宅",D57,D58)</f>
        <v>0</v>
      </c>
      <c r="E56" s="3055" t="s">
        <v>826</v>
      </c>
      <c r="F56" s="2242" t="str">
        <f>IF(H56="正常",F58,"免征")</f>
        <v>——</v>
      </c>
      <c r="G56" s="2245" t="s">
        <v>827</v>
      </c>
      <c r="H56" s="2246" t="s">
        <v>824</v>
      </c>
      <c r="I56" s="2255"/>
      <c r="J56" s="3058" t="str">
        <f>IF(项目基本情况!K6="上海银行",IF(J55="",4,J55+1),"")</f>
        <v/>
      </c>
      <c r="K56" s="3251" t="str">
        <f>IF(项目基本情况!K6="上海银行","其他处置费用","")</f>
        <v/>
      </c>
      <c r="L56" s="3252"/>
      <c r="M56" s="2275" t="str">
        <f>IF(项目基本情况!K6="上海银行",M69,"")</f>
        <v/>
      </c>
      <c r="N56" s="3251" t="str">
        <f>IF(项目基本情况!K6="上海银行","包含处置中涉及的律师、诉讼、拍卖、评估等费用","")</f>
        <v/>
      </c>
      <c r="O56" s="3253"/>
    </row>
    <row r="57" spans="1:35" ht="12.75">
      <c r="A57" s="3060" t="s">
        <v>797</v>
      </c>
      <c r="B57" s="3245" t="s">
        <v>828</v>
      </c>
      <c r="C57" s="3246"/>
      <c r="D57" s="2234">
        <v>0</v>
      </c>
      <c r="E57" s="1695" t="s">
        <v>799</v>
      </c>
      <c r="F57" s="1636"/>
      <c r="G57" s="2243"/>
      <c r="H57" s="2247"/>
      <c r="I57" s="2255"/>
      <c r="J57" s="3244">
        <f>IF(AND(J55="",J56=""),4,IF(项目基本情况!K6="上海银行",结果表商!J56+1,结果表商!J55+1))</f>
        <v>4</v>
      </c>
      <c r="K57" s="3244" t="s">
        <v>829</v>
      </c>
      <c r="L57" s="2281" t="s">
        <v>830</v>
      </c>
      <c r="M57" s="2282"/>
      <c r="N57" s="2283">
        <f>SUMIF(M52:M56,"&lt;9e307")</f>
        <v>455</v>
      </c>
      <c r="O57" s="2284"/>
      <c r="P57" s="2285">
        <f>N57/M49</f>
        <v>5.2894675656823993E-2</v>
      </c>
    </row>
    <row r="58" spans="1:35" ht="24.75">
      <c r="A58" s="3060" t="s">
        <v>811</v>
      </c>
      <c r="B58" s="3245" t="s">
        <v>831</v>
      </c>
      <c r="C58" s="3242"/>
      <c r="D58" s="3061">
        <f>IF(H58="转让取得",C81,C97)</f>
        <v>0</v>
      </c>
      <c r="E58" s="3055" t="s">
        <v>826</v>
      </c>
      <c r="F58" s="1636" t="s">
        <v>124</v>
      </c>
      <c r="G58" s="2243"/>
      <c r="H58" s="2246" t="s">
        <v>832</v>
      </c>
      <c r="I58" s="2255"/>
      <c r="J58" s="3244"/>
      <c r="K58" s="3244"/>
      <c r="L58" s="2281" t="s">
        <v>833</v>
      </c>
      <c r="M58" s="2286"/>
      <c r="N58" s="2287" t="str">
        <f>NUMBERSTRING(INT(N57*10000),2)&amp;"元整"</f>
        <v>肆佰伍拾伍万元整</v>
      </c>
      <c r="O58" s="2288"/>
    </row>
    <row r="59" spans="1:35" ht="24.75" thickBot="1">
      <c r="A59" s="3254" t="s">
        <v>834</v>
      </c>
      <c r="B59" s="3255"/>
      <c r="C59" s="3255"/>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827</v>
      </c>
      <c r="H59" s="2252" t="s">
        <v>835</v>
      </c>
      <c r="I59" s="2289" t="s">
        <v>836</v>
      </c>
      <c r="J59" s="3259">
        <f>J57+1</f>
        <v>5</v>
      </c>
      <c r="K59" s="3244" t="s">
        <v>837</v>
      </c>
      <c r="L59" s="3058" t="s">
        <v>830</v>
      </c>
      <c r="M59" s="2290"/>
      <c r="N59" s="2291">
        <f>M49-N57</f>
        <v>8147</v>
      </c>
      <c r="O59" s="2292"/>
    </row>
    <row r="60" spans="1:35" ht="12" customHeight="1">
      <c r="A60" s="2253"/>
      <c r="B60" s="1778"/>
      <c r="C60" s="1778"/>
      <c r="D60" s="1778"/>
      <c r="E60" s="2254"/>
      <c r="F60" s="2255"/>
      <c r="G60" s="2255"/>
      <c r="H60" s="275"/>
      <c r="I60" s="274"/>
      <c r="J60" s="3260"/>
      <c r="K60" s="3244"/>
      <c r="L60" s="2281" t="s">
        <v>833</v>
      </c>
      <c r="M60" s="2286"/>
      <c r="N60" s="2287" t="str">
        <f>NUMBERSTRING(INT(N59*10000),2)&amp;"元整"</f>
        <v>捌仟壹佰肆拾柒万元整</v>
      </c>
      <c r="O60" s="2288"/>
    </row>
    <row r="61" spans="1:35" ht="13.5" thickBot="1">
      <c r="A61" s="3256" t="s">
        <v>838</v>
      </c>
      <c r="B61" s="3256"/>
      <c r="C61" s="3256"/>
      <c r="D61" s="3256"/>
      <c r="E61" s="3256"/>
      <c r="F61" s="2255"/>
      <c r="G61" s="2255"/>
      <c r="H61" s="275"/>
      <c r="I61" s="274"/>
      <c r="J61" s="3058">
        <f>J59+1</f>
        <v>6</v>
      </c>
      <c r="K61" s="3244" t="s">
        <v>839</v>
      </c>
      <c r="L61" s="3244"/>
      <c r="M61" s="2293"/>
      <c r="N61" s="2294">
        <f>ROUND(N59*10000/'数据-汇总表'!E3,0)</f>
        <v>1127</v>
      </c>
      <c r="O61" s="2295"/>
    </row>
    <row r="62" spans="1:35" ht="12.75">
      <c r="A62" s="3257" t="s">
        <v>840</v>
      </c>
      <c r="B62" s="3258"/>
      <c r="C62" s="3063"/>
      <c r="D62" s="3063" t="s">
        <v>841</v>
      </c>
      <c r="E62" s="2256" t="s">
        <v>791</v>
      </c>
      <c r="F62" s="2255"/>
      <c r="G62" s="2255"/>
      <c r="H62" s="275"/>
      <c r="I62" s="274"/>
    </row>
    <row r="63" spans="1:35" ht="12.75">
      <c r="A63" s="2257" t="s">
        <v>842</v>
      </c>
      <c r="B63" s="2258" t="s">
        <v>843</v>
      </c>
      <c r="C63" s="2259">
        <f>ROUND((C64+C65)/(1+'数据-取费表'!C42),0)</f>
        <v>8192</v>
      </c>
      <c r="D63" s="2258"/>
      <c r="E63" s="2260"/>
      <c r="F63" s="2255"/>
      <c r="G63" s="2255"/>
      <c r="H63" s="275"/>
      <c r="I63" s="274"/>
      <c r="J63" s="3243" t="s">
        <v>844</v>
      </c>
      <c r="K63" s="3057" t="s">
        <v>845</v>
      </c>
      <c r="L63" s="3057">
        <f>IF(M49&gt;10000,M49*0.5%,IF(AND(M49&gt;1000,M49&lt;=10000),M49*1%,IF(AND(M49&gt;100,M49&lt;=1000),M49*3%,IF(AND(M49&gt;10,M49&lt;=100),M49*5%,M49*8%))))</f>
        <v>86.02</v>
      </c>
      <c r="M63" s="1636">
        <f>ROUND(L63,1)</f>
        <v>86</v>
      </c>
      <c r="N63" s="2297"/>
      <c r="Z63" s="2130"/>
      <c r="AI63" s="2131"/>
    </row>
    <row r="64" spans="1:35" ht="14.25" customHeight="1">
      <c r="A64" s="2261" t="s">
        <v>846</v>
      </c>
      <c r="B64" s="560" t="s">
        <v>847</v>
      </c>
      <c r="C64" s="2262">
        <f>D45</f>
        <v>8602</v>
      </c>
      <c r="D64" s="560" t="s">
        <v>124</v>
      </c>
      <c r="E64" s="2263"/>
      <c r="F64" s="2255"/>
      <c r="G64" s="2255"/>
      <c r="H64" s="275"/>
      <c r="I64" s="274"/>
      <c r="J64" s="3243"/>
      <c r="K64" s="3057" t="s">
        <v>848</v>
      </c>
      <c r="L64" s="3057">
        <f>IF(M49&gt;2000,M49*0.5%,IF(AND(M49&gt;1000,M49&lt;=2000),M49*0.6%,IF(AND(M49&gt;500,M49&lt;=1000),M49*0.7%,IF(AND(M49&gt;200,M49&lt;=500),M49*0.8%,IF(AND(M49&gt;100,M49&lt;=200),M49*0.9%,IF(AND(M49&gt;50,M49&lt;=100),M49*1%,IF(AND(M49&gt;20,M49&lt;=50),M49*1.5%,IF(AND(M49&gt;10,M49&lt;=20),M49*2%,IF(AND(M49&gt;1,M49&lt;=10),M49*2.5%)))))))))</f>
        <v>43.01</v>
      </c>
      <c r="M64" s="1636">
        <f t="shared" ref="M64:M65" si="1">ROUND(L64,1)</f>
        <v>43</v>
      </c>
      <c r="N64" s="1799" t="s">
        <v>849</v>
      </c>
      <c r="Z64" s="2130"/>
      <c r="AI64" s="2131"/>
    </row>
    <row r="65" spans="1:35" ht="14.25" customHeight="1">
      <c r="A65" s="2261" t="s">
        <v>850</v>
      </c>
      <c r="B65" s="560" t="s">
        <v>851</v>
      </c>
      <c r="C65" s="2299"/>
      <c r="D65" s="560"/>
      <c r="E65" s="2263"/>
      <c r="F65" s="2255"/>
      <c r="G65" s="2255"/>
      <c r="H65" s="275"/>
      <c r="I65" s="274"/>
      <c r="J65" s="3243"/>
      <c r="K65" s="3057" t="s">
        <v>852</v>
      </c>
      <c r="L65" s="3057">
        <f>IF(M49&gt;1000,M49*0.1%,IF(AND(M49&gt;500,M49&lt;=1000),M49*0.5%,IF(AND(M49&gt;50,M49&lt;=500),M49*1%,IF(AND(M49&gt;1,M49&lt;=50),M49*1.5%))))</f>
        <v>8.6020000000000003</v>
      </c>
      <c r="M65" s="1636">
        <f t="shared" si="1"/>
        <v>8.6</v>
      </c>
      <c r="N65" s="1799" t="s">
        <v>849</v>
      </c>
      <c r="Z65" s="2130"/>
      <c r="AI65" s="2131"/>
    </row>
    <row r="66" spans="1:35" ht="14.25" customHeight="1">
      <c r="A66" s="2257" t="s">
        <v>853</v>
      </c>
      <c r="B66" s="2300" t="s">
        <v>854</v>
      </c>
      <c r="C66" s="2301"/>
      <c r="D66" s="2300" t="s">
        <v>124</v>
      </c>
      <c r="E66" s="2302" t="s">
        <v>855</v>
      </c>
      <c r="F66" s="2255"/>
      <c r="G66" s="2255"/>
      <c r="H66" s="275"/>
      <c r="I66" s="274"/>
      <c r="J66" s="3243"/>
      <c r="K66" s="3057" t="s">
        <v>856</v>
      </c>
      <c r="L66" s="3057">
        <f>M49*0.5%</f>
        <v>43.01</v>
      </c>
      <c r="M66" s="1636">
        <f>IF(L66&gt;0.5,0.5,ROUND(L66,0))</f>
        <v>0.5</v>
      </c>
      <c r="N66" s="1799" t="s">
        <v>857</v>
      </c>
      <c r="Z66" s="2130"/>
      <c r="AI66" s="2131"/>
    </row>
    <row r="67" spans="1:35" ht="14.25" customHeight="1">
      <c r="A67" s="2257" t="s">
        <v>858</v>
      </c>
      <c r="B67" s="2300" t="s">
        <v>859</v>
      </c>
      <c r="C67" s="2303">
        <f>C63-C66</f>
        <v>8192</v>
      </c>
      <c r="D67" s="560" t="s">
        <v>124</v>
      </c>
      <c r="E67" s="2263"/>
      <c r="F67" s="2255"/>
      <c r="G67" s="2255"/>
      <c r="H67" s="275"/>
      <c r="I67" s="274"/>
      <c r="J67" s="3243"/>
      <c r="K67" s="3057" t="s">
        <v>860</v>
      </c>
      <c r="L67" s="3057">
        <f>IF(M49&gt;=10000,(8.25+(M49-10000)*0.01%),IF(AND(M49&gt;=8000,M49&lt;10000),(7.85+(M49-8000)*0.02%),IF(AND(M49&gt;=5000,M49&lt;8000),(6.65+(M49-5000)*0.04%),IF(AND(M49&gt;=2000,M49&lt;5000),(4.25+(PM49-2000)*0.08%),IF(AND(M49&gt;=1000,M49&lt;2000),(2.75+(M49-1000)*0.15%),IF(AND(M49&gt;=100,M49&lt;1000),(0.5+(M49-100)*0.25%),IF(AND(M49&gt;0,M49&lt;100),M49*0.5%)))))))</f>
        <v>7.9703999999999997</v>
      </c>
      <c r="M67" s="1636">
        <f>ROUND(L67*0.9,1)</f>
        <v>7.2</v>
      </c>
      <c r="N67" s="2297"/>
      <c r="Z67" s="2130"/>
      <c r="AI67" s="2131"/>
    </row>
    <row r="68" spans="1:35" ht="14.25" customHeight="1" thickBot="1">
      <c r="A68" s="2304" t="s">
        <v>861</v>
      </c>
      <c r="B68" s="2305" t="s">
        <v>862</v>
      </c>
      <c r="C68" s="2306">
        <f>IF(C67&lt;=0,0,ROUND(C67*D68,0))</f>
        <v>451</v>
      </c>
      <c r="D68" s="2307">
        <f>'数据-取费表'!B41</f>
        <v>5.5E-2</v>
      </c>
      <c r="E68" s="2308"/>
      <c r="F68" s="2255"/>
      <c r="G68" s="2255"/>
      <c r="H68" s="275"/>
      <c r="I68" s="274"/>
      <c r="J68" s="3243"/>
      <c r="K68" s="3057" t="s">
        <v>863</v>
      </c>
      <c r="L68" s="3057">
        <f>IF(M49&gt;10000,M49*0.5%,IF(AND(M49&gt;5000,M49&lt;=10000),M49*1%,IF(AND(M49&gt;1000,M49&lt;=5000),M49*2%,IF(AND(M49&gt;200,M49&lt;=1000),M49*3%,M49*5%))))</f>
        <v>86.02</v>
      </c>
      <c r="M68" s="1636">
        <f>ROUND(L68,1)</f>
        <v>86</v>
      </c>
      <c r="N68" s="2297"/>
      <c r="Z68" s="2130"/>
      <c r="AI68" s="2131"/>
    </row>
    <row r="69" spans="1:35" ht="16.5" customHeight="1">
      <c r="A69" s="2309"/>
      <c r="B69" s="2310"/>
      <c r="C69" s="2311"/>
      <c r="D69" s="711"/>
      <c r="E69" s="2312"/>
      <c r="F69" s="2254"/>
      <c r="G69" s="2254"/>
      <c r="H69" s="2215"/>
      <c r="I69" s="1778"/>
      <c r="J69" s="3243"/>
      <c r="K69" s="3057" t="s">
        <v>864</v>
      </c>
      <c r="L69" s="3057"/>
      <c r="M69" s="1636">
        <f>ROUND(SUM(M63:M68),0)</f>
        <v>231</v>
      </c>
      <c r="N69" s="2374">
        <f>M69/M49</f>
        <v>2.6854219948849106E-2</v>
      </c>
      <c r="Z69" s="2130"/>
      <c r="AI69" s="2131"/>
    </row>
    <row r="70" spans="1:35" s="463" customFormat="1" ht="15" thickBot="1">
      <c r="A70" s="3284" t="s">
        <v>865</v>
      </c>
      <c r="B70" s="3285"/>
      <c r="C70" s="3285"/>
      <c r="D70" s="3285"/>
      <c r="E70" s="3285"/>
      <c r="F70" s="3285"/>
      <c r="G70" s="3285"/>
      <c r="H70" s="3285"/>
      <c r="I70" s="2375"/>
      <c r="J70" s="1362"/>
      <c r="K70" s="1362"/>
      <c r="L70" s="1362"/>
      <c r="M70" s="1362"/>
      <c r="N70" s="2376"/>
      <c r="O70" s="2376"/>
      <c r="P70" s="2376"/>
      <c r="Q70" s="2376"/>
      <c r="R70" s="2376"/>
      <c r="S70" s="2376"/>
      <c r="T70" s="2376"/>
      <c r="U70" s="2376"/>
      <c r="V70" s="2376"/>
      <c r="W70" s="2376"/>
      <c r="X70" s="2376"/>
      <c r="Y70" s="2376"/>
      <c r="Z70" s="2376"/>
      <c r="AA70" s="2383"/>
      <c r="AB70" s="2383"/>
      <c r="AC70" s="2383"/>
      <c r="AD70" s="2383"/>
      <c r="AE70" s="2383"/>
      <c r="AF70" s="2383"/>
      <c r="AG70" s="2383"/>
      <c r="AH70" s="2383"/>
      <c r="AI70" s="2383"/>
    </row>
    <row r="71" spans="1:35" s="463" customFormat="1" ht="14.25">
      <c r="A71" s="3257" t="s">
        <v>840</v>
      </c>
      <c r="B71" s="3258"/>
      <c r="C71" s="3063"/>
      <c r="D71" s="3063" t="s">
        <v>841</v>
      </c>
      <c r="E71" s="2313" t="s">
        <v>791</v>
      </c>
      <c r="F71" s="2314"/>
      <c r="G71" s="2314"/>
      <c r="H71" s="2315"/>
      <c r="I71" s="2377"/>
      <c r="J71" s="1362"/>
      <c r="K71" s="1362"/>
      <c r="L71" s="1362"/>
      <c r="M71" s="1362"/>
      <c r="N71" s="2376"/>
      <c r="O71" s="2376"/>
      <c r="P71" s="2376"/>
      <c r="Q71" s="2376"/>
      <c r="R71" s="2376"/>
      <c r="S71" s="2376"/>
      <c r="T71" s="2376"/>
      <c r="U71" s="2376"/>
      <c r="V71" s="2376"/>
      <c r="W71" s="2376"/>
      <c r="X71" s="2376"/>
      <c r="Y71" s="2376"/>
      <c r="Z71" s="2376"/>
      <c r="AA71" s="2383"/>
      <c r="AB71" s="2383"/>
      <c r="AC71" s="2383"/>
      <c r="AD71" s="2383"/>
      <c r="AE71" s="2383"/>
      <c r="AF71" s="2383"/>
      <c r="AG71" s="2383"/>
      <c r="AH71" s="2383"/>
      <c r="AI71" s="2383"/>
    </row>
    <row r="72" spans="1:35" s="463" customFormat="1" ht="14.25">
      <c r="A72" s="2257" t="s">
        <v>842</v>
      </c>
      <c r="B72" s="2300" t="s">
        <v>866</v>
      </c>
      <c r="C72" s="2303">
        <f>ROUND(D45/(1+'数据-取费表'!C42),0)</f>
        <v>8192</v>
      </c>
      <c r="D72" s="560" t="s">
        <v>124</v>
      </c>
      <c r="E72" s="3059"/>
      <c r="F72" s="3056"/>
      <c r="G72" s="3056"/>
      <c r="H72" s="2316"/>
      <c r="I72" s="2377"/>
      <c r="J72" s="1362"/>
      <c r="K72" s="1362"/>
      <c r="L72" s="1362"/>
      <c r="M72" s="1362"/>
      <c r="N72" s="2376"/>
      <c r="O72" s="2376"/>
      <c r="P72" s="2376"/>
      <c r="Q72" s="2376"/>
      <c r="R72" s="2376"/>
      <c r="S72" s="2376"/>
      <c r="T72" s="2376"/>
      <c r="U72" s="2376"/>
      <c r="V72" s="2376"/>
      <c r="W72" s="2376"/>
      <c r="X72" s="2376"/>
      <c r="Y72" s="2376"/>
      <c r="Z72" s="2376"/>
      <c r="AA72" s="2383"/>
      <c r="AB72" s="2383"/>
      <c r="AC72" s="2383"/>
      <c r="AD72" s="2383"/>
      <c r="AE72" s="2383"/>
      <c r="AF72" s="2383"/>
      <c r="AG72" s="2383"/>
      <c r="AH72" s="2383"/>
      <c r="AI72" s="2383"/>
    </row>
    <row r="73" spans="1:35" s="463" customFormat="1" ht="14.25">
      <c r="A73" s="2257" t="s">
        <v>853</v>
      </c>
      <c r="B73" s="2227" t="s">
        <v>867</v>
      </c>
      <c r="C73" s="2303">
        <f>C74+C78</f>
        <v>41</v>
      </c>
      <c r="D73" s="560" t="s">
        <v>124</v>
      </c>
      <c r="E73" s="3059"/>
      <c r="F73" s="3056"/>
      <c r="G73" s="3056"/>
      <c r="H73" s="2316"/>
      <c r="I73" s="2377"/>
      <c r="J73" s="2376"/>
      <c r="K73" s="2376"/>
      <c r="L73" s="2376"/>
      <c r="M73" s="2376"/>
      <c r="N73" s="2376"/>
      <c r="O73" s="2376"/>
      <c r="P73" s="2376"/>
      <c r="Q73" s="2376"/>
      <c r="R73" s="2376"/>
      <c r="S73" s="2376"/>
      <c r="T73" s="2376"/>
      <c r="U73" s="2376"/>
      <c r="V73" s="2376"/>
      <c r="W73" s="2376"/>
      <c r="X73" s="2376"/>
      <c r="Y73" s="2376"/>
      <c r="Z73" s="2376"/>
      <c r="AA73" s="2383"/>
      <c r="AB73" s="2383"/>
      <c r="AC73" s="2383"/>
      <c r="AD73" s="2383"/>
      <c r="AE73" s="2383"/>
      <c r="AF73" s="2383"/>
      <c r="AG73" s="2383"/>
      <c r="AH73" s="2383"/>
      <c r="AI73" s="2383"/>
    </row>
    <row r="74" spans="1:35" s="463" customFormat="1" ht="24">
      <c r="A74" s="2261" t="s">
        <v>846</v>
      </c>
      <c r="B74" s="560" t="s">
        <v>868</v>
      </c>
      <c r="C74" s="560">
        <f>ROUND(IF(G77="2016年5月1日后购买",C75/(1+'数据-取费表'!C42)+C76+C77,C75+C76+C77),0)</f>
        <v>0</v>
      </c>
      <c r="D74" s="560" t="s">
        <v>124</v>
      </c>
      <c r="E74" s="3059"/>
      <c r="F74" s="3056"/>
      <c r="G74" s="3056"/>
      <c r="H74" s="2316"/>
      <c r="I74" s="2377"/>
      <c r="J74" s="2376"/>
      <c r="K74" s="2376"/>
      <c r="L74" s="2376"/>
      <c r="M74" s="2376"/>
      <c r="N74" s="2376"/>
      <c r="O74" s="2376"/>
      <c r="P74" s="2376"/>
      <c r="Q74" s="2376"/>
      <c r="R74" s="2376"/>
      <c r="S74" s="2376"/>
      <c r="T74" s="2376"/>
      <c r="U74" s="2376"/>
      <c r="V74" s="2376"/>
      <c r="W74" s="2376"/>
      <c r="X74" s="2376"/>
      <c r="Y74" s="2376"/>
      <c r="Z74" s="2376"/>
      <c r="AA74" s="2383"/>
      <c r="AB74" s="2383"/>
      <c r="AC74" s="2383"/>
      <c r="AD74" s="2383"/>
      <c r="AE74" s="2383"/>
      <c r="AF74" s="2383"/>
      <c r="AG74" s="2383"/>
      <c r="AH74" s="2383"/>
      <c r="AI74" s="2383"/>
    </row>
    <row r="75" spans="1:35" s="463" customFormat="1" ht="14.25">
      <c r="A75" s="2261" t="s">
        <v>869</v>
      </c>
      <c r="B75" s="560" t="s">
        <v>870</v>
      </c>
      <c r="C75" s="2317"/>
      <c r="D75" s="560" t="s">
        <v>124</v>
      </c>
      <c r="E75" s="2318" t="s">
        <v>871</v>
      </c>
      <c r="F75" s="2319"/>
      <c r="G75" s="2318" t="s">
        <v>872</v>
      </c>
      <c r="H75" s="2320"/>
      <c r="I75" s="794"/>
      <c r="J75" s="2376"/>
      <c r="K75" s="2376"/>
      <c r="L75" s="2376"/>
      <c r="M75" s="2376"/>
      <c r="N75" s="2376"/>
      <c r="O75" s="2376"/>
      <c r="P75" s="2376"/>
      <c r="Q75" s="2376"/>
      <c r="R75" s="2376"/>
      <c r="S75" s="2376"/>
      <c r="T75" s="2376"/>
      <c r="U75" s="2376"/>
      <c r="V75" s="2376"/>
      <c r="W75" s="2376"/>
      <c r="X75" s="2376"/>
      <c r="Y75" s="2376"/>
      <c r="Z75" s="2376"/>
      <c r="AA75" s="2383"/>
      <c r="AB75" s="2383"/>
      <c r="AC75" s="2383"/>
      <c r="AD75" s="2383"/>
      <c r="AE75" s="2383"/>
      <c r="AF75" s="2383"/>
      <c r="AG75" s="2383"/>
      <c r="AH75" s="2383"/>
      <c r="AI75" s="2383"/>
    </row>
    <row r="76" spans="1:35" s="463" customFormat="1" ht="24.75" customHeight="1">
      <c r="A76" s="2261" t="s">
        <v>873</v>
      </c>
      <c r="B76" s="2321" t="s">
        <v>874</v>
      </c>
      <c r="C76" s="560">
        <f>IF(F75="购房发票",ROUND(C75*H75*D76,0),0)</f>
        <v>0</v>
      </c>
      <c r="D76" s="2322">
        <v>0.05</v>
      </c>
      <c r="E76" s="3245" t="s">
        <v>875</v>
      </c>
      <c r="F76" s="3242"/>
      <c r="G76" s="3242"/>
      <c r="H76" s="3286"/>
      <c r="I76" s="2377"/>
      <c r="J76" s="2376"/>
      <c r="K76" s="3086">
        <f>工程进度!F6+工程进度!G6</f>
        <v>14075.87</v>
      </c>
      <c r="L76" s="2378" t="s">
        <v>876</v>
      </c>
      <c r="M76" s="2376">
        <v>15056</v>
      </c>
      <c r="N76" s="2376"/>
      <c r="O76" s="2376"/>
      <c r="P76" s="2376"/>
      <c r="Q76" s="2376"/>
      <c r="R76" s="2376"/>
      <c r="S76" s="2376"/>
      <c r="T76" s="2376"/>
      <c r="U76" s="2376"/>
      <c r="V76" s="2376"/>
      <c r="W76" s="2376"/>
      <c r="X76" s="2376"/>
      <c r="Y76" s="2376"/>
      <c r="Z76" s="2376"/>
      <c r="AA76" s="2383"/>
      <c r="AB76" s="2383"/>
      <c r="AC76" s="2383"/>
      <c r="AD76" s="2383"/>
      <c r="AE76" s="2383"/>
      <c r="AF76" s="2383"/>
      <c r="AG76" s="2383"/>
      <c r="AH76" s="2383"/>
      <c r="AI76" s="2383"/>
    </row>
    <row r="77" spans="1:35" s="463" customFormat="1" ht="24.75" customHeight="1">
      <c r="A77" s="2261" t="s">
        <v>877</v>
      </c>
      <c r="B77" s="560" t="s">
        <v>878</v>
      </c>
      <c r="C77" s="560">
        <f>ROUND(IF(G77="个人住宅",0,IF(G77="2016年5月1日前购买",C75*D77,C75*D77/(1+'数据-取费表'!C42))),0)</f>
        <v>0</v>
      </c>
      <c r="D77" s="2324">
        <f>'数据-取费表'!B48+'数据-取费表'!B49</f>
        <v>3.0499999999999999E-2</v>
      </c>
      <c r="E77" s="3061" t="s">
        <v>879</v>
      </c>
      <c r="F77" s="2325"/>
      <c r="G77" s="2326"/>
      <c r="H77" s="3066" t="str">
        <f>IF(G77="个人买卖住房","免征印花税"," ")</f>
        <v xml:space="preserve"> </v>
      </c>
      <c r="I77" s="2377"/>
      <c r="J77" s="2376"/>
      <c r="K77" s="3086">
        <f>工程进度!H6</f>
        <v>369.19</v>
      </c>
      <c r="L77" s="2378" t="s">
        <v>880</v>
      </c>
      <c r="M77" s="2376">
        <f>M76*0.2*0.25</f>
        <v>752.80000000000007</v>
      </c>
      <c r="N77" s="2378" t="s">
        <v>464</v>
      </c>
      <c r="O77" s="2376"/>
      <c r="P77" s="2376"/>
      <c r="Q77" s="2376"/>
      <c r="R77" s="2376"/>
      <c r="S77" s="2376"/>
      <c r="T77" s="2376"/>
      <c r="U77" s="2376"/>
      <c r="V77" s="2376"/>
      <c r="W77" s="2376"/>
      <c r="X77" s="2376"/>
      <c r="Y77" s="2376"/>
      <c r="Z77" s="2376"/>
      <c r="AA77" s="2383"/>
      <c r="AB77" s="2383"/>
      <c r="AC77" s="2383"/>
      <c r="AD77" s="2383"/>
      <c r="AE77" s="2383"/>
      <c r="AF77" s="2383"/>
      <c r="AG77" s="2383"/>
      <c r="AH77" s="2383"/>
      <c r="AI77" s="2383"/>
    </row>
    <row r="78" spans="1:35" s="463" customFormat="1" ht="24.75" customHeight="1">
      <c r="A78" s="2261" t="s">
        <v>850</v>
      </c>
      <c r="B78" s="560" t="s">
        <v>881</v>
      </c>
      <c r="C78" s="2327">
        <f>ROUND(D45*D78/(1+'数据-取费表'!C42),0)</f>
        <v>41</v>
      </c>
      <c r="D78" s="2328">
        <f>'数据-取费表'!B43</f>
        <v>5.0000000000000001E-3</v>
      </c>
      <c r="E78" s="3287" t="s">
        <v>882</v>
      </c>
      <c r="F78" s="3288"/>
      <c r="G78" s="3288"/>
      <c r="H78" s="3289"/>
      <c r="I78" s="2379"/>
      <c r="J78" s="2376"/>
      <c r="K78" s="3086">
        <f>工程进度!I6</f>
        <v>31571.54</v>
      </c>
      <c r="L78" s="2376"/>
      <c r="M78" s="2376">
        <f>M76*0.15*0.25</f>
        <v>564.6</v>
      </c>
      <c r="N78" s="2378" t="s">
        <v>465</v>
      </c>
      <c r="O78" s="2376"/>
      <c r="P78" s="2376"/>
      <c r="Q78" s="2376"/>
      <c r="R78" s="2376"/>
      <c r="S78" s="2376"/>
      <c r="T78" s="2376"/>
      <c r="U78" s="2376"/>
      <c r="V78" s="2376"/>
      <c r="W78" s="2376"/>
      <c r="X78" s="2376"/>
      <c r="Y78" s="2376"/>
      <c r="Z78" s="2376"/>
      <c r="AA78" s="2383"/>
      <c r="AB78" s="2383"/>
      <c r="AC78" s="2383"/>
      <c r="AD78" s="2383"/>
      <c r="AE78" s="2383"/>
      <c r="AF78" s="2383"/>
      <c r="AG78" s="2383"/>
      <c r="AH78" s="2383"/>
      <c r="AI78" s="2383"/>
    </row>
    <row r="79" spans="1:35" s="463" customFormat="1" ht="14.25">
      <c r="A79" s="2257" t="s">
        <v>858</v>
      </c>
      <c r="B79" s="2300" t="s">
        <v>883</v>
      </c>
      <c r="C79" s="2303">
        <f>C72-C73</f>
        <v>8151</v>
      </c>
      <c r="D79" s="560" t="s">
        <v>124</v>
      </c>
      <c r="E79" s="3059"/>
      <c r="F79" s="3056"/>
      <c r="G79" s="3056"/>
      <c r="H79" s="2316"/>
      <c r="I79" s="2377"/>
      <c r="J79" s="2376"/>
      <c r="K79" s="2376">
        <f>K76+K77+K78</f>
        <v>46016.600000000006</v>
      </c>
      <c r="L79" s="2376"/>
      <c r="M79" s="2376"/>
      <c r="N79" s="2376"/>
      <c r="O79" s="2376"/>
      <c r="P79" s="2376"/>
      <c r="Q79" s="2376"/>
      <c r="R79" s="2376"/>
      <c r="S79" s="2376"/>
      <c r="T79" s="2376"/>
      <c r="U79" s="2376"/>
      <c r="V79" s="2376"/>
      <c r="W79" s="2376"/>
      <c r="X79" s="2376"/>
      <c r="Y79" s="2376"/>
      <c r="Z79" s="2376"/>
      <c r="AA79" s="2383"/>
      <c r="AB79" s="2383"/>
      <c r="AC79" s="2383"/>
      <c r="AD79" s="2383"/>
      <c r="AE79" s="2383"/>
      <c r="AF79" s="2383"/>
      <c r="AG79" s="2383"/>
      <c r="AH79" s="2383"/>
      <c r="AI79" s="2383"/>
    </row>
    <row r="80" spans="1:35" s="463" customFormat="1" ht="24">
      <c r="A80" s="2257" t="s">
        <v>861</v>
      </c>
      <c r="B80" s="2300" t="s">
        <v>884</v>
      </c>
      <c r="C80" s="2332">
        <f>IF(C79&lt;=0,0,C79/C73)</f>
        <v>198.80487804878049</v>
      </c>
      <c r="D80" s="560" t="s">
        <v>124</v>
      </c>
      <c r="E80" s="3061" t="str">
        <f>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6"/>
      <c r="I80" s="2377"/>
      <c r="J80" s="2376"/>
      <c r="K80" s="2376"/>
      <c r="L80" s="2376"/>
      <c r="M80" s="2376"/>
      <c r="N80" s="2376"/>
      <c r="O80" s="2376"/>
      <c r="P80" s="2376"/>
      <c r="Q80" s="2376"/>
      <c r="R80" s="2376"/>
      <c r="S80" s="2376"/>
      <c r="T80" s="2376"/>
      <c r="U80" s="2376"/>
      <c r="V80" s="2376"/>
      <c r="W80" s="2376"/>
      <c r="X80" s="2376"/>
      <c r="Y80" s="2376"/>
      <c r="Z80" s="2376"/>
      <c r="AA80" s="2383"/>
      <c r="AB80" s="2383"/>
      <c r="AC80" s="2383"/>
      <c r="AD80" s="2383"/>
      <c r="AE80" s="2383"/>
      <c r="AF80" s="2383"/>
      <c r="AG80" s="2383"/>
      <c r="AH80" s="2383"/>
      <c r="AI80" s="2383"/>
    </row>
    <row r="81" spans="1:35" s="463" customFormat="1" ht="24.75" thickBot="1">
      <c r="A81" s="2304" t="s">
        <v>885</v>
      </c>
      <c r="B81" s="2305" t="s">
        <v>886</v>
      </c>
      <c r="C81" s="2333">
        <f>ROUND(IF(C79&lt;=0,0,IF(C80&gt;=200%,C79*60%-C73*35%,IF(C80&gt;=100%,C79*50%-C73*15%,IF(C80&gt;=50%,C79*40%-C73*5%,IF(C80&lt;50%,C79*30%,0))))),0)</f>
        <v>4876</v>
      </c>
      <c r="D81" s="2334" t="s">
        <v>124</v>
      </c>
      <c r="E81" s="2335"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6"/>
      <c r="G81" s="2336"/>
      <c r="H81" s="2337"/>
      <c r="I81" s="2377"/>
      <c r="J81" s="2376"/>
      <c r="K81" s="2376"/>
      <c r="L81" s="2376"/>
      <c r="M81" s="2376"/>
      <c r="N81" s="2376"/>
      <c r="O81" s="2376"/>
      <c r="P81" s="2376"/>
      <c r="Q81" s="2376"/>
      <c r="R81" s="2376"/>
      <c r="S81" s="2376"/>
      <c r="T81" s="2376"/>
      <c r="U81" s="2376"/>
      <c r="V81" s="2376"/>
      <c r="W81" s="2376"/>
      <c r="X81" s="2376"/>
      <c r="Y81" s="2376"/>
      <c r="Z81" s="2376"/>
      <c r="AA81" s="2383"/>
      <c r="AB81" s="2383"/>
      <c r="AC81" s="2383"/>
      <c r="AD81" s="2383"/>
      <c r="AE81" s="2383"/>
      <c r="AF81" s="2383"/>
      <c r="AG81" s="2383"/>
      <c r="AH81" s="2383"/>
      <c r="AI81" s="2383"/>
    </row>
    <row r="82" spans="1:35" s="463" customFormat="1" ht="7.5" customHeight="1">
      <c r="A82" s="465"/>
      <c r="B82" s="2338"/>
      <c r="C82" s="465"/>
      <c r="D82" s="465"/>
      <c r="E82" s="2338"/>
      <c r="F82" s="2338"/>
      <c r="G82" s="2338"/>
      <c r="H82" s="2339"/>
      <c r="I82" s="2379"/>
      <c r="J82" s="2376"/>
      <c r="K82" s="2376"/>
      <c r="L82" s="2376"/>
      <c r="M82" s="2376"/>
      <c r="N82" s="2376"/>
      <c r="O82" s="2376"/>
      <c r="P82" s="2376"/>
      <c r="Q82" s="2376"/>
      <c r="R82" s="2376"/>
      <c r="S82" s="2376"/>
      <c r="T82" s="2376"/>
      <c r="U82" s="2376"/>
      <c r="V82" s="2376"/>
      <c r="W82" s="2376"/>
      <c r="X82" s="2376"/>
      <c r="Y82" s="2376"/>
      <c r="Z82" s="2376"/>
      <c r="AA82" s="2383"/>
      <c r="AB82" s="2383"/>
      <c r="AC82" s="2383"/>
      <c r="AD82" s="2383"/>
      <c r="AE82" s="2383"/>
      <c r="AF82" s="2383"/>
      <c r="AG82" s="2383"/>
      <c r="AH82" s="2383"/>
      <c r="AI82" s="2383"/>
    </row>
    <row r="83" spans="1:35" s="463" customFormat="1" ht="15" thickBot="1">
      <c r="A83" s="3284" t="s">
        <v>887</v>
      </c>
      <c r="B83" s="3285"/>
      <c r="C83" s="3285"/>
      <c r="D83" s="3285"/>
      <c r="E83" s="3285"/>
      <c r="F83" s="3285"/>
      <c r="G83" s="3285"/>
      <c r="H83" s="3285"/>
      <c r="I83" s="794"/>
      <c r="J83" s="2376"/>
      <c r="K83" s="2376"/>
      <c r="L83" s="2376"/>
      <c r="M83" s="2376"/>
      <c r="N83" s="2376"/>
      <c r="O83" s="2376"/>
      <c r="P83" s="2376"/>
      <c r="Q83" s="2376"/>
      <c r="R83" s="2376"/>
      <c r="S83" s="2376"/>
      <c r="T83" s="2376"/>
      <c r="U83" s="2376"/>
      <c r="V83" s="2376"/>
      <c r="W83" s="2376"/>
      <c r="X83" s="2376"/>
      <c r="Y83" s="2376"/>
      <c r="Z83" s="2376"/>
      <c r="AA83" s="2383"/>
      <c r="AB83" s="2383"/>
      <c r="AC83" s="2383"/>
      <c r="AD83" s="2383"/>
      <c r="AE83" s="2383"/>
      <c r="AF83" s="2383"/>
      <c r="AG83" s="2383"/>
      <c r="AH83" s="2383"/>
      <c r="AI83" s="2383"/>
    </row>
    <row r="84" spans="1:35" s="463" customFormat="1" ht="14.25">
      <c r="A84" s="3257" t="s">
        <v>840</v>
      </c>
      <c r="B84" s="3258"/>
      <c r="C84" s="3063"/>
      <c r="D84" s="3063" t="s">
        <v>841</v>
      </c>
      <c r="E84" s="2313" t="s">
        <v>791</v>
      </c>
      <c r="F84" s="2314"/>
      <c r="G84" s="2314"/>
      <c r="H84" s="2340"/>
      <c r="I84" s="794"/>
      <c r="J84" s="2376"/>
      <c r="K84" s="2376"/>
      <c r="L84" s="2376"/>
      <c r="M84" s="2376"/>
      <c r="N84" s="2376"/>
      <c r="O84" s="2376"/>
      <c r="P84" s="2376"/>
      <c r="Q84" s="2376"/>
      <c r="R84" s="2376"/>
      <c r="S84" s="2376"/>
      <c r="T84" s="2376"/>
      <c r="U84" s="2376"/>
      <c r="V84" s="2376"/>
      <c r="W84" s="2376"/>
      <c r="X84" s="2376"/>
      <c r="Y84" s="2376"/>
      <c r="Z84" s="2376"/>
      <c r="AA84" s="2383"/>
      <c r="AB84" s="2383"/>
      <c r="AC84" s="2383"/>
      <c r="AD84" s="2383"/>
      <c r="AE84" s="2383"/>
      <c r="AF84" s="2383"/>
      <c r="AG84" s="2383"/>
      <c r="AH84" s="2383"/>
      <c r="AI84" s="2383"/>
    </row>
    <row r="85" spans="1:35" s="463" customFormat="1" ht="14.25">
      <c r="A85" s="2257" t="s">
        <v>842</v>
      </c>
      <c r="B85" s="2300" t="s">
        <v>866</v>
      </c>
      <c r="C85" s="2303">
        <f>ROUND(D45/(1+'数据-取费表'!C42),0)</f>
        <v>8192</v>
      </c>
      <c r="D85" s="560" t="s">
        <v>124</v>
      </c>
      <c r="E85" s="3059"/>
      <c r="F85" s="3056"/>
      <c r="G85" s="3056"/>
      <c r="H85" s="2341"/>
      <c r="I85" s="794"/>
      <c r="J85" s="2376"/>
      <c r="K85" s="2376"/>
      <c r="L85" s="2376"/>
      <c r="M85" s="2376"/>
      <c r="N85" s="2376"/>
      <c r="O85" s="2376"/>
      <c r="P85" s="2376"/>
      <c r="Q85" s="2376"/>
      <c r="R85" s="2376"/>
      <c r="S85" s="2376"/>
      <c r="T85" s="2376"/>
      <c r="U85" s="2376"/>
      <c r="V85" s="2376"/>
      <c r="W85" s="2376"/>
      <c r="X85" s="2376"/>
      <c r="Y85" s="2376"/>
      <c r="Z85" s="2376"/>
      <c r="AA85" s="2383"/>
      <c r="AB85" s="2383"/>
      <c r="AC85" s="2383"/>
      <c r="AD85" s="2383"/>
      <c r="AE85" s="2383"/>
      <c r="AF85" s="2383"/>
      <c r="AG85" s="2383"/>
      <c r="AH85" s="2383"/>
      <c r="AI85" s="2383"/>
    </row>
    <row r="86" spans="1:35" s="463" customFormat="1" ht="14.25">
      <c r="A86" s="2257" t="s">
        <v>853</v>
      </c>
      <c r="B86" s="2227" t="s">
        <v>867</v>
      </c>
      <c r="C86" s="2303">
        <f>IF(H88="仅含出让金",C87+C90+C91+C92+C93+C94,C87+C91+C92+C93+C94)</f>
        <v>71992.266999999993</v>
      </c>
      <c r="D86" s="2342"/>
      <c r="E86" s="3059"/>
      <c r="F86" s="3056"/>
      <c r="G86" s="3056"/>
      <c r="H86" s="2341"/>
      <c r="I86" s="794"/>
      <c r="J86" s="2376"/>
      <c r="K86" s="2376"/>
      <c r="L86" s="2376"/>
      <c r="M86" s="2376"/>
      <c r="N86" s="2376"/>
      <c r="O86" s="2376"/>
      <c r="P86" s="2376"/>
      <c r="Q86" s="2376"/>
      <c r="R86" s="2376"/>
      <c r="S86" s="2376"/>
      <c r="T86" s="2376"/>
      <c r="U86" s="2376"/>
      <c r="V86" s="2376"/>
      <c r="W86" s="2376"/>
      <c r="X86" s="2376"/>
      <c r="Y86" s="2376"/>
      <c r="Z86" s="2376"/>
      <c r="AA86" s="2383"/>
      <c r="AB86" s="2383"/>
      <c r="AC86" s="2383"/>
      <c r="AD86" s="2383"/>
      <c r="AE86" s="2383"/>
      <c r="AF86" s="2383"/>
      <c r="AG86" s="2383"/>
      <c r="AH86" s="2383"/>
      <c r="AI86" s="2383"/>
    </row>
    <row r="87" spans="1:35" s="463" customFormat="1" ht="14.25">
      <c r="A87" s="2261" t="s">
        <v>846</v>
      </c>
      <c r="B87" s="560" t="s">
        <v>888</v>
      </c>
      <c r="C87" s="2327">
        <f>C88+C89</f>
        <v>23705</v>
      </c>
      <c r="D87" s="2328"/>
      <c r="E87" s="3067"/>
      <c r="F87" s="3068"/>
      <c r="G87" s="3068"/>
      <c r="H87" s="3069"/>
      <c r="I87" s="794"/>
      <c r="J87" s="2376"/>
      <c r="K87" s="2376"/>
      <c r="L87" s="2376"/>
      <c r="M87" s="2376"/>
      <c r="N87" s="2376"/>
      <c r="O87" s="2376"/>
      <c r="P87" s="2376"/>
      <c r="Q87" s="2376"/>
      <c r="R87" s="2376"/>
      <c r="S87" s="2376"/>
      <c r="T87" s="2376"/>
      <c r="U87" s="2376"/>
      <c r="V87" s="2376"/>
      <c r="W87" s="2376"/>
      <c r="X87" s="2376"/>
      <c r="Y87" s="2376"/>
      <c r="Z87" s="2376"/>
      <c r="AA87" s="2383"/>
      <c r="AB87" s="2383"/>
      <c r="AC87" s="2383"/>
      <c r="AD87" s="2383"/>
      <c r="AE87" s="2383"/>
      <c r="AF87" s="2383"/>
      <c r="AG87" s="2383"/>
      <c r="AH87" s="2383"/>
      <c r="AI87" s="2383"/>
    </row>
    <row r="88" spans="1:35" s="463" customFormat="1" ht="14.25">
      <c r="A88" s="2261" t="s">
        <v>869</v>
      </c>
      <c r="B88" s="560" t="s">
        <v>889</v>
      </c>
      <c r="C88" s="2343">
        <f>ROUND((M76*K76+M77*K77+M78*K78)/10000,0)</f>
        <v>23003</v>
      </c>
      <c r="D88" s="2328"/>
      <c r="E88" s="2344" t="s">
        <v>890</v>
      </c>
      <c r="F88" s="3068"/>
      <c r="G88" s="2345" t="s">
        <v>891</v>
      </c>
      <c r="H88" s="2346" t="s">
        <v>892</v>
      </c>
      <c r="I88" s="794"/>
      <c r="J88" s="2380" t="s">
        <v>893</v>
      </c>
      <c r="K88" s="2376"/>
      <c r="L88" s="2376"/>
      <c r="M88" s="2376"/>
      <c r="N88" s="2376"/>
      <c r="O88" s="2376"/>
      <c r="P88" s="2376"/>
      <c r="Q88" s="2376"/>
      <c r="R88" s="2376"/>
      <c r="S88" s="2376"/>
      <c r="T88" s="2376"/>
      <c r="U88" s="2376"/>
      <c r="V88" s="2376"/>
      <c r="W88" s="2376"/>
      <c r="X88" s="2376"/>
      <c r="Y88" s="2376"/>
      <c r="Z88" s="2376"/>
      <c r="AA88" s="2383"/>
      <c r="AB88" s="2383"/>
      <c r="AC88" s="2383"/>
      <c r="AD88" s="2383"/>
      <c r="AE88" s="2383"/>
      <c r="AF88" s="2383"/>
      <c r="AG88" s="2383"/>
      <c r="AH88" s="2383"/>
      <c r="AI88" s="2383"/>
    </row>
    <row r="89" spans="1:35" s="463" customFormat="1" ht="14.25">
      <c r="A89" s="2261" t="s">
        <v>873</v>
      </c>
      <c r="B89" s="560" t="s">
        <v>878</v>
      </c>
      <c r="C89" s="2327">
        <f>ROUND(C88*D89,0)</f>
        <v>702</v>
      </c>
      <c r="D89" s="2328">
        <f>'数据-取费表'!B48+'数据-取费表'!B49</f>
        <v>3.0499999999999999E-2</v>
      </c>
      <c r="E89" s="2344" t="s">
        <v>894</v>
      </c>
      <c r="F89" s="3068"/>
      <c r="G89" s="3068"/>
      <c r="H89" s="3069"/>
      <c r="I89" s="794"/>
      <c r="J89" s="2376"/>
      <c r="K89" s="2376"/>
      <c r="L89" s="2376"/>
      <c r="M89" s="2376"/>
      <c r="N89" s="2376"/>
      <c r="O89" s="2376"/>
      <c r="P89" s="2376"/>
      <c r="Q89" s="2376"/>
      <c r="R89" s="2376"/>
      <c r="S89" s="2376"/>
      <c r="T89" s="2376"/>
      <c r="U89" s="2376"/>
      <c r="V89" s="2376"/>
      <c r="W89" s="2376"/>
      <c r="X89" s="2376"/>
      <c r="Y89" s="2376"/>
      <c r="Z89" s="2376"/>
      <c r="AA89" s="2383"/>
      <c r="AB89" s="2383"/>
      <c r="AC89" s="2383"/>
      <c r="AD89" s="2383"/>
      <c r="AE89" s="2383"/>
      <c r="AF89" s="2383"/>
      <c r="AG89" s="2383"/>
      <c r="AH89" s="2383"/>
      <c r="AI89" s="2383"/>
    </row>
    <row r="90" spans="1:35" s="463" customFormat="1" ht="14.25">
      <c r="A90" s="2261" t="s">
        <v>850</v>
      </c>
      <c r="B90" s="560" t="s">
        <v>895</v>
      </c>
      <c r="C90" s="2343"/>
      <c r="D90" s="2328"/>
      <c r="E90" s="2344" t="str">
        <f>IF(H88="-","土地取得成本中已包含该笔费用"," ")</f>
        <v xml:space="preserve"> </v>
      </c>
      <c r="F90" s="3068"/>
      <c r="G90" s="3296" t="s">
        <v>896</v>
      </c>
      <c r="H90" s="3297"/>
      <c r="I90" s="794"/>
      <c r="J90" s="2380" t="s">
        <v>897</v>
      </c>
      <c r="K90" s="2376"/>
      <c r="L90" s="2376"/>
      <c r="M90" s="2376"/>
      <c r="N90" s="2376"/>
      <c r="O90" s="2376"/>
      <c r="P90" s="2376"/>
      <c r="Q90" s="2376"/>
      <c r="R90" s="2376"/>
      <c r="S90" s="2376"/>
      <c r="T90" s="2376"/>
      <c r="U90" s="2376"/>
      <c r="V90" s="2376"/>
      <c r="W90" s="2376"/>
      <c r="X90" s="2376"/>
      <c r="Y90" s="2376"/>
      <c r="Z90" s="2376"/>
      <c r="AA90" s="2383"/>
      <c r="AB90" s="2383"/>
      <c r="AC90" s="2383"/>
      <c r="AD90" s="2383"/>
      <c r="AE90" s="2383"/>
      <c r="AF90" s="2383"/>
      <c r="AG90" s="2383"/>
      <c r="AH90" s="2383"/>
      <c r="AI90" s="2383"/>
    </row>
    <row r="91" spans="1:35" s="463" customFormat="1" ht="27.75" customHeight="1">
      <c r="A91" s="2261" t="s">
        <v>898</v>
      </c>
      <c r="B91" s="560" t="s">
        <v>899</v>
      </c>
      <c r="C91" s="2327">
        <f>IF(H91="——",成本法!C33,I91)</f>
        <v>31642.267</v>
      </c>
      <c r="D91" s="2328"/>
      <c r="E91" s="3287" t="s">
        <v>900</v>
      </c>
      <c r="F91" s="3288"/>
      <c r="G91" s="3288"/>
      <c r="H91" s="2347" t="s">
        <v>3032</v>
      </c>
      <c r="I91" s="3087">
        <f>(4500*K76+3500*结果表!K76+3500*结果表!K78)/10000</f>
        <v>31642.267</v>
      </c>
      <c r="J91" s="2376"/>
      <c r="K91" s="2376"/>
      <c r="L91" s="2376"/>
      <c r="M91" s="2376"/>
      <c r="N91" s="2376"/>
      <c r="O91" s="2376"/>
      <c r="P91" s="2376"/>
      <c r="Q91" s="2376"/>
      <c r="R91" s="2376"/>
      <c r="S91" s="2376"/>
      <c r="T91" s="2376"/>
      <c r="U91" s="2376"/>
      <c r="V91" s="2376"/>
      <c r="W91" s="2376"/>
      <c r="X91" s="2376"/>
      <c r="Y91" s="2376"/>
      <c r="Z91" s="2376"/>
      <c r="AA91" s="2383"/>
      <c r="AB91" s="2383"/>
      <c r="AC91" s="2383"/>
      <c r="AD91" s="2383"/>
      <c r="AE91" s="2383"/>
      <c r="AF91" s="2383"/>
      <c r="AG91" s="2383"/>
      <c r="AH91" s="2383"/>
      <c r="AI91" s="2383"/>
    </row>
    <row r="92" spans="1:35" s="463" customFormat="1" ht="25.5" customHeight="1">
      <c r="A92" s="2261" t="s">
        <v>901</v>
      </c>
      <c r="B92" s="560" t="s">
        <v>902</v>
      </c>
      <c r="C92" s="2327">
        <f>ROUND((C87+C90+C91)*D92,0)</f>
        <v>5535</v>
      </c>
      <c r="D92" s="2348">
        <v>0.1</v>
      </c>
      <c r="E92" s="3287" t="s">
        <v>903</v>
      </c>
      <c r="F92" s="3288"/>
      <c r="G92" s="3288"/>
      <c r="H92" s="3289"/>
      <c r="I92" s="794"/>
      <c r="J92" s="2382" t="s">
        <v>904</v>
      </c>
      <c r="K92" s="2376"/>
      <c r="L92" s="2376"/>
      <c r="M92" s="2376"/>
      <c r="N92" s="2376"/>
      <c r="O92" s="2376"/>
      <c r="P92" s="2376"/>
      <c r="Q92" s="2376"/>
      <c r="R92" s="2376"/>
      <c r="S92" s="2376"/>
      <c r="T92" s="2376"/>
      <c r="U92" s="2376"/>
      <c r="V92" s="2376"/>
      <c r="W92" s="2376"/>
      <c r="X92" s="2376"/>
      <c r="Y92" s="2376"/>
      <c r="Z92" s="2376"/>
      <c r="AA92" s="2383"/>
      <c r="AB92" s="2383"/>
      <c r="AC92" s="2383"/>
      <c r="AD92" s="2383"/>
      <c r="AE92" s="2383"/>
      <c r="AF92" s="2383"/>
      <c r="AG92" s="2383"/>
      <c r="AH92" s="2383"/>
      <c r="AI92" s="2383"/>
    </row>
    <row r="93" spans="1:35" s="463" customFormat="1" ht="25.5" customHeight="1">
      <c r="A93" s="2261" t="s">
        <v>905</v>
      </c>
      <c r="B93" s="560" t="s">
        <v>881</v>
      </c>
      <c r="C93" s="2327">
        <f>ROUND(D45*D93/(1+'数据-取费表'!C42),0)</f>
        <v>41</v>
      </c>
      <c r="D93" s="2328">
        <f>'数据-取费表'!B43</f>
        <v>5.0000000000000001E-3</v>
      </c>
      <c r="E93" s="3287" t="s">
        <v>882</v>
      </c>
      <c r="F93" s="3288"/>
      <c r="G93" s="3288"/>
      <c r="H93" s="3289"/>
      <c r="I93" s="794"/>
      <c r="J93" s="2376"/>
      <c r="K93" s="2376"/>
      <c r="L93" s="2376"/>
      <c r="M93" s="2376"/>
      <c r="N93" s="2376"/>
      <c r="O93" s="2376"/>
      <c r="P93" s="2376"/>
      <c r="Q93" s="2376"/>
      <c r="R93" s="2376"/>
      <c r="S93" s="2376"/>
      <c r="T93" s="2376"/>
      <c r="U93" s="2376"/>
      <c r="V93" s="2376"/>
      <c r="W93" s="2376"/>
      <c r="X93" s="2376"/>
      <c r="Y93" s="2376"/>
      <c r="Z93" s="2376"/>
      <c r="AA93" s="2383"/>
      <c r="AB93" s="2383"/>
      <c r="AC93" s="2383"/>
      <c r="AD93" s="2383"/>
      <c r="AE93" s="2383"/>
      <c r="AF93" s="2383"/>
      <c r="AG93" s="2383"/>
      <c r="AH93" s="2383"/>
      <c r="AI93" s="2383"/>
    </row>
    <row r="94" spans="1:35" s="463" customFormat="1" ht="36.75" customHeight="1">
      <c r="A94" s="2261" t="s">
        <v>906</v>
      </c>
      <c r="B94" s="560" t="s">
        <v>907</v>
      </c>
      <c r="C94" s="2343">
        <f>ROUND((C87+C90+C91)*D94,0)</f>
        <v>11069</v>
      </c>
      <c r="D94" s="2328">
        <v>0.2</v>
      </c>
      <c r="E94" s="3309" t="s">
        <v>908</v>
      </c>
      <c r="F94" s="3310"/>
      <c r="G94" s="3310"/>
      <c r="H94" s="3311"/>
      <c r="I94" s="794"/>
      <c r="J94" s="2376"/>
      <c r="K94" s="2376"/>
      <c r="L94" s="2376"/>
      <c r="M94" s="2376"/>
      <c r="N94" s="2376"/>
      <c r="O94" s="2376"/>
      <c r="P94" s="2376"/>
      <c r="Q94" s="2376"/>
      <c r="R94" s="2376"/>
      <c r="S94" s="2376"/>
      <c r="T94" s="2376"/>
      <c r="U94" s="2376"/>
      <c r="V94" s="2376"/>
      <c r="W94" s="2376"/>
      <c r="X94" s="2376"/>
      <c r="Y94" s="2376"/>
      <c r="Z94" s="2376"/>
      <c r="AA94" s="2383"/>
      <c r="AB94" s="2383"/>
      <c r="AC94" s="2383"/>
      <c r="AD94" s="2383"/>
      <c r="AE94" s="2383"/>
      <c r="AF94" s="2383"/>
      <c r="AG94" s="2383"/>
      <c r="AH94" s="2383"/>
      <c r="AI94" s="2383"/>
    </row>
    <row r="95" spans="1:35" s="463" customFormat="1" ht="14.25">
      <c r="A95" s="2257" t="s">
        <v>858</v>
      </c>
      <c r="B95" s="2300" t="s">
        <v>883</v>
      </c>
      <c r="C95" s="2303">
        <f>ROUND(C85-C86,0)</f>
        <v>-63800</v>
      </c>
      <c r="D95" s="560" t="s">
        <v>124</v>
      </c>
      <c r="E95" s="3059"/>
      <c r="F95" s="3056"/>
      <c r="G95" s="3056"/>
      <c r="H95" s="2341"/>
      <c r="I95" s="794"/>
      <c r="J95" s="2376"/>
      <c r="K95" s="2376"/>
      <c r="L95" s="2376"/>
      <c r="M95" s="2376"/>
      <c r="N95" s="2376"/>
      <c r="O95" s="2376"/>
      <c r="P95" s="2376"/>
      <c r="Q95" s="2376"/>
      <c r="R95" s="2376"/>
      <c r="S95" s="2376"/>
      <c r="T95" s="2376"/>
      <c r="U95" s="2376"/>
      <c r="V95" s="2376"/>
      <c r="W95" s="2376"/>
      <c r="X95" s="2376"/>
      <c r="Y95" s="2376"/>
      <c r="Z95" s="2376"/>
      <c r="AA95" s="2383"/>
      <c r="AB95" s="2383"/>
      <c r="AC95" s="2383"/>
      <c r="AD95" s="2383"/>
      <c r="AE95" s="2383"/>
      <c r="AF95" s="2383"/>
      <c r="AG95" s="2383"/>
      <c r="AH95" s="2383"/>
      <c r="AI95" s="2383"/>
    </row>
    <row r="96" spans="1:35" s="463" customFormat="1" ht="24">
      <c r="A96" s="2257" t="s">
        <v>861</v>
      </c>
      <c r="B96" s="2300" t="s">
        <v>884</v>
      </c>
      <c r="C96" s="2332">
        <f>IF(C95&lt;=0,0,C95/C86)</f>
        <v>0</v>
      </c>
      <c r="D96" s="560" t="s">
        <v>124</v>
      </c>
      <c r="E96" s="3061" t="str">
        <f>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1"/>
      <c r="I96" s="794"/>
      <c r="J96" s="2376"/>
      <c r="K96" s="2376"/>
      <c r="L96" s="2376"/>
      <c r="M96" s="2376"/>
      <c r="N96" s="2376"/>
      <c r="O96" s="2376"/>
      <c r="P96" s="2376"/>
      <c r="Q96" s="2376"/>
      <c r="R96" s="2376"/>
      <c r="S96" s="2376"/>
      <c r="T96" s="2376"/>
      <c r="U96" s="2376"/>
      <c r="V96" s="2376"/>
      <c r="W96" s="2376"/>
      <c r="X96" s="2376"/>
      <c r="Y96" s="2376"/>
      <c r="Z96" s="2376"/>
      <c r="AA96" s="2383"/>
      <c r="AB96" s="2383"/>
      <c r="AC96" s="2383"/>
      <c r="AD96" s="2383"/>
      <c r="AE96" s="2383"/>
      <c r="AF96" s="2383"/>
      <c r="AG96" s="2383"/>
      <c r="AH96" s="2383"/>
      <c r="AI96" s="2383"/>
    </row>
    <row r="97" spans="1:35" s="463" customFormat="1" ht="24.75" thickBot="1">
      <c r="A97" s="2304" t="s">
        <v>885</v>
      </c>
      <c r="B97" s="2305" t="s">
        <v>886</v>
      </c>
      <c r="C97" s="2333">
        <f>ROUND(IF(C95&lt;=0,0,IF(C96&gt;=200%,C95*60%-C86*35%,IF(C96&gt;=100%,C95*50%-C86*15%,IF(C96&gt;=50%,C95*40%-C86*5%,IF(C96&lt;50%,C95*30%,0))))),0)</f>
        <v>0</v>
      </c>
      <c r="D97" s="2334" t="s">
        <v>124</v>
      </c>
      <c r="E97" s="2335"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6"/>
      <c r="G97" s="2336"/>
      <c r="H97" s="2349"/>
      <c r="I97" s="794"/>
      <c r="J97" s="2376"/>
      <c r="K97" s="2376"/>
      <c r="L97" s="2376"/>
      <c r="M97" s="2376"/>
      <c r="N97" s="2376"/>
      <c r="O97" s="2376"/>
      <c r="P97" s="2376"/>
      <c r="Q97" s="2376"/>
      <c r="R97" s="2376"/>
      <c r="S97" s="2376"/>
      <c r="T97" s="2376"/>
      <c r="U97" s="2376"/>
      <c r="V97" s="2376"/>
      <c r="W97" s="2376"/>
      <c r="X97" s="2376"/>
      <c r="Y97" s="2376"/>
      <c r="Z97" s="2376"/>
      <c r="AA97" s="2383"/>
      <c r="AB97" s="2383"/>
      <c r="AC97" s="2383"/>
      <c r="AD97" s="2383"/>
      <c r="AE97" s="2383"/>
      <c r="AF97" s="2383"/>
      <c r="AG97" s="2383"/>
      <c r="AH97" s="2383"/>
      <c r="AI97" s="2383"/>
    </row>
    <row r="98" spans="1:35" ht="21.75" customHeight="1">
      <c r="A98" s="2253"/>
      <c r="B98" s="1778"/>
      <c r="C98" s="1778"/>
      <c r="D98" s="1778"/>
      <c r="E98" s="2254"/>
      <c r="F98" s="2254"/>
      <c r="G98" s="2254"/>
      <c r="H98" s="2215"/>
      <c r="I98" s="274"/>
    </row>
    <row r="99" spans="1:35" ht="21.75" customHeight="1" thickBot="1">
      <c r="A99" s="2217" t="s">
        <v>909</v>
      </c>
      <c r="B99" s="1778"/>
      <c r="C99" s="1778"/>
      <c r="D99" s="1778"/>
      <c r="E99" s="2254"/>
      <c r="F99" s="2254"/>
      <c r="G99" s="2254"/>
      <c r="H99" s="2215"/>
      <c r="I99" s="274"/>
    </row>
    <row r="100" spans="1:35" ht="18.75" customHeight="1">
      <c r="A100" s="3201" t="s">
        <v>910</v>
      </c>
      <c r="B100" s="3202"/>
      <c r="C100" s="3202"/>
      <c r="D100" s="3272"/>
      <c r="E100" s="3202" t="s">
        <v>911</v>
      </c>
      <c r="F100" s="3202"/>
      <c r="G100" s="3202"/>
      <c r="H100" s="3272"/>
      <c r="I100" s="274"/>
    </row>
    <row r="101" spans="1:35" ht="18.75" customHeight="1">
      <c r="A101" s="3273" t="s">
        <v>912</v>
      </c>
      <c r="B101" s="3274"/>
      <c r="C101" s="2351" t="str">
        <f>C4</f>
        <v>成本法商</v>
      </c>
      <c r="D101" s="2352" t="str">
        <f>D4</f>
        <v>收益法商</v>
      </c>
      <c r="E101" s="3295" t="s">
        <v>913</v>
      </c>
      <c r="F101" s="3291"/>
      <c r="G101" s="2354" t="s">
        <v>914</v>
      </c>
      <c r="H101" s="2355">
        <f ca="1">H118</f>
        <v>4786</v>
      </c>
      <c r="I101" s="274"/>
    </row>
    <row r="102" spans="1:35" ht="18.75" customHeight="1">
      <c r="A102" s="3304" t="s">
        <v>915</v>
      </c>
      <c r="B102" s="2356" t="s">
        <v>914</v>
      </c>
      <c r="C102" s="2351">
        <f ca="1">C19</f>
        <v>6577</v>
      </c>
      <c r="D102" s="2352">
        <f ca="1">D19</f>
        <v>3592</v>
      </c>
      <c r="E102" s="3295"/>
      <c r="F102" s="3291"/>
      <c r="G102" s="2354" t="s">
        <v>99</v>
      </c>
      <c r="H102" s="2243">
        <f ca="1">I118</f>
        <v>20468</v>
      </c>
      <c r="I102" s="274"/>
    </row>
    <row r="103" spans="1:35" ht="42.75" customHeight="1">
      <c r="A103" s="3304"/>
      <c r="B103" s="2356" t="s">
        <v>99</v>
      </c>
      <c r="C103" s="2357">
        <f ca="1">C20</f>
        <v>28128</v>
      </c>
      <c r="D103" s="2358">
        <f ca="1">D20</f>
        <v>15362</v>
      </c>
      <c r="E103" s="3275" t="s">
        <v>916</v>
      </c>
      <c r="F103" s="3276"/>
      <c r="G103" s="2359" t="s">
        <v>102</v>
      </c>
      <c r="H103" s="2355">
        <f>IF(D36="正常操作",H104+H105+H106,H105+H106)</f>
        <v>0</v>
      </c>
      <c r="I103" s="274"/>
    </row>
    <row r="104" spans="1:35" ht="18.75" customHeight="1">
      <c r="A104" s="3304" t="s">
        <v>917</v>
      </c>
      <c r="B104" s="2360" t="s">
        <v>914</v>
      </c>
      <c r="C104" s="2361">
        <f ca="1">H118</f>
        <v>4786</v>
      </c>
      <c r="D104" s="2362"/>
      <c r="E104" s="2200" t="s">
        <v>918</v>
      </c>
      <c r="F104" s="2363"/>
      <c r="G104" s="2359" t="s">
        <v>102</v>
      </c>
      <c r="H104" s="2364">
        <f>IF(D36="同一抵押权人同一抵押物续贷",C36&amp;"（续贷，未扣减，详见特别提示）",C36)</f>
        <v>0</v>
      </c>
      <c r="I104" s="274"/>
    </row>
    <row r="105" spans="1:35" ht="18.75" customHeight="1" thickBot="1">
      <c r="A105" s="3305"/>
      <c r="B105" s="2365" t="s">
        <v>99</v>
      </c>
      <c r="C105" s="2366">
        <f ca="1">I118</f>
        <v>20468</v>
      </c>
      <c r="D105" s="2367"/>
      <c r="E105" s="2200" t="s">
        <v>919</v>
      </c>
      <c r="F105" s="2363"/>
      <c r="G105" s="2359" t="s">
        <v>102</v>
      </c>
      <c r="H105" s="2368">
        <f>C37</f>
        <v>0</v>
      </c>
      <c r="I105" s="274"/>
    </row>
    <row r="106" spans="1:35" ht="18.75" customHeight="1">
      <c r="A106" s="1778" t="s">
        <v>920</v>
      </c>
      <c r="B106" s="1778"/>
      <c r="C106" s="1778"/>
      <c r="D106" s="1778"/>
      <c r="E106" s="2369" t="s">
        <v>921</v>
      </c>
      <c r="F106" s="2363"/>
      <c r="G106" s="2359" t="s">
        <v>102</v>
      </c>
      <c r="H106" s="2368">
        <f>C38</f>
        <v>0</v>
      </c>
      <c r="I106" s="274"/>
    </row>
    <row r="107" spans="1:35" ht="18.75" customHeight="1">
      <c r="A107" s="274"/>
      <c r="B107" s="274"/>
      <c r="C107" s="274"/>
      <c r="D107" s="274"/>
      <c r="E107" s="3290" t="str">
        <f>IF(项目基本情况!E8="已注销","——","3.房地产抵押价值")</f>
        <v>3.房地产抵押价值</v>
      </c>
      <c r="F107" s="3291"/>
      <c r="G107" s="2354" t="s">
        <v>914</v>
      </c>
      <c r="H107" s="2355">
        <f ca="1">IF(E107="——","——",H101-H103)</f>
        <v>4786</v>
      </c>
      <c r="I107" s="274"/>
    </row>
    <row r="108" spans="1:35" ht="18.75" customHeight="1">
      <c r="A108" s="274"/>
      <c r="B108" s="274"/>
      <c r="C108" s="274"/>
      <c r="D108" s="274"/>
      <c r="E108" s="3290"/>
      <c r="F108" s="3291"/>
      <c r="G108" s="2354" t="s">
        <v>99</v>
      </c>
      <c r="H108" s="2243">
        <f ca="1">ROUND(H107*10000/'数据-汇总表'!E3,0)</f>
        <v>662</v>
      </c>
      <c r="I108" s="274"/>
    </row>
    <row r="109" spans="1:35" ht="18.75" customHeight="1">
      <c r="A109" s="274"/>
      <c r="B109" s="274"/>
      <c r="C109" s="274"/>
      <c r="D109" s="274"/>
      <c r="E109" s="3290" t="str">
        <f>IF(项目基本情况!E8="已注销及未注销","4.抵押担保权已注销时的房地产抵押价值",IF(项目基本情况!E8="已注销","3.抵押担保权已注销时的房地产抵押价值","——"))</f>
        <v>——</v>
      </c>
      <c r="F109" s="3291"/>
      <c r="G109" s="2354" t="s">
        <v>914</v>
      </c>
      <c r="H109" s="2370" t="str">
        <f>IF(E109="——","——",H101-H105-H106)</f>
        <v>——</v>
      </c>
      <c r="I109" s="274"/>
    </row>
    <row r="110" spans="1:35" ht="18.75" customHeight="1">
      <c r="A110" s="274"/>
      <c r="B110" s="274"/>
      <c r="C110" s="274"/>
      <c r="D110" s="274"/>
      <c r="E110" s="3290"/>
      <c r="F110" s="3291"/>
      <c r="G110" s="2354" t="s">
        <v>99</v>
      </c>
      <c r="H110" s="2243" t="str">
        <f>IF(H109="——","——",ROUND(H109*10000/'数据-汇总表'!E3,0))</f>
        <v>——</v>
      </c>
      <c r="I110" s="274"/>
    </row>
    <row r="111" spans="1:35" ht="18.75" customHeight="1">
      <c r="A111" s="274"/>
      <c r="B111" s="274"/>
      <c r="C111" s="274"/>
      <c r="D111" s="274"/>
      <c r="E111" s="3292" t="str">
        <f>IF(项目基本情况!E9="抵押净值",IF(OR(项目基本情况!E8="已注销",项目基本情况!E8="房地产抵押价值"),"4.抵押净值","5.抵押净值"),"——")</f>
        <v>4.抵押净值</v>
      </c>
      <c r="F111" s="3261"/>
      <c r="G111" s="2354" t="s">
        <v>914</v>
      </c>
      <c r="H111" s="2355">
        <f>IF(E111="——","——",N59)</f>
        <v>8147</v>
      </c>
      <c r="I111" s="274"/>
    </row>
    <row r="112" spans="1:35" ht="18.75" customHeight="1" thickBot="1">
      <c r="A112" s="274"/>
      <c r="B112" s="274"/>
      <c r="C112" s="274"/>
      <c r="D112" s="274"/>
      <c r="E112" s="3293"/>
      <c r="F112" s="3294"/>
      <c r="G112" s="2371" t="s">
        <v>99</v>
      </c>
      <c r="H112" s="2372">
        <f>IF(E111="——","——",N61)</f>
        <v>1127</v>
      </c>
      <c r="I112" s="274"/>
    </row>
    <row r="113" spans="1:27" ht="18.75" customHeight="1">
      <c r="A113" s="274"/>
      <c r="B113" s="274"/>
      <c r="C113" s="274"/>
      <c r="D113" s="274"/>
      <c r="E113" s="3277" t="s">
        <v>920</v>
      </c>
      <c r="F113" s="3277"/>
      <c r="G113" s="3277"/>
      <c r="H113" s="3277"/>
      <c r="I113" s="274"/>
    </row>
    <row r="114" spans="1:27" ht="3.75" customHeight="1">
      <c r="A114" s="1778"/>
      <c r="B114" s="1778"/>
      <c r="C114" s="1778"/>
      <c r="D114" s="1778"/>
      <c r="E114" s="2253"/>
      <c r="F114" s="2253"/>
      <c r="G114" s="2253"/>
      <c r="H114" s="2253"/>
      <c r="I114" s="1778"/>
    </row>
    <row r="115" spans="1:27" ht="18.75" customHeight="1">
      <c r="A115" s="3278" t="s">
        <v>922</v>
      </c>
      <c r="B115" s="3279"/>
      <c r="C115" s="3279"/>
      <c r="D115" s="3279"/>
      <c r="E115" s="3279"/>
      <c r="F115" s="3279"/>
      <c r="G115" s="3279"/>
      <c r="H115" s="3279"/>
      <c r="I115" s="3280"/>
    </row>
    <row r="116" spans="1:27" ht="27" customHeight="1">
      <c r="A116" s="3265" t="s">
        <v>923</v>
      </c>
      <c r="B116" s="3307" t="s">
        <v>924</v>
      </c>
      <c r="C116" s="3307" t="s">
        <v>925</v>
      </c>
      <c r="D116" s="3281" t="s">
        <v>926</v>
      </c>
      <c r="E116" s="3282"/>
      <c r="F116" s="3283" t="s">
        <v>927</v>
      </c>
      <c r="G116" s="3283"/>
      <c r="H116" s="3265" t="s">
        <v>928</v>
      </c>
      <c r="I116" s="3265"/>
    </row>
    <row r="117" spans="1:27" ht="18.75" customHeight="1">
      <c r="A117" s="3265"/>
      <c r="B117" s="3308"/>
      <c r="C117" s="3308"/>
      <c r="D117" s="3065" t="s">
        <v>929</v>
      </c>
      <c r="E117" s="3065" t="s">
        <v>749</v>
      </c>
      <c r="F117" s="3065" t="s">
        <v>929</v>
      </c>
      <c r="G117" s="3065" t="s">
        <v>749</v>
      </c>
      <c r="H117" s="3065" t="s">
        <v>929</v>
      </c>
      <c r="I117" s="3065" t="s">
        <v>749</v>
      </c>
    </row>
    <row r="118" spans="1:27" ht="24.75" customHeight="1">
      <c r="A118" s="2373" t="str">
        <f>项目基本情况!S2</f>
        <v>北京市顺义区北小营镇顺义新城第30街区30-01-02地块R2二类居住用地出让国有建设用地使用权及在建建筑物房地产</v>
      </c>
      <c r="B118" s="3065">
        <f>M18</f>
        <v>2338.25</v>
      </c>
      <c r="C118" s="3065">
        <f>M19</f>
        <v>0</v>
      </c>
      <c r="D118" s="3065">
        <f ca="1">ROUND(IF(D32="总价",C34,E118*B118/10000),0)</f>
        <v>3570</v>
      </c>
      <c r="E118" s="3065">
        <f ca="1">ROUND(IF(C33="自定义",IF(D32="楼面单价",C34,D118*10000/B118),I118-G118),0)</f>
        <v>15268</v>
      </c>
      <c r="F118" s="3065">
        <f ca="1">ROUND(IF(D32="总价",C35,G118*B118/10000),0)</f>
        <v>1216</v>
      </c>
      <c r="G118" s="3065">
        <f ca="1">ROUND(IF(D32="楼面单价",C35,F118*10000/B118),0)</f>
        <v>5200</v>
      </c>
      <c r="H118" s="3065">
        <f ca="1">ROUND(IF(D32="总价",C32,I118*B118/10000),0)</f>
        <v>4786</v>
      </c>
      <c r="I118" s="3065">
        <f ca="1">ROUND(IF(D32="楼面单价",C32,H118*10000/B118),0)</f>
        <v>20468</v>
      </c>
    </row>
    <row r="119" spans="1:27" ht="18.75" customHeight="1">
      <c r="A119" s="3265" t="s">
        <v>930</v>
      </c>
      <c r="B119" s="3265"/>
      <c r="C119" s="3265"/>
      <c r="D119" s="3266" t="str">
        <f ca="1">NUMBERSTRING(INT(D118*10000),2)&amp;"元整"</f>
        <v>叁仟伍佰柒拾万元整</v>
      </c>
      <c r="E119" s="3268"/>
      <c r="F119" s="3266" t="str">
        <f ca="1">NUMBERSTRING(INT(F118*10000),2)&amp;"元整"</f>
        <v>壹仟贰佰壹拾陆万元整</v>
      </c>
      <c r="G119" s="3268"/>
      <c r="H119" s="3266" t="str">
        <f ca="1">NUMBERSTRING(INT(H118*10000),2)&amp;"元整"</f>
        <v>肆仟柒佰捌拾陆万元整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269" t="s">
        <v>930</v>
      </c>
      <c r="B121" s="3270"/>
      <c r="C121" s="3271"/>
      <c r="D121" s="3266" t="str">
        <f>IF(D120=0,"零元整",NUMBERSTRING(INT(D120*10000),2)&amp;"元整")</f>
        <v>零元整</v>
      </c>
      <c r="E121" s="3267"/>
      <c r="F121" s="3267"/>
      <c r="G121" s="3267"/>
      <c r="H121" s="3267"/>
      <c r="I121" s="3268"/>
      <c r="AA121" s="232"/>
    </row>
    <row r="122" spans="1:27" ht="18.75" customHeight="1">
      <c r="A122" s="3261" t="str">
        <f>IF(项目基本情况!B9="房地产市场价值","",MID(E107,3,LEN(E107)-2))</f>
        <v>房地产抵押价值</v>
      </c>
      <c r="B122" s="3261"/>
      <c r="C122" s="3261"/>
      <c r="D122" s="3262">
        <f ca="1">H107</f>
        <v>4786</v>
      </c>
      <c r="E122" s="3263"/>
      <c r="F122" s="3263"/>
      <c r="G122" s="3263"/>
      <c r="H122" s="3263"/>
      <c r="I122" s="3264"/>
      <c r="AA122" s="232"/>
    </row>
    <row r="123" spans="1:27" ht="18.75" customHeight="1">
      <c r="A123" s="3265" t="s">
        <v>930</v>
      </c>
      <c r="B123" s="3265"/>
      <c r="C123" s="3265"/>
      <c r="D123" s="3266" t="str">
        <f ca="1">NUMBERSTRING(INT(D122*10000),2)&amp;"元整"</f>
        <v>肆仟柒佰捌拾陆万元整</v>
      </c>
      <c r="E123" s="3267"/>
      <c r="F123" s="3267"/>
      <c r="G123" s="3267"/>
      <c r="H123" s="3267"/>
      <c r="I123" s="3268"/>
      <c r="AA123" s="232"/>
    </row>
    <row r="124" spans="1:27" ht="18.75" customHeight="1">
      <c r="A124" s="3261" t="str">
        <f>IF(项目基本情况!B9="房地产市场价值","",MID(E109,3,LEN(E109)-2))</f>
        <v/>
      </c>
      <c r="B124" s="3261"/>
      <c r="C124" s="3261"/>
      <c r="D124" s="3262" t="str">
        <f>H109</f>
        <v>——</v>
      </c>
      <c r="E124" s="3263"/>
      <c r="F124" s="3263"/>
      <c r="G124" s="3263"/>
      <c r="H124" s="3263"/>
      <c r="I124" s="3264"/>
      <c r="AA124" s="232"/>
    </row>
    <row r="125" spans="1:27" ht="18.75" customHeight="1">
      <c r="A125" s="3265" t="s">
        <v>930</v>
      </c>
      <c r="B125" s="3265"/>
      <c r="C125" s="3265"/>
      <c r="D125" s="3266" t="e">
        <f>NUMBERSTRING(INT(D124*10000),2)&amp;"元整"</f>
        <v>#VALUE!</v>
      </c>
      <c r="E125" s="3267"/>
      <c r="F125" s="3267"/>
      <c r="G125" s="3267"/>
      <c r="H125" s="3267"/>
      <c r="I125" s="3268"/>
      <c r="AA125" s="232"/>
    </row>
    <row r="126" spans="1:27" ht="18.75" customHeight="1">
      <c r="A126" s="3261" t="str">
        <f>IF(项目基本情况!B9="房地产市场价值","",MID(E111,3,LEN(E111)-2))</f>
        <v>抵押净值</v>
      </c>
      <c r="B126" s="3261"/>
      <c r="C126" s="3261"/>
      <c r="D126" s="3262">
        <f>H111</f>
        <v>8147</v>
      </c>
      <c r="E126" s="3263"/>
      <c r="F126" s="3263"/>
      <c r="G126" s="3263"/>
      <c r="H126" s="3263"/>
      <c r="I126" s="3264"/>
      <c r="AA126" s="232"/>
    </row>
    <row r="127" spans="1:27" ht="18.75" customHeight="1">
      <c r="A127" s="3265" t="s">
        <v>930</v>
      </c>
      <c r="B127" s="3265"/>
      <c r="C127" s="3265"/>
      <c r="D127" s="3266" t="str">
        <f>NUMBERSTRING(INT(D126*10000),2)&amp;"元整"</f>
        <v>捌仟壹佰肆拾柒万元整</v>
      </c>
      <c r="E127" s="3267"/>
      <c r="F127" s="3267"/>
      <c r="G127" s="3267"/>
      <c r="H127" s="3267"/>
      <c r="I127" s="3268"/>
      <c r="AA127" s="232"/>
    </row>
    <row r="128" spans="1:27" ht="21.75" customHeight="1">
      <c r="A128" s="3298" t="s">
        <v>113</v>
      </c>
      <c r="B128" s="3298"/>
      <c r="C128" s="3298"/>
      <c r="D128" s="3298"/>
      <c r="E128" s="3298"/>
      <c r="F128" s="3298"/>
      <c r="G128" s="3298"/>
      <c r="H128" s="3298"/>
      <c r="I128" s="3298"/>
      <c r="AA128" s="232"/>
    </row>
    <row r="129" spans="1:35" ht="21.75" customHeight="1">
      <c r="A129" s="2384" t="s">
        <v>931</v>
      </c>
      <c r="B129" s="2385"/>
      <c r="C129" s="2386" t="s">
        <v>932</v>
      </c>
      <c r="D129" s="2387"/>
      <c r="E129" s="2387"/>
      <c r="F129" s="2387"/>
      <c r="G129" s="2387"/>
      <c r="H129" s="2388"/>
      <c r="I129" s="2401"/>
      <c r="AA129" s="232"/>
    </row>
    <row r="130" spans="1:35" ht="21.75" customHeight="1">
      <c r="A130" s="2389">
        <v>1</v>
      </c>
      <c r="B130" s="2390"/>
      <c r="C130" s="2390"/>
      <c r="D130" s="340"/>
      <c r="E130" s="340"/>
      <c r="F130" s="340"/>
      <c r="G130" s="340"/>
      <c r="H130" s="323"/>
      <c r="I130" s="2402"/>
      <c r="AA130" s="232"/>
    </row>
    <row r="131" spans="1:35" ht="21.75" customHeight="1">
      <c r="A131" s="2389">
        <v>2</v>
      </c>
      <c r="B131" s="2390"/>
      <c r="C131" s="2390"/>
      <c r="D131" s="340"/>
      <c r="E131" s="340"/>
      <c r="F131" s="340"/>
      <c r="G131" s="340"/>
      <c r="H131" s="323"/>
      <c r="I131" s="2402"/>
      <c r="AA131" s="232"/>
    </row>
    <row r="132" spans="1:35" ht="21.75" customHeight="1">
      <c r="A132" s="2389">
        <v>3</v>
      </c>
      <c r="B132" s="2390"/>
      <c r="C132" s="2390"/>
      <c r="D132" s="340"/>
      <c r="E132" s="340"/>
      <c r="F132" s="340"/>
      <c r="G132" s="340"/>
      <c r="H132" s="323"/>
      <c r="I132" s="2402"/>
      <c r="AA132" s="232"/>
    </row>
    <row r="133" spans="1:35" ht="21.75" customHeight="1">
      <c r="A133" s="2391"/>
      <c r="B133" s="2392"/>
      <c r="C133" s="2392"/>
      <c r="D133" s="2393"/>
      <c r="E133" s="2393"/>
      <c r="F133" s="2393"/>
      <c r="G133" s="2393"/>
      <c r="H133" s="2394"/>
      <c r="I133" s="2403"/>
    </row>
    <row r="134" spans="1:35" ht="21.75" customHeight="1">
      <c r="A134" s="2390"/>
      <c r="B134" s="2390"/>
      <c r="C134" s="2390"/>
      <c r="D134" s="340"/>
      <c r="E134" s="340"/>
      <c r="F134" s="340"/>
      <c r="G134" s="340"/>
      <c r="H134" s="323"/>
      <c r="I134" s="232"/>
    </row>
    <row r="135" spans="1:35" ht="21.75" customHeight="1">
      <c r="A135" s="232"/>
      <c r="B135" s="232"/>
      <c r="C135" s="232"/>
      <c r="D135" s="232"/>
      <c r="E135" s="232"/>
      <c r="F135" s="2395" t="s">
        <v>933</v>
      </c>
      <c r="G135" s="2396"/>
      <c r="H135" s="2396"/>
      <c r="I135" s="2404" t="s">
        <v>934</v>
      </c>
    </row>
    <row r="136" spans="1:35" ht="21.75" customHeight="1">
      <c r="A136" s="232"/>
      <c r="B136" s="2397"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6"/>
      <c r="C138" s="2396"/>
      <c r="D138" s="2396"/>
      <c r="E138" s="2396"/>
      <c r="F138" s="2396"/>
      <c r="G138" s="2396"/>
      <c r="H138" s="2396"/>
      <c r="I138" s="2404" t="s">
        <v>936</v>
      </c>
    </row>
    <row r="139" spans="1:35" ht="21.75" customHeight="1">
      <c r="A139" s="232"/>
      <c r="B139" s="2397" t="s">
        <v>937</v>
      </c>
      <c r="C139" s="232"/>
      <c r="D139" s="232"/>
      <c r="E139" s="232"/>
      <c r="F139" s="232"/>
      <c r="G139" s="232"/>
      <c r="H139" s="232"/>
      <c r="I139" s="232"/>
    </row>
    <row r="140" spans="1:35" ht="21.75" customHeight="1">
      <c r="A140" s="232"/>
      <c r="B140" s="2397"/>
      <c r="C140" s="232"/>
      <c r="D140" s="232"/>
      <c r="E140" s="232"/>
      <c r="F140" s="232"/>
      <c r="G140" s="232"/>
      <c r="H140" s="232"/>
      <c r="I140" s="232"/>
    </row>
    <row r="141" spans="1:35" ht="21.75" customHeight="1">
      <c r="A141" s="232"/>
      <c r="B141" s="2396"/>
      <c r="C141" s="2396"/>
      <c r="D141" s="2396"/>
      <c r="E141" s="2396"/>
      <c r="F141" s="2396"/>
      <c r="G141" s="2396"/>
      <c r="H141" s="2396"/>
      <c r="I141" s="2404" t="s">
        <v>936</v>
      </c>
    </row>
    <row r="142" spans="1:35" ht="21.75" customHeight="1">
      <c r="A142" s="232"/>
      <c r="B142" s="2397"/>
      <c r="C142" s="2398"/>
      <c r="D142" s="2399"/>
      <c r="E142" s="2399"/>
      <c r="F142" s="2400"/>
      <c r="G142" s="232"/>
      <c r="H142" s="232"/>
      <c r="I142" s="232"/>
    </row>
    <row r="143" spans="1:35" s="231" customFormat="1" ht="21.75" customHeight="1">
      <c r="A143" s="232"/>
      <c r="B143" s="2397"/>
      <c r="C143" s="2398"/>
      <c r="D143" s="2399"/>
      <c r="E143" s="2399"/>
      <c r="F143" s="2400"/>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0"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0"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0"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0"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0"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0"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0"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0"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0"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0"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0"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0"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0"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0"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0"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0"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0"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0"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0"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0"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0"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0"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0"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0"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0"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0"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0"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0"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0"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0"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0"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0"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0"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0"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0"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0"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0"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0"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0"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0"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0"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0"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0"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0"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0"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0"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0"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0"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0"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0"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0"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0"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0"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0"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0"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0"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0"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0"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0"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0"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0"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0"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0"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0"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0"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0"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0"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0"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0"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0"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0"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0"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0"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0"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0"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0"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0"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0"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0"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0"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0"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0"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0"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0"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0"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0"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0"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0"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0"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0"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0"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0"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0"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0"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0"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0"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0"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0"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0"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0"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0"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0"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0"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0"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5"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E94" sqref="E94:H94"/>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0" t="s">
        <v>466</v>
      </c>
      <c r="C1" s="146"/>
      <c r="D1" s="146"/>
      <c r="E1" s="146"/>
      <c r="F1" s="146"/>
      <c r="G1" s="2092">
        <f>MATCH(B1,'数据-取费表'!A6:A16,0)+5</f>
        <v>7</v>
      </c>
    </row>
    <row r="2" spans="1:9" s="136" customFormat="1" ht="18" customHeight="1">
      <c r="A2" s="148" t="s">
        <v>941</v>
      </c>
      <c r="B2" s="149">
        <f ca="1">IF(D2="——",C52,C52-E2)</f>
        <v>6577</v>
      </c>
      <c r="C2" s="147" t="s">
        <v>1397</v>
      </c>
      <c r="D2" s="2093" t="s">
        <v>124</v>
      </c>
      <c r="E2" s="2094" t="e">
        <f ca="1">SUMIF(INDIRECT("'"&amp;G2&amp;"'"&amp;"!A:A"),"承租人权益价值",INDIRECT("'"&amp;G2&amp;"'"&amp;"!c:c"))</f>
        <v>#REF!</v>
      </c>
      <c r="F2" s="2095" t="s">
        <v>1397</v>
      </c>
      <c r="G2" s="2096"/>
    </row>
    <row r="3" spans="1:9" s="136" customFormat="1" ht="18" customHeight="1" thickBot="1">
      <c r="A3" s="151" t="s">
        <v>942</v>
      </c>
      <c r="B3" s="152">
        <f ca="1">ROUND(B2*10000/(IF(B1="",'数据-汇总表'!E3,INDIRECT("'数据-取费表'!k"&amp;$G$1))),0)</f>
        <v>28128</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3763</v>
      </c>
      <c r="D5" s="158" t="s">
        <v>1402</v>
      </c>
      <c r="E5" s="159" t="s">
        <v>1403</v>
      </c>
      <c r="F5" s="159" t="s">
        <v>841</v>
      </c>
      <c r="G5" s="160"/>
    </row>
    <row r="6" spans="1:9" s="138" customFormat="1" ht="13.5" customHeight="1">
      <c r="A6" s="161" t="s">
        <v>1404</v>
      </c>
      <c r="B6" s="162" t="s">
        <v>1405</v>
      </c>
      <c r="C6" s="163">
        <f ca="1">ROUND(D10*'土地比较法-住宅、综合'!C47/10000,0)</f>
        <v>3606</v>
      </c>
      <c r="D6" s="164"/>
      <c r="E6" s="165"/>
      <c r="F6" s="165"/>
      <c r="G6" s="166"/>
    </row>
    <row r="7" spans="1:9" s="138" customFormat="1" ht="13.5" customHeight="1">
      <c r="A7" s="161" t="s">
        <v>1406</v>
      </c>
      <c r="B7" s="162" t="s">
        <v>1407</v>
      </c>
      <c r="C7" s="167">
        <f ca="1">ROUND(C6*F7,0)</f>
        <v>110</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47</v>
      </c>
      <c r="D8" s="169"/>
      <c r="E8" s="167"/>
      <c r="F8" s="168"/>
      <c r="G8" s="2097" t="s">
        <v>3034</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1" t="s">
        <v>3035</v>
      </c>
      <c r="H9" s="2102"/>
      <c r="I9" s="2103" t="s">
        <v>1412</v>
      </c>
    </row>
    <row r="10" spans="1:9" s="138" customFormat="1" ht="13.5" customHeight="1">
      <c r="A10" s="171" t="s">
        <v>1413</v>
      </c>
      <c r="B10" s="172" t="s">
        <v>1414</v>
      </c>
      <c r="C10" s="173">
        <f ca="1">ROUND(D10*E10/10000,0)</f>
        <v>47</v>
      </c>
      <c r="D10" s="174">
        <f ca="1">IF(B1="",'数据-汇总表'!E6,IF(INDIRECT("'数据-取费表'!c"&amp;$G$1)="住宅",INDIRECT("'数据-取费表'!s"&amp;$G$1),INDIRECT("'数据-取费表'!k"&amp;$G$1)+INDIRECT("'数据-取费表'!s"&amp;$G$1)))</f>
        <v>2338.25</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2338.25</v>
      </c>
      <c r="E19" s="158">
        <f>'数据-取费表'!B31</f>
        <v>200</v>
      </c>
      <c r="F19" s="180"/>
      <c r="G19" s="2097" t="s">
        <v>1433</v>
      </c>
    </row>
    <row r="20" spans="1:10" s="138" customFormat="1" ht="13.5" customHeight="1">
      <c r="A20" s="156" t="s">
        <v>1434</v>
      </c>
      <c r="B20" s="157" t="s">
        <v>1435</v>
      </c>
      <c r="C20" s="181">
        <f ca="1">ROUND((C5+C19)*F20,0)</f>
        <v>75</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390</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386</v>
      </c>
      <c r="D23" s="191"/>
      <c r="E23" s="191"/>
      <c r="F23" s="192"/>
      <c r="G23" s="193" t="s">
        <v>1444</v>
      </c>
      <c r="J23" s="138">
        <f ca="1">B2/'数据-汇总表'!F31</f>
        <v>0.11204875969502021</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737</v>
      </c>
      <c r="D27" s="184">
        <f ca="1">C29</f>
        <v>3.8E-3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737</v>
      </c>
      <c r="D28" s="184"/>
      <c r="E28" s="185"/>
      <c r="F28" s="199"/>
      <c r="G28" s="200"/>
    </row>
    <row r="29" spans="1:10" s="138" customFormat="1" ht="13.5" customHeight="1">
      <c r="A29" s="189" t="s">
        <v>1406</v>
      </c>
      <c r="B29" s="201" t="s">
        <v>1455</v>
      </c>
      <c r="C29" s="191">
        <f ca="1">ROUND(C21*F27*'数据-取费表'!B21/'数据-取费表'!B20,4)</f>
        <v>3.8E-3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5380</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866</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785</v>
      </c>
      <c r="D34" s="164"/>
      <c r="E34" s="167"/>
      <c r="F34" s="210">
        <f ca="1">IF('数据-取费表'!B24=0,1,IF(B1="",'数据-取费表'!N16,INDIRECT("'数据-取费表'!n"&amp;$G$1)))</f>
        <v>0.96</v>
      </c>
      <c r="G34" s="166" t="s">
        <v>1464</v>
      </c>
    </row>
    <row r="35" spans="1:7" ht="13.5" customHeight="1">
      <c r="A35" s="189" t="s">
        <v>1406</v>
      </c>
      <c r="B35" s="162" t="s">
        <v>1465</v>
      </c>
      <c r="C35" s="167">
        <f ca="1">ROUND(C34*F35,0)</f>
        <v>24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45</v>
      </c>
      <c r="D37" s="164">
        <f ca="1">D19</f>
        <v>2338.25</v>
      </c>
      <c r="E37" s="202">
        <f>'数据-取费表'!B35</f>
        <v>200</v>
      </c>
      <c r="F37" s="211"/>
      <c r="G37" s="213" t="s">
        <v>1470</v>
      </c>
    </row>
    <row r="38" spans="1:7" ht="13.5" customHeight="1">
      <c r="A38" s="189" t="s">
        <v>1471</v>
      </c>
      <c r="B38" s="162" t="s">
        <v>878</v>
      </c>
      <c r="C38" s="167">
        <f ca="1">ROUND(C34*F38,0)</f>
        <v>12</v>
      </c>
      <c r="D38" s="167"/>
      <c r="E38" s="167"/>
      <c r="F38" s="211">
        <f>'数据-取费表'!B36</f>
        <v>1.4999999999999999E-2</v>
      </c>
      <c r="G38" s="166" t="s">
        <v>1466</v>
      </c>
    </row>
    <row r="39" spans="1:7" s="138" customFormat="1" ht="13.5" customHeight="1">
      <c r="A39" s="156" t="s">
        <v>1431</v>
      </c>
      <c r="B39" s="157" t="s">
        <v>1435</v>
      </c>
      <c r="C39" s="181">
        <f ca="1">ROUND(C33*F20,0)</f>
        <v>17</v>
      </c>
      <c r="D39" s="181"/>
      <c r="E39" s="181"/>
      <c r="F39" s="2098">
        <f>F20</f>
        <v>0.02</v>
      </c>
      <c r="G39" s="186" t="s">
        <v>1472</v>
      </c>
    </row>
    <row r="40" spans="1:7" s="138" customFormat="1" ht="13.5" customHeight="1">
      <c r="A40" s="156" t="s">
        <v>1434</v>
      </c>
      <c r="B40" s="157" t="s">
        <v>1438</v>
      </c>
      <c r="C40" s="184">
        <f>F21</f>
        <v>0.02</v>
      </c>
      <c r="D40" s="185" t="s">
        <v>1473</v>
      </c>
      <c r="E40" s="181"/>
      <c r="F40" s="2098">
        <f>F21</f>
        <v>0.02</v>
      </c>
      <c r="G40" s="186" t="s">
        <v>1474</v>
      </c>
    </row>
    <row r="41" spans="1:7" s="138" customFormat="1" ht="13.5" customHeight="1">
      <c r="A41" s="156" t="s">
        <v>1437</v>
      </c>
      <c r="B41" s="157" t="s">
        <v>1442</v>
      </c>
      <c r="C41" s="181">
        <f ca="1">ROUND(SUM(C42:C43),0)</f>
        <v>44</v>
      </c>
      <c r="D41" s="184">
        <f>C44</f>
        <v>1E-3</v>
      </c>
      <c r="E41" s="185" t="s">
        <v>1473</v>
      </c>
      <c r="F41" s="2099">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43</v>
      </c>
      <c r="D42" s="191"/>
      <c r="E42" s="191"/>
      <c r="F42" s="192"/>
      <c r="G42" s="3312" t="s">
        <v>1475</v>
      </c>
    </row>
    <row r="43" spans="1:7" ht="13.5" customHeight="1">
      <c r="A43" s="189" t="s">
        <v>1406</v>
      </c>
      <c r="B43" s="162" t="s">
        <v>1445</v>
      </c>
      <c r="C43" s="191">
        <f ca="1">ROUND(IF('数据-取费表'!B22&lt;=1,C39*F22*'数据-取费表'!B21/2,C39*(POWER((1+F22),'数据-取费表'!B21/2)-1)),0)</f>
        <v>1</v>
      </c>
      <c r="D43" s="191"/>
      <c r="E43" s="191"/>
      <c r="F43" s="192"/>
      <c r="G43" s="3313"/>
    </row>
    <row r="44" spans="1:7" ht="13.5" customHeight="1">
      <c r="A44" s="189" t="s">
        <v>1408</v>
      </c>
      <c r="B44" s="162" t="s">
        <v>1447</v>
      </c>
      <c r="C44" s="191">
        <f>ROUND(IF('数据-取费表'!B22&lt;=1,C40*F22*'数据-取费表'!B21/2,C40*(POWER((1+F22),'数据-取费表'!B21/2)-1)),4)</f>
        <v>1E-3</v>
      </c>
      <c r="D44" s="191"/>
      <c r="E44" s="191"/>
      <c r="F44" s="192"/>
      <c r="G44" s="3314"/>
    </row>
    <row r="45" spans="1:7" s="138" customFormat="1" ht="13.5" customHeight="1">
      <c r="A45" s="156" t="s">
        <v>1441</v>
      </c>
      <c r="B45" s="197" t="s">
        <v>1452</v>
      </c>
      <c r="C45" s="198">
        <f ca="1">C46</f>
        <v>177</v>
      </c>
      <c r="D45" s="184">
        <f ca="1">C47</f>
        <v>4.0000000000000001E-3</v>
      </c>
      <c r="E45" s="185" t="s">
        <v>1473</v>
      </c>
      <c r="F45" s="2100">
        <f ca="1">F27</f>
        <v>0.2</v>
      </c>
      <c r="G45" s="200" t="s">
        <v>1476</v>
      </c>
    </row>
    <row r="46" spans="1:7" s="138" customFormat="1" ht="13.5" customHeight="1">
      <c r="A46" s="189" t="s">
        <v>1404</v>
      </c>
      <c r="B46" s="201" t="s">
        <v>1477</v>
      </c>
      <c r="C46" s="202">
        <f ca="1">ROUND((C33+C39)*F27,0)</f>
        <v>177</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099">
        <f>F30</f>
        <v>5.5E-2</v>
      </c>
      <c r="G48" s="186" t="s">
        <v>1479</v>
      </c>
    </row>
    <row r="49" spans="1:7" ht="16.5" customHeight="1">
      <c r="A49" s="156" t="s">
        <v>1456</v>
      </c>
      <c r="B49" s="157" t="s">
        <v>1480</v>
      </c>
      <c r="C49" s="181">
        <f ca="1">ROUND((C33+C39+C41+C45)/(1-C40-D41-D45-C48),0)</f>
        <v>1197</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1197</v>
      </c>
      <c r="D51" s="181"/>
      <c r="E51" s="181"/>
      <c r="F51" s="216"/>
      <c r="G51" s="186" t="s">
        <v>1487</v>
      </c>
    </row>
    <row r="52" spans="1:7" s="137" customFormat="1" ht="16.5" thickBot="1">
      <c r="A52" s="217" t="s">
        <v>1488</v>
      </c>
      <c r="B52" s="218"/>
      <c r="C52" s="219">
        <f ca="1">C31+C51</f>
        <v>6577</v>
      </c>
      <c r="D52" s="218"/>
      <c r="E52" s="218"/>
      <c r="F52" s="218"/>
      <c r="G52" s="220"/>
    </row>
    <row r="55" spans="1:7" ht="15">
      <c r="B55" s="221" t="s">
        <v>1489</v>
      </c>
      <c r="C55" s="222"/>
    </row>
    <row r="56" spans="1:7">
      <c r="B56" s="223" t="s">
        <v>1490</v>
      </c>
      <c r="C56" s="225">
        <f ca="1">1-C57</f>
        <v>0.81800000000000006</v>
      </c>
    </row>
    <row r="57" spans="1:7">
      <c r="B57" s="223" t="s">
        <v>1491</v>
      </c>
      <c r="C57" s="224">
        <f ca="1">ROUND(C51/C52,3)</f>
        <v>0.182</v>
      </c>
    </row>
  </sheetData>
  <sheetProtection password="CEE9" sheet="1" objects="1" scenarios="1" formatCells="0"/>
  <mergeCells count="1">
    <mergeCell ref="G42:G44"/>
  </mergeCells>
  <phoneticPr fontId="215"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3" customWidth="1"/>
    <col min="2" max="16384" width="9" style="463"/>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72308.93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72308.93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本次评估采用的主估价方法为成本法和假设开发法。</v>
      </c>
    </row>
    <row r="25" spans="1:1" ht="18">
      <c r="A25" s="2994"/>
    </row>
    <row r="26" spans="1:1" ht="18.75">
      <c r="A26" s="3025" t="s">
        <v>93</v>
      </c>
    </row>
    <row r="27" spans="1:1">
      <c r="A27" s="1362"/>
    </row>
    <row r="28" spans="1:1">
      <c r="A28" s="1362"/>
    </row>
    <row r="29" spans="1:1">
      <c r="A29" s="1362"/>
    </row>
    <row r="30" spans="1:1">
      <c r="A30" s="1362"/>
    </row>
    <row r="31" spans="1:1">
      <c r="A31" s="1362"/>
    </row>
    <row r="32" spans="1:1">
      <c r="A32" s="1362"/>
    </row>
    <row r="33" spans="1:1">
      <c r="A33" s="1362"/>
    </row>
    <row r="34" spans="1:1">
      <c r="A34" s="1362"/>
    </row>
    <row r="35" spans="1:1">
      <c r="A35" s="1362"/>
    </row>
    <row r="36" spans="1:1">
      <c r="A36" s="1362"/>
    </row>
    <row r="37" spans="1:1">
      <c r="A37" s="1362"/>
    </row>
    <row r="38" spans="1:1">
      <c r="A38" s="1362"/>
    </row>
    <row r="39" spans="1:1">
      <c r="A39" s="1362"/>
    </row>
    <row r="40" spans="1:1">
      <c r="A40" s="1362"/>
    </row>
    <row r="41" spans="1:1">
      <c r="A41" s="1362"/>
    </row>
    <row r="42" spans="1:1">
      <c r="A42" s="1362"/>
    </row>
    <row r="43" spans="1:1">
      <c r="A43" s="1362"/>
    </row>
    <row r="44" spans="1:1">
      <c r="A44" s="1362"/>
    </row>
    <row r="45" spans="1:1">
      <c r="A45" s="1362"/>
    </row>
    <row r="46" spans="1:1">
      <c r="A46" s="1362"/>
    </row>
    <row r="47" spans="1:1">
      <c r="A47" s="1362"/>
    </row>
    <row r="48" spans="1:1">
      <c r="A48" s="1362"/>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10" zoomScale="85" zoomScaleNormal="70" workbookViewId="0">
      <selection activeCell="K42" sqref="K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5"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3" customFormat="1" ht="21">
      <c r="A1" s="1606" t="s">
        <v>1610</v>
      </c>
      <c r="B1" s="1080"/>
      <c r="C1" s="1607" t="s">
        <v>466</v>
      </c>
      <c r="D1" s="1608" t="s">
        <v>4272</v>
      </c>
      <c r="E1" s="1609" t="s">
        <v>1611</v>
      </c>
      <c r="F1" s="1610">
        <f ca="1">J53</f>
        <v>35.160000000000004</v>
      </c>
      <c r="G1" s="1611">
        <f>MATCH(C1,'数据-取费表'!A6:A16,0)+5</f>
        <v>7</v>
      </c>
      <c r="H1" s="1612"/>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spans="1:37" ht="18" customHeight="1">
      <c r="A2" s="1446" t="s">
        <v>1612</v>
      </c>
      <c r="B2" s="1613">
        <f ca="1">C40+J29+L46</f>
        <v>3592</v>
      </c>
      <c r="C2" s="1614" t="s">
        <v>1613</v>
      </c>
      <c r="D2" s="1614"/>
      <c r="E2" s="1616"/>
      <c r="F2" s="1617"/>
      <c r="G2" s="1618"/>
      <c r="H2" s="1619"/>
      <c r="I2" s="1619"/>
      <c r="J2" s="1619"/>
      <c r="K2" s="1773"/>
      <c r="L2" s="1619"/>
      <c r="M2" s="1619"/>
    </row>
    <row r="3" spans="1:37" ht="18" customHeight="1">
      <c r="A3" s="1620" t="s">
        <v>1614</v>
      </c>
      <c r="B3" s="1621">
        <f ca="1">IF(ISERROR(B2*10000/F43),0,ROUND(B2*10000/F43,0))</f>
        <v>15362</v>
      </c>
      <c r="C3" s="1614" t="s">
        <v>1615</v>
      </c>
      <c r="D3" s="1614"/>
      <c r="E3" s="1616"/>
      <c r="F3" s="1617"/>
      <c r="G3" s="1618"/>
      <c r="H3" s="1622" t="s">
        <v>1616</v>
      </c>
      <c r="I3" s="1774"/>
      <c r="J3" s="1774"/>
      <c r="K3" s="1775"/>
      <c r="L3" s="1774"/>
      <c r="M3" s="1774"/>
    </row>
    <row r="4" spans="1:37" ht="18" customHeight="1">
      <c r="A4" s="1623" t="s">
        <v>1617</v>
      </c>
      <c r="B4" s="1624" t="s">
        <v>1618</v>
      </c>
      <c r="C4" s="1624" t="s">
        <v>1619</v>
      </c>
      <c r="D4" s="1624" t="s">
        <v>1620</v>
      </c>
      <c r="E4" s="1625" t="s">
        <v>1621</v>
      </c>
      <c r="F4" s="1626"/>
      <c r="G4" s="730"/>
      <c r="H4" s="1623" t="s">
        <v>1617</v>
      </c>
      <c r="I4" s="1624" t="s">
        <v>1618</v>
      </c>
      <c r="J4" s="1624" t="s">
        <v>1619</v>
      </c>
      <c r="K4" s="1624" t="s">
        <v>1620</v>
      </c>
      <c r="L4" s="1625" t="s">
        <v>1621</v>
      </c>
      <c r="M4" s="1626"/>
    </row>
    <row r="5" spans="1:37" ht="18" customHeight="1">
      <c r="A5" s="1627">
        <v>1</v>
      </c>
      <c r="B5" s="1628" t="s">
        <v>1622</v>
      </c>
      <c r="C5" s="1629">
        <f ca="1">C6+C10+C12</f>
        <v>230</v>
      </c>
      <c r="D5" s="1630" t="s">
        <v>1623</v>
      </c>
      <c r="E5" s="1631"/>
      <c r="F5" s="1632"/>
      <c r="G5" s="730"/>
      <c r="H5" s="1627">
        <v>1</v>
      </c>
      <c r="I5" s="1628" t="s">
        <v>1622</v>
      </c>
      <c r="J5" s="1629">
        <f ca="1">J6+J10+J12</f>
        <v>0</v>
      </c>
      <c r="K5" s="1630" t="s">
        <v>1623</v>
      </c>
      <c r="L5" s="1631"/>
      <c r="M5" s="1632"/>
    </row>
    <row r="6" spans="1:37" ht="18" customHeight="1">
      <c r="A6" s="1633" t="s">
        <v>846</v>
      </c>
      <c r="B6" s="3381" t="s">
        <v>1624</v>
      </c>
      <c r="C6" s="1634">
        <f ca="1">ROUND(F6*F8*F7*(1-F9)/10000,0)</f>
        <v>230</v>
      </c>
      <c r="D6" s="1635" t="s">
        <v>1625</v>
      </c>
      <c r="E6" s="1636" t="s">
        <v>1626</v>
      </c>
      <c r="F6" s="1637">
        <f ca="1">INDIRECT("'数据-取费表'!u"&amp;$G$1)</f>
        <v>3</v>
      </c>
      <c r="G6" s="730"/>
      <c r="H6" s="1633" t="s">
        <v>846</v>
      </c>
      <c r="I6" s="3381" t="s">
        <v>1624</v>
      </c>
      <c r="J6" s="1707">
        <f ca="1">ROUND(M6*M8*M7*(1-M9)/10000,0)</f>
        <v>0</v>
      </c>
      <c r="K6" s="1635" t="s">
        <v>1627</v>
      </c>
      <c r="L6" s="1636" t="s">
        <v>1626</v>
      </c>
      <c r="M6" s="1637">
        <f ca="1">INDIRECT("'数据-取费表'!z"&amp;$G$1)</f>
        <v>0</v>
      </c>
    </row>
    <row r="7" spans="1:37" ht="18" customHeight="1">
      <c r="A7" s="1638"/>
      <c r="B7" s="3382"/>
      <c r="C7" s="1639"/>
      <c r="D7" s="1640"/>
      <c r="E7" s="1641" t="s">
        <v>1628</v>
      </c>
      <c r="F7" s="1637">
        <f ca="1">IF(INDIRECT("'数据-取费表'!ah"&amp;$G$1)="",INDIRECT("'数据-取费表'!k"&amp;$G$1),INDIRECT("'数据-取费表'!ah"&amp;$G$1))</f>
        <v>2338.25</v>
      </c>
      <c r="G7" s="730"/>
      <c r="H7" s="1642"/>
      <c r="I7" s="3382"/>
      <c r="J7" s="1643"/>
      <c r="K7" s="1640"/>
      <c r="L7" s="1636" t="s">
        <v>1628</v>
      </c>
      <c r="M7" s="1637">
        <f ca="1">F7</f>
        <v>2338.25</v>
      </c>
    </row>
    <row r="8" spans="1:37" ht="18" customHeight="1">
      <c r="A8" s="1642"/>
      <c r="B8" s="3382"/>
      <c r="C8" s="1643"/>
      <c r="D8" s="1640"/>
      <c r="E8" s="1636" t="s">
        <v>1629</v>
      </c>
      <c r="F8" s="1637">
        <f ca="1">INDIRECT("'数据-取费表'!ai"&amp;$G$1)</f>
        <v>365</v>
      </c>
      <c r="G8" s="730"/>
      <c r="H8" s="1642"/>
      <c r="I8" s="3382"/>
      <c r="J8" s="1643"/>
      <c r="K8" s="1640"/>
      <c r="L8" s="1636" t="s">
        <v>1629</v>
      </c>
      <c r="M8" s="1637">
        <f ca="1">INDIRECT("'数据-取费表'!ai"&amp;$G$1)</f>
        <v>365</v>
      </c>
    </row>
    <row r="9" spans="1:37" ht="18" customHeight="1">
      <c r="A9" s="1642"/>
      <c r="B9" s="3383"/>
      <c r="C9" s="1643"/>
      <c r="D9" s="1640"/>
      <c r="E9" s="1636" t="s">
        <v>1630</v>
      </c>
      <c r="F9" s="1644">
        <f ca="1">INDIRECT("'数据-取费表'!w"&amp;$G$1)</f>
        <v>0.1</v>
      </c>
      <c r="G9" s="730"/>
      <c r="H9" s="1642"/>
      <c r="I9" s="3383"/>
      <c r="J9" s="1643"/>
      <c r="K9" s="1640"/>
      <c r="L9" s="1647" t="s">
        <v>1630</v>
      </c>
      <c r="M9" s="1652">
        <f ca="1">INDIRECT("'数据-取费表'!ab"&amp;$G$1)</f>
        <v>0</v>
      </c>
    </row>
    <row r="10" spans="1:37" ht="18" customHeight="1">
      <c r="A10" s="1633" t="s">
        <v>850</v>
      </c>
      <c r="B10" s="1645" t="s">
        <v>1631</v>
      </c>
      <c r="C10" s="284">
        <f ca="1">ROUND(IF(F10="押一",C6/12*F11,IF(F10="押二",C6/12*2*F11,IF(F10="押三",C6/12*3*F11,C11*F11))),0)</f>
        <v>0</v>
      </c>
      <c r="D10" s="1646" t="s">
        <v>1632</v>
      </c>
      <c r="E10" s="1647" t="s">
        <v>1633</v>
      </c>
      <c r="F10" s="1648" t="s">
        <v>1634</v>
      </c>
      <c r="G10" s="730"/>
      <c r="H10" s="1633" t="s">
        <v>850</v>
      </c>
      <c r="I10" s="1645" t="s">
        <v>1631</v>
      </c>
      <c r="J10" s="1707">
        <f ca="1">ROUND(IF(M10="押一",J6/12*M11,IF(M10="押二",J6/12*2*M11,IF(M10="押三",J6/12*3*M11,J11*M11))),0)</f>
        <v>0</v>
      </c>
      <c r="K10" s="1646" t="s">
        <v>1632</v>
      </c>
      <c r="L10" s="1647" t="s">
        <v>1633</v>
      </c>
      <c r="M10" s="1648" t="s">
        <v>1635</v>
      </c>
    </row>
    <row r="11" spans="1:37" ht="18" customHeight="1">
      <c r="A11" s="1649"/>
      <c r="B11" s="1650" t="s">
        <v>1636</v>
      </c>
      <c r="C11" s="1651"/>
      <c r="D11" s="1874"/>
      <c r="E11" s="1647" t="s">
        <v>1637</v>
      </c>
      <c r="F11" s="1652">
        <f ca="1">'数据-取费表'!B39</f>
        <v>1.4999999999999999E-2</v>
      </c>
      <c r="G11" s="730"/>
      <c r="H11" s="1653"/>
      <c r="I11" s="1650" t="s">
        <v>1636</v>
      </c>
      <c r="J11" s="1651"/>
      <c r="K11" s="1778"/>
      <c r="L11" s="1647" t="s">
        <v>1637</v>
      </c>
      <c r="M11" s="1779">
        <f ca="1">'数据-取费表'!B39</f>
        <v>1.4999999999999999E-2</v>
      </c>
    </row>
    <row r="12" spans="1:37" ht="18" customHeight="1">
      <c r="A12" s="1654" t="s">
        <v>898</v>
      </c>
      <c r="B12" s="1655" t="s">
        <v>1638</v>
      </c>
      <c r="C12" s="1656"/>
      <c r="D12" s="1657"/>
      <c r="E12" s="1658"/>
      <c r="F12" s="1659"/>
      <c r="G12" s="730"/>
      <c r="H12" s="1654" t="s">
        <v>898</v>
      </c>
      <c r="I12" s="1655" t="s">
        <v>1638</v>
      </c>
      <c r="J12" s="1656"/>
      <c r="K12" s="1780"/>
      <c r="L12" s="1658"/>
      <c r="M12" s="1781"/>
    </row>
    <row r="13" spans="1:37" ht="18" customHeight="1">
      <c r="A13" s="1660">
        <v>2</v>
      </c>
      <c r="B13" s="1661" t="s">
        <v>1639</v>
      </c>
      <c r="C13" s="1662">
        <f ca="1">ROUND(C29*F13,0)</f>
        <v>1249</v>
      </c>
      <c r="D13" s="1663" t="s">
        <v>1640</v>
      </c>
      <c r="E13" s="1663" t="s">
        <v>1641</v>
      </c>
      <c r="F13" s="1664">
        <f ca="1">INDIRECT("'数据-取费表'!y"&amp;$G$1)</f>
        <v>1</v>
      </c>
      <c r="G13" s="730"/>
      <c r="H13" s="1660">
        <v>2</v>
      </c>
      <c r="I13" s="1661" t="s">
        <v>1639</v>
      </c>
      <c r="J13" s="1782">
        <f ca="1">ROUND(J14*J15,0)</f>
        <v>0</v>
      </c>
      <c r="K13" s="1685" t="s">
        <v>1640</v>
      </c>
      <c r="L13" s="1783"/>
      <c r="M13" s="1784"/>
    </row>
    <row r="14" spans="1:37" ht="18" customHeight="1">
      <c r="A14" s="1665" t="s">
        <v>869</v>
      </c>
      <c r="B14" s="1636" t="s">
        <v>1642</v>
      </c>
      <c r="C14" s="1666">
        <f ca="1">INDIRECT("'数据-取费表'!m"&amp;$G$1)+INDIRECT("'数据-取费表'!t"&amp;$G$1)</f>
        <v>818</v>
      </c>
      <c r="D14" s="1667" t="s">
        <v>1643</v>
      </c>
      <c r="E14" s="1668"/>
      <c r="F14" s="1669"/>
      <c r="G14" s="730"/>
      <c r="H14" s="1665" t="s">
        <v>846</v>
      </c>
      <c r="I14" s="1636" t="s">
        <v>1644</v>
      </c>
      <c r="J14" s="285">
        <f ca="1">C29</f>
        <v>1249</v>
      </c>
      <c r="K14" s="1785"/>
      <c r="L14" s="1786"/>
      <c r="M14" s="1787"/>
    </row>
    <row r="15" spans="1:37" s="1604" customFormat="1" ht="18" customHeight="1">
      <c r="A15" s="1665" t="s">
        <v>873</v>
      </c>
      <c r="B15" s="1636" t="s">
        <v>1512</v>
      </c>
      <c r="C15" s="285">
        <f ca="1">ROUND(C14*F15,0)</f>
        <v>25</v>
      </c>
      <c r="D15" s="1670" t="s">
        <v>1645</v>
      </c>
      <c r="E15" s="1670" t="s">
        <v>1646</v>
      </c>
      <c r="F15" s="1671">
        <f>'数据-取费表'!B33</f>
        <v>0.03</v>
      </c>
      <c r="G15" s="1672"/>
      <c r="H15" s="1673" t="s">
        <v>850</v>
      </c>
      <c r="I15" s="1658" t="s">
        <v>1641</v>
      </c>
      <c r="J15" s="1781">
        <f ca="1">INDIRECT("'数据-取费表'!ad"&amp;$G$1)</f>
        <v>0</v>
      </c>
      <c r="K15" s="1788"/>
      <c r="L15" s="1789"/>
      <c r="M15" s="1790"/>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665" t="s">
        <v>877</v>
      </c>
      <c r="B16" s="1636" t="s">
        <v>1515</v>
      </c>
      <c r="C16" s="285">
        <f ca="1">ROUND(INDIRECT("'数据-取费表'!m"&amp;$G$1)*F16,0)</f>
        <v>0</v>
      </c>
      <c r="D16" s="1636" t="s">
        <v>1645</v>
      </c>
      <c r="E16" s="1636" t="s">
        <v>1646</v>
      </c>
      <c r="F16" s="1674">
        <f ca="1">IF(INDIRECT("'数据-取费表'!c"&amp;$G$1)="住宅",'数据-取费表'!B34,0)</f>
        <v>0</v>
      </c>
      <c r="G16" s="730"/>
      <c r="H16" s="1660" t="s">
        <v>1647</v>
      </c>
      <c r="I16" s="1661" t="s">
        <v>1648</v>
      </c>
      <c r="J16" s="1662">
        <f ca="1">ROUND(J17+J22+J23+J24,0)</f>
        <v>20</v>
      </c>
      <c r="K16" s="1685" t="s">
        <v>1649</v>
      </c>
      <c r="L16" s="1686"/>
      <c r="M16" s="1632"/>
    </row>
    <row r="17" spans="1:37" s="1604" customFormat="1" ht="18" customHeight="1">
      <c r="A17" s="1665" t="s">
        <v>1650</v>
      </c>
      <c r="B17" s="1636" t="s">
        <v>1651</v>
      </c>
      <c r="C17" s="285">
        <f ca="1">ROUND(F17*(F43+INDIRECT("'数据-取费表'!S"&amp;$G$1))/10000,0)</f>
        <v>47</v>
      </c>
      <c r="D17" s="1636" t="s">
        <v>1652</v>
      </c>
      <c r="E17" s="1636" t="s">
        <v>1653</v>
      </c>
      <c r="F17" s="1675">
        <f>'数据-取费表'!B35</f>
        <v>200</v>
      </c>
      <c r="G17" s="1672"/>
      <c r="H17" s="1665" t="s">
        <v>846</v>
      </c>
      <c r="I17" s="1636" t="s">
        <v>1654</v>
      </c>
      <c r="J17" s="1688">
        <f ca="1">ROUND(IF(AND(项目基本情况!B11="自然人",项目基本情况!B10="北京市"),J6*M17/(1+'数据-取费表'!C42),J18+J19+J20),0)</f>
        <v>10</v>
      </c>
      <c r="K17" s="1667" t="s">
        <v>1655</v>
      </c>
      <c r="L17" s="1689" t="s">
        <v>1656</v>
      </c>
      <c r="M17" s="1690" t="str">
        <f>IF(项目基本情况!B11="企业","",IF('数据-取费表'!B10="住宅",IF(M6*M7*M8/12/(1+'数据-取费表'!F30)&gt;100000,4%,2.5%),IF(M6*M7*M8/12/(1+'数据-取费表'!F30)&gt;100000,12%,7%)))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04" customFormat="1" ht="18" customHeight="1">
      <c r="A18" s="1665" t="s">
        <v>1657</v>
      </c>
      <c r="B18" s="1636" t="s">
        <v>1521</v>
      </c>
      <c r="C18" s="285">
        <f ca="1">ROUND(C14*F18,0)</f>
        <v>12</v>
      </c>
      <c r="D18" s="1636" t="s">
        <v>1645</v>
      </c>
      <c r="E18" s="1636" t="s">
        <v>1646</v>
      </c>
      <c r="F18" s="1674">
        <f>'数据-取费表'!B36</f>
        <v>1.4999999999999999E-2</v>
      </c>
      <c r="G18" s="1672"/>
      <c r="H18" s="1665" t="s">
        <v>869</v>
      </c>
      <c r="I18" s="1636" t="s">
        <v>1658</v>
      </c>
      <c r="J18" s="285">
        <f ca="1">ROUND(J6*M18/(1+'数据-取费表'!C42),2)</f>
        <v>0</v>
      </c>
      <c r="K18" s="1689" t="s">
        <v>1659</v>
      </c>
      <c r="L18" s="1636" t="s">
        <v>1646</v>
      </c>
      <c r="M18" s="1674">
        <f>'数据-取费表'!B41</f>
        <v>5.5E-2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665" t="s">
        <v>846</v>
      </c>
      <c r="B19" s="1636" t="s">
        <v>1660</v>
      </c>
      <c r="C19" s="285">
        <f ca="1">SUM(C14:C18)</f>
        <v>902</v>
      </c>
      <c r="D19" s="1676" t="s">
        <v>1661</v>
      </c>
      <c r="E19" s="287"/>
      <c r="F19" s="1675"/>
      <c r="G19" s="730"/>
      <c r="H19" s="1665" t="s">
        <v>873</v>
      </c>
      <c r="I19" s="1636" t="s">
        <v>1662</v>
      </c>
      <c r="J19" s="285">
        <f ca="1">IF(K19="按租金收入计税",ROUND(J6*M19/(1+'数据-取费表'!C42),2),ROUND(C29*M19*0.7,2))</f>
        <v>10.49</v>
      </c>
      <c r="K19" s="1692" t="s">
        <v>1663</v>
      </c>
      <c r="L19" s="1636" t="s">
        <v>1646</v>
      </c>
      <c r="M19" s="1674">
        <f>IF(K19="按租金收入计税",'数据-取费表'!B51,'数据-取费表'!B50)</f>
        <v>1.2E-2</v>
      </c>
    </row>
    <row r="20" spans="1:37" s="1604" customFormat="1" ht="18" customHeight="1">
      <c r="A20" s="1665" t="s">
        <v>850</v>
      </c>
      <c r="B20" s="1636" t="s">
        <v>1664</v>
      </c>
      <c r="C20" s="285">
        <f ca="1">ROUND(C19*F20,0)</f>
        <v>18</v>
      </c>
      <c r="D20" s="1677" t="s">
        <v>1665</v>
      </c>
      <c r="E20" s="1636" t="s">
        <v>1646</v>
      </c>
      <c r="F20" s="1674">
        <f>'数据-取费表'!B37</f>
        <v>0.02</v>
      </c>
      <c r="G20" s="1672"/>
      <c r="H20" s="1665" t="s">
        <v>877</v>
      </c>
      <c r="I20" s="1635" t="s">
        <v>1666</v>
      </c>
      <c r="J20" s="1694">
        <f ca="1">ROUND(M20*M21/10000,2)</f>
        <v>0</v>
      </c>
      <c r="K20" s="1695" t="s">
        <v>1667</v>
      </c>
      <c r="L20" s="1636" t="s">
        <v>1668</v>
      </c>
      <c r="M20" s="1679">
        <f>'数据-取费表'!B52</f>
        <v>1.5</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04" customFormat="1" ht="18" customHeight="1">
      <c r="A21" s="1665" t="s">
        <v>898</v>
      </c>
      <c r="B21" s="1636" t="s">
        <v>1669</v>
      </c>
      <c r="C21" s="285" t="s">
        <v>124</v>
      </c>
      <c r="D21" s="1677" t="s">
        <v>1670</v>
      </c>
      <c r="E21" s="1636" t="s">
        <v>1671</v>
      </c>
      <c r="F21" s="1674">
        <f>'数据-取费表'!B38</f>
        <v>0.02</v>
      </c>
      <c r="G21" s="1672"/>
      <c r="H21" s="1678"/>
      <c r="I21" s="1791"/>
      <c r="J21" s="1698"/>
      <c r="K21" s="1699"/>
      <c r="L21" s="1636" t="s">
        <v>1672</v>
      </c>
      <c r="M21" s="1637">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665" t="s">
        <v>901</v>
      </c>
      <c r="B22" s="1636" t="s">
        <v>1673</v>
      </c>
      <c r="C22" s="285"/>
      <c r="D22" s="1676" t="str">
        <f>IF(F23&lt;=1,"单利计息。","复利计息。")&amp;"建造成本、管理费用、销售费用产生的利息。"</f>
        <v>复利计息。建造成本、管理费用、销售费用产生的利息。</v>
      </c>
      <c r="E22" s="287"/>
      <c r="F22" s="1675"/>
      <c r="G22" s="730"/>
      <c r="H22" s="1665" t="s">
        <v>850</v>
      </c>
      <c r="I22" s="1636" t="s">
        <v>1674</v>
      </c>
      <c r="J22" s="285">
        <f ca="1">ROUND(J14*M22,1)</f>
        <v>10</v>
      </c>
      <c r="K22" s="1689" t="s">
        <v>1675</v>
      </c>
      <c r="L22" s="1636" t="s">
        <v>1646</v>
      </c>
      <c r="M22" s="1701">
        <f ca="1">INDIRECT("'数据-取费表'!Ak"&amp;$G$1)</f>
        <v>8.0000000000000002E-3</v>
      </c>
    </row>
    <row r="23" spans="1:37" s="1604" customFormat="1" ht="18" customHeight="1">
      <c r="A23" s="1665" t="s">
        <v>869</v>
      </c>
      <c r="B23" s="1636" t="s">
        <v>1676</v>
      </c>
      <c r="C23" s="285">
        <f ca="1">IF('数据-取费表'!B22&lt;=1,ROUND(C19*F24*F23/2,0)+ROUND(C20*F24*F23/2,0),ROUND(C19*(POWER((1+F24),F23/2)-1),0)+ROUND(C20*(POWER((1+F24),F23/2)-1),0))</f>
        <v>48</v>
      </c>
      <c r="D23" s="233" t="str">
        <f>IF(F23&lt;=1,"(建造成本+管理费用)×利率×(建设周期÷2)","(建造成本+管理费用)×((1+利率)^(建设周期÷2)-1)")</f>
        <v>(建造成本+管理费用)×((1+利率)^(建设周期÷2)-1)</v>
      </c>
      <c r="E23" s="1636" t="s">
        <v>1677</v>
      </c>
      <c r="F23" s="1679">
        <f>'数据-取费表'!B20</f>
        <v>3</v>
      </c>
      <c r="G23" s="1672"/>
      <c r="H23" s="1665" t="s">
        <v>898</v>
      </c>
      <c r="I23" s="1636" t="s">
        <v>1678</v>
      </c>
      <c r="J23" s="285">
        <f ca="1">ROUND(J13*M23,1)</f>
        <v>0</v>
      </c>
      <c r="K23" s="1689" t="s">
        <v>1679</v>
      </c>
      <c r="L23" s="1636" t="s">
        <v>1646</v>
      </c>
      <c r="M23" s="1702">
        <f ca="1">INDIRECT("'数据-取费表'!Al"&amp;$G$1)</f>
        <v>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04" customFormat="1" ht="18" customHeight="1">
      <c r="A24" s="1665" t="s">
        <v>873</v>
      </c>
      <c r="B24" s="1636" t="s">
        <v>1680</v>
      </c>
      <c r="C24" s="285">
        <f>ROUND(IF('数据-取费表'!B22&lt;=1,F21*F24*F23/2,F21*(POWER((1+F24),F23/2)-1)),4)</f>
        <v>1E-3</v>
      </c>
      <c r="D24" s="233" t="str">
        <f>IF(F23&lt;=1,"销售费用×利率×(建设周期÷2)","销售费用×((1+利率)^(建设周期÷2)-1)")</f>
        <v>销售费用×((1+利率)^(建设周期÷2)-1)</v>
      </c>
      <c r="E24" s="1636" t="s">
        <v>1681</v>
      </c>
      <c r="F24" s="1680">
        <f>'数据-取费表'!B40</f>
        <v>3.4500000000000003E-2</v>
      </c>
      <c r="G24" s="1672"/>
      <c r="H24" s="1673" t="s">
        <v>901</v>
      </c>
      <c r="I24" s="1658" t="s">
        <v>1664</v>
      </c>
      <c r="J24" s="1681">
        <f ca="1">ROUND(J5*M24,1)</f>
        <v>0</v>
      </c>
      <c r="K24" s="1682" t="s">
        <v>1682</v>
      </c>
      <c r="L24" s="1658" t="s">
        <v>1646</v>
      </c>
      <c r="M24" s="1659">
        <f ca="1">INDIRECT("'数据-取费表'!Am"&amp;$G$1)</f>
        <v>8.0000000000000002E-3</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665" t="s">
        <v>905</v>
      </c>
      <c r="B25" s="1636" t="s">
        <v>1683</v>
      </c>
      <c r="C25" s="285"/>
      <c r="D25" s="1676" t="s">
        <v>1684</v>
      </c>
      <c r="E25" s="287"/>
      <c r="F25" s="1675"/>
      <c r="G25" s="730"/>
      <c r="H25" s="1660" t="s">
        <v>1685</v>
      </c>
      <c r="I25" s="1703" t="s">
        <v>1686</v>
      </c>
      <c r="J25" s="1662">
        <f ca="1">J5-J16</f>
        <v>-20</v>
      </c>
      <c r="K25" s="1704" t="s">
        <v>1687</v>
      </c>
      <c r="L25" s="1705"/>
      <c r="M25" s="1706"/>
    </row>
    <row r="26" spans="1:37">
      <c r="A26" s="1665" t="s">
        <v>869</v>
      </c>
      <c r="B26" s="1636" t="s">
        <v>1688</v>
      </c>
      <c r="C26" s="285">
        <f ca="1">ROUND((C19+C20)*F26,0)</f>
        <v>184</v>
      </c>
      <c r="D26" s="1677" t="s">
        <v>1689</v>
      </c>
      <c r="E26" s="1647" t="s">
        <v>1690</v>
      </c>
      <c r="F26" s="1644">
        <f ca="1">INDIRECT("'数据-取费表'!q"&amp;$G$1)</f>
        <v>0.2</v>
      </c>
      <c r="G26" s="730"/>
      <c r="H26" s="1627" t="s">
        <v>1691</v>
      </c>
      <c r="I26" s="1628" t="s">
        <v>1692</v>
      </c>
      <c r="J26" s="1707">
        <f ca="1">IF(J5&lt;&gt;0,ROUND(J25*(1-((1+M28)/(1+M26))^M27)/(M26-M28),0),0)</f>
        <v>0</v>
      </c>
      <c r="K26" s="1695" t="s">
        <v>1693</v>
      </c>
      <c r="L26" s="1636" t="s">
        <v>1694</v>
      </c>
      <c r="M26" s="1644">
        <f ca="1">INDIRECT("'数据-取费表'!I"&amp;$G$1)</f>
        <v>5.5E-2</v>
      </c>
    </row>
    <row r="27" spans="1:37" ht="18" customHeight="1">
      <c r="A27" s="1665" t="s">
        <v>873</v>
      </c>
      <c r="B27" s="1636" t="s">
        <v>1695</v>
      </c>
      <c r="C27" s="285">
        <f ca="1">ROUND(F21*F26,4)</f>
        <v>4.0000000000000001E-3</v>
      </c>
      <c r="D27" s="1677" t="s">
        <v>1696</v>
      </c>
      <c r="E27" s="1670"/>
      <c r="F27" s="1671"/>
      <c r="G27" s="730"/>
      <c r="H27" s="1642"/>
      <c r="I27" s="1709"/>
      <c r="J27" s="1643"/>
      <c r="K27" s="1710" t="s">
        <v>1697</v>
      </c>
      <c r="L27" s="1636" t="s">
        <v>1698</v>
      </c>
      <c r="M27" s="1711">
        <f ca="1">INDIRECT("'数据-取费表'!ag"&amp;$G$1)</f>
        <v>0</v>
      </c>
    </row>
    <row r="28" spans="1:37" s="1604" customFormat="1" ht="18" customHeight="1">
      <c r="A28" s="1665" t="s">
        <v>906</v>
      </c>
      <c r="B28" s="1636" t="s">
        <v>1699</v>
      </c>
      <c r="C28" s="285">
        <f>ROUND(F28/(1+'数据-取费表'!C42),4)</f>
        <v>5.2400000000000002E-2</v>
      </c>
      <c r="D28" s="1677" t="s">
        <v>1700</v>
      </c>
      <c r="E28" s="1636" t="s">
        <v>1646</v>
      </c>
      <c r="F28" s="1674">
        <f>'数据-取费表'!B41</f>
        <v>5.5E-2</v>
      </c>
      <c r="G28" s="1672"/>
      <c r="H28" s="1649"/>
      <c r="I28" s="1712"/>
      <c r="J28" s="1662"/>
      <c r="K28" s="1699"/>
      <c r="L28" s="1636" t="s">
        <v>1701</v>
      </c>
      <c r="M28" s="164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04" customFormat="1" ht="18" customHeight="1">
      <c r="A29" s="1673" t="s">
        <v>1546</v>
      </c>
      <c r="B29" s="1658" t="s">
        <v>1702</v>
      </c>
      <c r="C29" s="1681">
        <f ca="1">ROUND((C19+C20+C23+C26)/(1-F21-C24-C27-C28),0)</f>
        <v>1249</v>
      </c>
      <c r="D29" s="1682"/>
      <c r="E29" s="1658"/>
      <c r="F29" s="1683"/>
      <c r="G29" s="1672"/>
      <c r="H29" s="1684" t="s">
        <v>1703</v>
      </c>
      <c r="I29" s="1713" t="s">
        <v>1704</v>
      </c>
      <c r="J29" s="1714">
        <f ca="1">ROUND(J26/(1+F40)^F41,0)</f>
        <v>0</v>
      </c>
      <c r="K29" s="1715" t="s">
        <v>1705</v>
      </c>
      <c r="L29" s="1716"/>
      <c r="M29" s="1717">
        <f ca="1">INDIRECT("'数据-取费表'!k"&amp;$G$1)</f>
        <v>2338.25</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660" t="s">
        <v>1647</v>
      </c>
      <c r="B30" s="1661" t="s">
        <v>1648</v>
      </c>
      <c r="C30" s="1662">
        <f ca="1">ROUND(C31+C36+C37+C38,0)</f>
        <v>51</v>
      </c>
      <c r="D30" s="1685" t="s">
        <v>1649</v>
      </c>
      <c r="E30" s="1686"/>
      <c r="F30" s="1632"/>
      <c r="G30" s="730"/>
      <c r="H30" s="1687"/>
      <c r="I30" s="1792"/>
      <c r="J30" s="1793"/>
      <c r="K30" s="274"/>
      <c r="L30" s="1794"/>
      <c r="M30" s="1795"/>
    </row>
    <row r="31" spans="1:37" ht="18" customHeight="1">
      <c r="A31" s="1665" t="s">
        <v>846</v>
      </c>
      <c r="B31" s="1636" t="s">
        <v>1654</v>
      </c>
      <c r="C31" s="1688">
        <f ca="1">ROUND(IF(AND(项目基本情况!B11="自然人",项目基本情况!B10="北京市"),C6*F31/(1+'数据-取费表'!C42),C32+C33+C34),0)</f>
        <v>38</v>
      </c>
      <c r="D31" s="1667" t="s">
        <v>1655</v>
      </c>
      <c r="E31" s="1689" t="s">
        <v>1656</v>
      </c>
      <c r="F31" s="1690" t="str">
        <f>IF(项目基本情况!B11="企业","——",IF('数据-取费表'!B10="住宅",IF(F6*F7*F8/12/(1+'数据-取费表'!F30)&gt;100000,4%,2.5%),IF(F6*F7*F8/12/(1+'数据-取费表'!F30)&gt;100000,12%,7%)))</f>
        <v>——</v>
      </c>
      <c r="G31" s="730"/>
      <c r="H31" s="1691" t="s">
        <v>1706</v>
      </c>
      <c r="I31" s="1792"/>
      <c r="J31" s="1793"/>
      <c r="K31" s="274"/>
      <c r="L31" s="1794"/>
      <c r="M31" s="1795"/>
    </row>
    <row r="32" spans="1:37" ht="18" customHeight="1">
      <c r="A32" s="1665" t="s">
        <v>869</v>
      </c>
      <c r="B32" s="1636" t="s">
        <v>1658</v>
      </c>
      <c r="C32" s="285">
        <f ca="1">IF(项目基本情况!B11="自然人","——",ROUND(C6*F32/(1+'数据-取费表'!C42),2))</f>
        <v>12.05</v>
      </c>
      <c r="D32" s="1689" t="s">
        <v>1659</v>
      </c>
      <c r="E32" s="1636" t="s">
        <v>1646</v>
      </c>
      <c r="F32" s="1680">
        <f>'数据-取费表'!B41</f>
        <v>5.5E-2</v>
      </c>
      <c r="G32" s="730"/>
      <c r="H32" s="1687"/>
      <c r="I32" s="1792"/>
      <c r="J32" s="1793"/>
      <c r="K32" s="274"/>
      <c r="L32" s="1794"/>
      <c r="M32" s="1795"/>
    </row>
    <row r="33" spans="1:18" ht="18" customHeight="1">
      <c r="A33" s="1665" t="s">
        <v>873</v>
      </c>
      <c r="B33" s="1636" t="s">
        <v>1662</v>
      </c>
      <c r="C33" s="285">
        <f ca="1">IF(项目基本情况!B11="自然人","——",IF(D33="按租金收入计税",ROUND(C6*F33/(1+'数据-取费表'!C42),2),IF(D33="按房产原值计税",ROUND(C29*F33*0.7,2),INDIRECT("'数据-取费表'!Aj"&amp;$G$1))))</f>
        <v>26.29</v>
      </c>
      <c r="D33" s="1692" t="s">
        <v>1707</v>
      </c>
      <c r="E33" s="1636" t="s">
        <v>1646</v>
      </c>
      <c r="F33" s="1674">
        <f>IF(D33="按票据","——",IF(D33="按租金收入计税",'数据-取费表'!B51,'数据-取费表'!B50))</f>
        <v>0.12</v>
      </c>
      <c r="G33" s="730"/>
      <c r="H33" s="1693"/>
      <c r="I33" s="1792"/>
      <c r="J33" s="1793"/>
      <c r="K33" s="1796"/>
      <c r="L33" s="1693"/>
      <c r="M33" s="1693"/>
    </row>
    <row r="34" spans="1:18" ht="18" customHeight="1">
      <c r="A34" s="1633" t="s">
        <v>877</v>
      </c>
      <c r="B34" s="1635" t="s">
        <v>1666</v>
      </c>
      <c r="C34" s="1694">
        <f ca="1">IF(项目基本情况!B11="自然人","——",ROUND(F34*F35/10000,2))</f>
        <v>0</v>
      </c>
      <c r="D34" s="1695" t="s">
        <v>1667</v>
      </c>
      <c r="E34" s="1636" t="s">
        <v>1668</v>
      </c>
      <c r="F34" s="1679">
        <f>'数据-取费表'!B52</f>
        <v>1.5</v>
      </c>
      <c r="G34" s="730"/>
      <c r="H34" s="1687"/>
      <c r="I34" s="1792"/>
      <c r="J34" s="1793"/>
      <c r="K34" s="1797"/>
      <c r="L34" s="1798"/>
      <c r="M34" s="1798"/>
    </row>
    <row r="35" spans="1:18" ht="18" customHeight="1">
      <c r="A35" s="1696"/>
      <c r="B35" s="1697"/>
      <c r="C35" s="1698"/>
      <c r="D35" s="1699"/>
      <c r="E35" s="1636" t="s">
        <v>1672</v>
      </c>
      <c r="F35" s="1637">
        <f ca="1">INDIRECT("'数据-取费表'!r"&amp;$G$1)</f>
        <v>0</v>
      </c>
      <c r="G35" s="730"/>
      <c r="H35" s="1687"/>
      <c r="I35" s="1792"/>
      <c r="J35" s="1793"/>
      <c r="K35" s="1796"/>
      <c r="L35" s="1693"/>
      <c r="M35" s="1693"/>
    </row>
    <row r="36" spans="1:18" ht="18" customHeight="1">
      <c r="A36" s="1700" t="s">
        <v>850</v>
      </c>
      <c r="B36" s="1636" t="s">
        <v>1674</v>
      </c>
      <c r="C36" s="285">
        <f ca="1">ROUND(C29*F36,1)</f>
        <v>10</v>
      </c>
      <c r="D36" s="1689" t="s">
        <v>1708</v>
      </c>
      <c r="E36" s="1636" t="s">
        <v>1646</v>
      </c>
      <c r="F36" s="1701">
        <f ca="1">INDIRECT("'数据-取费表'!Ak"&amp;$G$1)</f>
        <v>8.0000000000000002E-3</v>
      </c>
      <c r="G36" s="730"/>
      <c r="H36" s="1693"/>
      <c r="I36" s="1792"/>
      <c r="J36" s="1793"/>
      <c r="K36" s="1799"/>
      <c r="L36" s="1693"/>
      <c r="M36" s="1693"/>
    </row>
    <row r="37" spans="1:18" ht="18" customHeight="1">
      <c r="A37" s="1665" t="s">
        <v>898</v>
      </c>
      <c r="B37" s="1636" t="s">
        <v>1678</v>
      </c>
      <c r="C37" s="285">
        <f ca="1">ROUND(C13*F37,1)</f>
        <v>1.2</v>
      </c>
      <c r="D37" s="1689" t="s">
        <v>1679</v>
      </c>
      <c r="E37" s="1636" t="s">
        <v>1646</v>
      </c>
      <c r="F37" s="1702">
        <f ca="1">INDIRECT("'数据-取费表'!Al"&amp;$G$1)</f>
        <v>1E-3</v>
      </c>
      <c r="G37" s="730"/>
      <c r="H37" s="1693"/>
      <c r="I37" s="1792"/>
      <c r="J37" s="1793"/>
      <c r="K37" s="1799"/>
      <c r="L37" s="1693"/>
      <c r="M37" s="1693"/>
    </row>
    <row r="38" spans="1:18" ht="18" customHeight="1">
      <c r="A38" s="1673" t="s">
        <v>901</v>
      </c>
      <c r="B38" s="1658" t="s">
        <v>1664</v>
      </c>
      <c r="C38" s="1681">
        <f ca="1">ROUND(C5*F38,1)</f>
        <v>1.8</v>
      </c>
      <c r="D38" s="1682" t="s">
        <v>1682</v>
      </c>
      <c r="E38" s="1658" t="s">
        <v>1646</v>
      </c>
      <c r="F38" s="1659">
        <f ca="1">INDIRECT("'数据-取费表'!Am"&amp;$G$1)</f>
        <v>8.0000000000000002E-3</v>
      </c>
      <c r="G38" s="730"/>
      <c r="H38" s="1693"/>
      <c r="I38" s="1792"/>
      <c r="J38" s="1793"/>
      <c r="K38" s="1794"/>
      <c r="L38" s="1693"/>
      <c r="M38" s="1693"/>
    </row>
    <row r="39" spans="1:18" ht="24.6" customHeight="1">
      <c r="A39" s="1660" t="s">
        <v>1685</v>
      </c>
      <c r="B39" s="1703" t="s">
        <v>1686</v>
      </c>
      <c r="C39" s="1662">
        <f ca="1">C5-C30</f>
        <v>179</v>
      </c>
      <c r="D39" s="1704" t="s">
        <v>1687</v>
      </c>
      <c r="E39" s="1705"/>
      <c r="F39" s="1706"/>
      <c r="G39" s="730"/>
      <c r="H39" s="1693"/>
      <c r="I39" s="1792"/>
      <c r="J39" s="1793"/>
      <c r="K39" s="1794"/>
      <c r="L39" s="1693"/>
      <c r="M39" s="1693"/>
    </row>
    <row r="40" spans="1:18" ht="18" customHeight="1">
      <c r="A40" s="1627" t="s">
        <v>1691</v>
      </c>
      <c r="B40" s="1628" t="s">
        <v>1709</v>
      </c>
      <c r="C40" s="1707">
        <f ca="1">ROUND(C39*(1-((1+F42)/(1+F40))^F41)/(F40-F42),0)</f>
        <v>3553</v>
      </c>
      <c r="D40" s="1695" t="s">
        <v>1693</v>
      </c>
      <c r="E40" s="1636" t="s">
        <v>1694</v>
      </c>
      <c r="F40" s="1644">
        <f ca="1">INDIRECT("'数据-取费表'!I"&amp;$G$1)</f>
        <v>5.5E-2</v>
      </c>
      <c r="G40" s="730"/>
      <c r="H40" s="1708"/>
      <c r="I40" s="1792"/>
      <c r="J40" s="1793"/>
      <c r="K40" s="1794"/>
      <c r="L40" s="1708"/>
      <c r="M40" s="1708"/>
    </row>
    <row r="41" spans="1:18" ht="18" customHeight="1">
      <c r="A41" s="1642"/>
      <c r="B41" s="1709"/>
      <c r="C41" s="1643"/>
      <c r="D41" s="1710" t="s">
        <v>1697</v>
      </c>
      <c r="E41" s="1636" t="s">
        <v>1698</v>
      </c>
      <c r="F41" s="1711">
        <f ca="1">IF(INDIRECT("'数据-取费表'!af"&amp;$G$1)=0,INDIRECT("'数据-取费表'!ae"&amp;$G$1),INDIRECT("'数据-取费表'!af"&amp;$G$1))</f>
        <v>35.160000000000004</v>
      </c>
      <c r="G41" s="730"/>
      <c r="H41" s="274"/>
      <c r="I41" s="1792"/>
      <c r="J41" s="1793"/>
      <c r="K41" s="1799"/>
      <c r="L41" s="274"/>
      <c r="M41" s="274"/>
    </row>
    <row r="42" spans="1:18" ht="18" customHeight="1">
      <c r="A42" s="1649"/>
      <c r="B42" s="1712"/>
      <c r="C42" s="1662"/>
      <c r="D42" s="1699"/>
      <c r="E42" s="1636" t="s">
        <v>1701</v>
      </c>
      <c r="F42" s="1644">
        <f ca="1">INDIRECT("'数据-取费表'!v"&amp;$G$1)</f>
        <v>0.02</v>
      </c>
      <c r="G42" s="730"/>
      <c r="H42" s="274"/>
      <c r="I42" s="1792"/>
      <c r="J42" s="1793"/>
      <c r="K42" s="1799"/>
      <c r="L42" s="274"/>
      <c r="M42" s="274"/>
    </row>
    <row r="43" spans="1:18" ht="18" customHeight="1">
      <c r="A43" s="1684" t="s">
        <v>1703</v>
      </c>
      <c r="B43" s="1713" t="s">
        <v>1710</v>
      </c>
      <c r="C43" s="1714">
        <f ca="1">ROUND(C40*10000/F43,0)</f>
        <v>15195</v>
      </c>
      <c r="D43" s="1715" t="s">
        <v>1711</v>
      </c>
      <c r="E43" s="1716" t="s">
        <v>1712</v>
      </c>
      <c r="F43" s="1717">
        <f ca="1">INDIRECT("'数据-取费表'!k"&amp;$G$1)</f>
        <v>2338.25</v>
      </c>
      <c r="G43" s="730"/>
      <c r="H43" s="274"/>
      <c r="I43" s="274"/>
      <c r="J43" s="274"/>
      <c r="K43" s="1799"/>
      <c r="L43" s="274"/>
      <c r="M43" s="274"/>
    </row>
    <row r="44" spans="1:18" s="730" customFormat="1" ht="18" customHeight="1">
      <c r="A44" s="1718"/>
      <c r="B44" s="1718"/>
      <c r="C44" s="1719"/>
      <c r="D44" s="1718"/>
      <c r="E44" s="1718"/>
      <c r="F44" s="1718"/>
      <c r="K44" s="1800"/>
    </row>
    <row r="45" spans="1:18" s="730" customFormat="1" ht="18" customHeight="1">
      <c r="A45" s="1718"/>
      <c r="B45" s="1718"/>
      <c r="C45" s="1719"/>
      <c r="D45" s="1718"/>
      <c r="E45" s="1718"/>
      <c r="F45" s="1718"/>
      <c r="J45" s="315"/>
      <c r="O45" s="1880" t="s">
        <v>1713</v>
      </c>
      <c r="P45" s="1708"/>
      <c r="Q45" s="1708"/>
      <c r="R45" s="1708"/>
    </row>
    <row r="46" spans="1:18" s="730" customFormat="1">
      <c r="A46" s="1722" t="s">
        <v>1714</v>
      </c>
      <c r="C46" s="1723">
        <f ca="1">C68-C40</f>
        <v>-5341</v>
      </c>
      <c r="D46" s="1724" t="str">
        <f>C2</f>
        <v>万元</v>
      </c>
      <c r="E46" s="1718"/>
      <c r="F46" s="1718"/>
      <c r="I46" s="1802" t="s">
        <v>1715</v>
      </c>
      <c r="J46" s="1803"/>
      <c r="K46" s="1804"/>
      <c r="L46" s="1805">
        <f ca="1">IF(M47="住宅",0,IF(L48&gt;J51,L60,J60))</f>
        <v>39</v>
      </c>
      <c r="O46" s="1806" t="s">
        <v>1716</v>
      </c>
      <c r="P46" s="1807" t="s">
        <v>1717</v>
      </c>
      <c r="Q46" s="1848" t="s">
        <v>1718</v>
      </c>
      <c r="R46" s="1848" t="s">
        <v>1719</v>
      </c>
    </row>
    <row r="47" spans="1:18" s="730" customFormat="1">
      <c r="A47" s="1725" t="s">
        <v>1617</v>
      </c>
      <c r="B47" s="1726" t="s">
        <v>1618</v>
      </c>
      <c r="C47" s="1875" t="s">
        <v>1619</v>
      </c>
      <c r="D47" s="1726" t="s">
        <v>1620</v>
      </c>
      <c r="E47" s="1727" t="s">
        <v>1621</v>
      </c>
      <c r="F47" s="278"/>
      <c r="G47" s="1728"/>
      <c r="I47" s="1808" t="s">
        <v>1720</v>
      </c>
      <c r="J47" s="1809" t="s">
        <v>1565</v>
      </c>
      <c r="K47" s="1810" t="s">
        <v>1721</v>
      </c>
      <c r="L47" s="1811">
        <f ca="1">INDIRECT("'数据-取费表'!d"&amp;$G$1)</f>
        <v>40</v>
      </c>
      <c r="M47" s="1812" t="str">
        <f>IF(ISNUMBER(FIND("住宅",C1)),"住宅","非住宅")</f>
        <v>非住宅</v>
      </c>
      <c r="O47" s="1813" t="s">
        <v>1410</v>
      </c>
      <c r="P47" s="1814" t="s">
        <v>1722</v>
      </c>
      <c r="Q47" s="1849">
        <f ca="1">C40+J29</f>
        <v>3553</v>
      </c>
      <c r="R47" s="1849" t="s">
        <v>1723</v>
      </c>
    </row>
    <row r="48" spans="1:18" s="730" customFormat="1" ht="27.75">
      <c r="A48" s="1729" t="s">
        <v>1724</v>
      </c>
      <c r="B48" s="1628" t="s">
        <v>1622</v>
      </c>
      <c r="C48" s="286">
        <f ca="1">C49+C53+C55</f>
        <v>0</v>
      </c>
      <c r="D48" s="1730"/>
      <c r="E48" s="1731"/>
      <c r="F48" s="1732"/>
      <c r="G48" s="1728"/>
      <c r="H48" s="1733"/>
      <c r="I48" s="789" t="s">
        <v>1725</v>
      </c>
      <c r="J48" s="1815" t="s">
        <v>1726</v>
      </c>
      <c r="K48" s="1816" t="s">
        <v>1727</v>
      </c>
      <c r="L48" s="1817">
        <f ca="1">INDIRECT("'数据-取费表'!f"&amp;$G$1)</f>
        <v>35.28</v>
      </c>
      <c r="O48" s="1813" t="s">
        <v>1413</v>
      </c>
      <c r="P48" s="1814" t="s">
        <v>1728</v>
      </c>
      <c r="Q48" s="1849">
        <f ca="1">J60</f>
        <v>39</v>
      </c>
      <c r="R48" s="1849" t="s">
        <v>1729</v>
      </c>
    </row>
    <row r="49" spans="1:18" s="730" customFormat="1">
      <c r="A49" s="1734" t="s">
        <v>1730</v>
      </c>
      <c r="B49" s="1735" t="s">
        <v>1731</v>
      </c>
      <c r="C49" s="1736">
        <f ca="1">ROUND(F49*F51*F50*(1-F52)/10000,0)</f>
        <v>0</v>
      </c>
      <c r="D49" s="1737" t="s">
        <v>1627</v>
      </c>
      <c r="E49" s="1738" t="s">
        <v>1732</v>
      </c>
      <c r="F49" s="1739"/>
      <c r="H49" s="1733"/>
      <c r="I49" s="789" t="s">
        <v>1733</v>
      </c>
      <c r="J49" s="1818">
        <v>2023</v>
      </c>
      <c r="K49" s="1816" t="s">
        <v>1734</v>
      </c>
      <c r="L49" s="1819"/>
      <c r="O49" s="1820" t="s">
        <v>1735</v>
      </c>
      <c r="P49" s="1814" t="s">
        <v>1736</v>
      </c>
      <c r="Q49" s="1849">
        <f ca="1">C29</f>
        <v>1249</v>
      </c>
      <c r="R49" s="1849" t="s">
        <v>1723</v>
      </c>
    </row>
    <row r="50" spans="1:18" s="730" customFormat="1">
      <c r="A50" s="1740"/>
      <c r="B50" s="248"/>
      <c r="C50" s="1876"/>
      <c r="D50" s="1742"/>
      <c r="E50" s="1743" t="s">
        <v>1628</v>
      </c>
      <c r="F50" s="1744">
        <f ca="1">F7</f>
        <v>2338.25</v>
      </c>
      <c r="H50" s="1733"/>
      <c r="I50" s="789" t="s">
        <v>1737</v>
      </c>
      <c r="J50" s="1821">
        <f>SUMPRODUCT((I63:I65=J47)*(J62:L62=J48)*(J63:L65))</f>
        <v>60</v>
      </c>
      <c r="K50" s="1816" t="s">
        <v>1738</v>
      </c>
      <c r="L50" s="1819"/>
      <c r="M50" s="1822"/>
      <c r="O50" s="1820" t="s">
        <v>1739</v>
      </c>
      <c r="P50" s="1814" t="s">
        <v>1740</v>
      </c>
      <c r="Q50" s="1850">
        <f ca="1">J58</f>
        <v>0.4</v>
      </c>
      <c r="R50" s="1849"/>
    </row>
    <row r="51" spans="1:18" s="730" customFormat="1">
      <c r="A51" s="1745"/>
      <c r="B51" s="248"/>
      <c r="C51" s="1741"/>
      <c r="D51" s="1742"/>
      <c r="E51" s="1746" t="s">
        <v>1629</v>
      </c>
      <c r="F51" s="1637">
        <f ca="1">F8</f>
        <v>365</v>
      </c>
      <c r="I51" s="1823" t="s">
        <v>1741</v>
      </c>
      <c r="J51" s="1817">
        <f>IF(J49="",J50,J49+J50-YEAR('数据-取费表'!B2))</f>
        <v>59</v>
      </c>
      <c r="K51" s="1824" t="s">
        <v>1742</v>
      </c>
      <c r="L51" s="1825">
        <f ca="1">ROUND(-PV(INDIRECT("'数据-取费表'!h"&amp;$G$1),J51,(C39-C13*C76),0),0)</f>
        <v>1611</v>
      </c>
      <c r="M51" s="1826"/>
      <c r="O51" s="1820" t="s">
        <v>1743</v>
      </c>
      <c r="P51" s="1814" t="s">
        <v>1744</v>
      </c>
      <c r="Q51" s="1850">
        <f>J52</f>
        <v>7.4999999999999997E-2</v>
      </c>
      <c r="R51" s="1849"/>
    </row>
    <row r="52" spans="1:18" s="730" customFormat="1">
      <c r="A52" s="1745"/>
      <c r="B52" s="248"/>
      <c r="C52" s="1741"/>
      <c r="D52" s="1742"/>
      <c r="E52" s="1746" t="s">
        <v>1630</v>
      </c>
      <c r="F52" s="1747"/>
      <c r="I52" s="1827" t="s">
        <v>1745</v>
      </c>
      <c r="J52" s="1828">
        <v>7.4999999999999997E-2</v>
      </c>
      <c r="K52" s="1827" t="s">
        <v>1746</v>
      </c>
      <c r="L52" s="1828"/>
      <c r="O52" s="1820" t="s">
        <v>1747</v>
      </c>
      <c r="P52" s="1814" t="s">
        <v>1748</v>
      </c>
      <c r="Q52" s="1849">
        <f ca="1">J53</f>
        <v>35.160000000000004</v>
      </c>
      <c r="R52" s="1849" t="s">
        <v>1749</v>
      </c>
    </row>
    <row r="53" spans="1:18" s="730" customFormat="1" ht="24">
      <c r="A53" s="1877" t="s">
        <v>1750</v>
      </c>
      <c r="B53" s="1878" t="s">
        <v>1631</v>
      </c>
      <c r="C53" s="284">
        <f ca="1">ROUND(IF(F53="押一",C49/12*F11,IF(F53="押二",C49/12*2*F11,IF(F53="押三",C49/12*3*F11,C54*F11))),0)</f>
        <v>0</v>
      </c>
      <c r="D53" s="1646" t="s">
        <v>1632</v>
      </c>
      <c r="E53" s="1647" t="s">
        <v>1633</v>
      </c>
      <c r="F53" s="1648"/>
      <c r="I53" s="1829" t="s">
        <v>1751</v>
      </c>
      <c r="J53" s="1830">
        <f ca="1">IF(M47="住宅",IF(D1="——",MAX(J51,L48),MAX(J51,L48-'数据-取费表'!B24)),IF(D1="——",MIN(J51,L48),MIN(J51,L48-'数据-取费表'!B24)))</f>
        <v>35.160000000000004</v>
      </c>
      <c r="K53" s="3379" t="s">
        <v>1752</v>
      </c>
      <c r="L53" s="3380"/>
      <c r="O53" s="1813" t="s">
        <v>1514</v>
      </c>
      <c r="P53" s="1814" t="s">
        <v>1753</v>
      </c>
      <c r="Q53" s="1849">
        <f ca="1">Q47+Q48</f>
        <v>3592</v>
      </c>
      <c r="R53" s="1849" t="s">
        <v>1754</v>
      </c>
    </row>
    <row r="54" spans="1:18" s="730" customFormat="1">
      <c r="A54" s="1879"/>
      <c r="B54" s="1650" t="s">
        <v>1636</v>
      </c>
      <c r="C54" s="1651"/>
      <c r="D54" s="1646"/>
      <c r="E54" s="1750"/>
      <c r="F54" s="1751"/>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2"/>
      <c r="K54" s="1832"/>
      <c r="L54" s="1832"/>
      <c r="O54" s="1801" t="s">
        <v>1755</v>
      </c>
      <c r="P54" s="1614"/>
      <c r="Q54" s="1614"/>
      <c r="R54" s="1614"/>
    </row>
    <row r="55" spans="1:18" s="730" customFormat="1">
      <c r="A55" s="1654" t="s">
        <v>898</v>
      </c>
      <c r="B55" s="1655" t="s">
        <v>1638</v>
      </c>
      <c r="C55" s="1656"/>
      <c r="D55" s="1646"/>
      <c r="E55" s="1750"/>
      <c r="F55" s="1751"/>
      <c r="I55" s="1833" t="s">
        <v>1756</v>
      </c>
      <c r="J55" s="1834">
        <f ca="1">ROUND(IF(J47="钢混",J57/J50,1-(1-2%)*(J50-J57)/J50),3)</f>
        <v>0.39500000000000002</v>
      </c>
      <c r="K55" s="1835" t="s">
        <v>1757</v>
      </c>
      <c r="L55" s="1836" t="s">
        <v>1758</v>
      </c>
      <c r="O55" s="1806" t="s">
        <v>1716</v>
      </c>
      <c r="P55" s="1807" t="s">
        <v>1717</v>
      </c>
      <c r="Q55" s="1848" t="s">
        <v>1718</v>
      </c>
      <c r="R55" s="1848" t="s">
        <v>1719</v>
      </c>
    </row>
    <row r="56" spans="1:18" s="730" customFormat="1" ht="24">
      <c r="A56" s="1752">
        <v>2</v>
      </c>
      <c r="B56" s="1753" t="s">
        <v>1639</v>
      </c>
      <c r="C56" s="181">
        <f ca="1">C13</f>
        <v>1249</v>
      </c>
      <c r="D56" s="1754"/>
      <c r="E56" s="1755"/>
      <c r="F56" s="1751"/>
      <c r="I56" s="1837" t="s">
        <v>1759</v>
      </c>
      <c r="J56" s="1838" t="s">
        <v>3007</v>
      </c>
      <c r="K56" s="789" t="s">
        <v>1760</v>
      </c>
      <c r="L56" s="1817" t="str">
        <f ca="1">IF(L48&lt;J51,"——",L48-J53)</f>
        <v>——</v>
      </c>
      <c r="O56" s="1813" t="s">
        <v>1410</v>
      </c>
      <c r="P56" s="1814" t="s">
        <v>1722</v>
      </c>
      <c r="Q56" s="1849">
        <f ca="1">C40+J29</f>
        <v>3553</v>
      </c>
      <c r="R56" s="1849" t="s">
        <v>1723</v>
      </c>
    </row>
    <row r="57" spans="1:18" s="730" customFormat="1" ht="24">
      <c r="A57" s="1756"/>
      <c r="B57" s="1757" t="s">
        <v>1702</v>
      </c>
      <c r="C57" s="191">
        <f ca="1">C29</f>
        <v>1249</v>
      </c>
      <c r="D57" s="1758"/>
      <c r="E57" s="1759"/>
      <c r="F57" s="1760"/>
      <c r="I57" s="1839" t="s">
        <v>1761</v>
      </c>
      <c r="J57" s="1840">
        <f ca="1">IF(OR(M47="住宅",J51&lt;L48,J56="是"),"——",J51-L48)</f>
        <v>23.72</v>
      </c>
      <c r="K57" s="789" t="s">
        <v>1762</v>
      </c>
      <c r="L57" s="1817" t="str">
        <f ca="1">IF(L48&lt;J51,"——",IF(L55="比较法",L49,IF(L55="基准地价",L50,L51)))</f>
        <v>——</v>
      </c>
      <c r="O57" s="1813" t="s">
        <v>1413</v>
      </c>
      <c r="P57" s="1814" t="s">
        <v>1763</v>
      </c>
      <c r="Q57" s="1849">
        <f ca="1">L60</f>
        <v>0</v>
      </c>
      <c r="R57" s="1849" t="s">
        <v>1764</v>
      </c>
    </row>
    <row r="58" spans="1:18" s="730" customFormat="1" ht="24">
      <c r="A58" s="1761" t="s">
        <v>1647</v>
      </c>
      <c r="B58" s="1753" t="s">
        <v>1648</v>
      </c>
      <c r="C58" s="284">
        <f ca="1">ROUND(C59+C64+C65+C66,0)</f>
        <v>116</v>
      </c>
      <c r="D58" s="1762" t="s">
        <v>1649</v>
      </c>
      <c r="E58" s="1763"/>
      <c r="F58" s="1732"/>
      <c r="I58" s="1839" t="s">
        <v>1765</v>
      </c>
      <c r="J58" s="1841">
        <f ca="1">IF(J55&lt;0.4,0.4,J55)</f>
        <v>0.4</v>
      </c>
      <c r="K58" s="1824" t="s">
        <v>1766</v>
      </c>
      <c r="L58" s="1817" t="e">
        <f ca="1">ROUND(POWER(1+L52,L47-L48)*(POWER(1+L52,L48)-1)/(POWER(1+L52,L47)-1),4)</f>
        <v>#DIV/0!</v>
      </c>
      <c r="O58" s="1820" t="s">
        <v>1735</v>
      </c>
      <c r="P58" s="1814" t="s">
        <v>1767</v>
      </c>
      <c r="Q58" s="1849">
        <f>IF(L55="比较法",L49,IF(L55="基准地价",L50,0))</f>
        <v>0</v>
      </c>
      <c r="R58" s="1849" t="s">
        <v>1723</v>
      </c>
    </row>
    <row r="59" spans="1:18" s="730" customFormat="1" ht="24">
      <c r="A59" s="1665" t="s">
        <v>846</v>
      </c>
      <c r="B59" s="1757" t="s">
        <v>1654</v>
      </c>
      <c r="C59" s="1688">
        <f ca="1">ROUND(IF(AND(项目基本情况!B11="自然人",项目基本情况!B10="北京市"),C49*F59/(1+'数据-取费表'!C42),C60+C61+C62),0)</f>
        <v>105</v>
      </c>
      <c r="D59" s="1764" t="s">
        <v>1655</v>
      </c>
      <c r="E59" s="1765" t="s">
        <v>1656</v>
      </c>
      <c r="F59" s="1690" t="str">
        <f>IF(项目基本情况!B11="企业","——",IF('数据-取费表'!B10="住宅",IF(F49*F50*F51/12/(1+'数据-取费表'!F30)&gt;100000,4%,2.5%),IF(F49*F50*F51/12/(1+'数据-取费表'!F30)&gt;100000,12%,7%)))</f>
        <v>——</v>
      </c>
      <c r="I59" s="1839" t="s">
        <v>1768</v>
      </c>
      <c r="J59" s="1840">
        <f ca="1">IF(OR(M47="住宅",J51&lt;L48,J56="是"),"——",ROUND(C29*J58,0))</f>
        <v>500</v>
      </c>
      <c r="K59" s="7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7"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0" t="s">
        <v>1739</v>
      </c>
      <c r="P59" s="1814" t="s">
        <v>1769</v>
      </c>
      <c r="Q59" s="1850">
        <f>L52</f>
        <v>0</v>
      </c>
      <c r="R59" s="1849"/>
    </row>
    <row r="60" spans="1:18" s="730" customFormat="1" ht="15.75">
      <c r="A60" s="1665" t="s">
        <v>869</v>
      </c>
      <c r="B60" s="1757" t="s">
        <v>1658</v>
      </c>
      <c r="C60" s="285">
        <f ca="1">IF(项目基本情况!B11="自然人","——",ROUND(C48*F60/(1+'数据-取费表'!C42),2))</f>
        <v>0</v>
      </c>
      <c r="D60" s="1765" t="s">
        <v>1659</v>
      </c>
      <c r="E60" s="1757" t="s">
        <v>1646</v>
      </c>
      <c r="F60" s="1680">
        <f t="shared" ref="F60:F66" si="0">F32</f>
        <v>5.5E-2</v>
      </c>
      <c r="I60" s="1842" t="s">
        <v>1770</v>
      </c>
      <c r="J60" s="1843">
        <f ca="1">IF(OR(M47="住宅",J51&lt;L48,J56="是"),"0",ROUND(J59/(1+J52)^J53,0))</f>
        <v>39</v>
      </c>
      <c r="K60" s="1844" t="s">
        <v>1771</v>
      </c>
      <c r="L60" s="1843">
        <f ca="1">IF(OR(M47="住宅",L48&lt;J51),0,ROUND(L57*(L58/L59-1),0))</f>
        <v>0</v>
      </c>
      <c r="O60" s="1820" t="s">
        <v>1743</v>
      </c>
      <c r="P60" s="1814" t="s">
        <v>1772</v>
      </c>
      <c r="Q60" s="1849" t="e">
        <f ca="1">L58</f>
        <v>#DIV/0!</v>
      </c>
      <c r="R60" s="1849" t="s">
        <v>1773</v>
      </c>
    </row>
    <row r="61" spans="1:18" s="730" customFormat="1">
      <c r="A61" s="1665" t="s">
        <v>873</v>
      </c>
      <c r="B61" s="1757" t="s">
        <v>1662</v>
      </c>
      <c r="C61" s="285">
        <f ca="1">IF(项目基本情况!B11="自然人","——",IF(D61="按租金收入计税",ROUND(C49*F61/(1+'数据-取费表'!C42),2),IF(D61="按房产原值计税",ROUND(C57*F61*0.7,2),INDIRECT("'数据-取费表'!Aj"&amp;$G$1))))</f>
        <v>104.92</v>
      </c>
      <c r="D61" s="1692" t="s">
        <v>1663</v>
      </c>
      <c r="E61" s="1757" t="s">
        <v>1646</v>
      </c>
      <c r="F61" s="1674">
        <f t="shared" si="0"/>
        <v>0.12</v>
      </c>
      <c r="I61" s="1708"/>
      <c r="J61" s="1708"/>
      <c r="K61" s="1708"/>
      <c r="L61" s="1708"/>
      <c r="O61" s="1820" t="s">
        <v>1747</v>
      </c>
      <c r="P61" s="1814" t="str">
        <f>K59</f>
        <v>续建工期及建筑物耐用年限下的土地年期修正系数Kn</v>
      </c>
      <c r="Q61" s="1849" t="e">
        <f ca="1">L59</f>
        <v>#DIV/0!</v>
      </c>
      <c r="R61" s="1849" t="s">
        <v>1774</v>
      </c>
    </row>
    <row r="62" spans="1:18" s="730" customFormat="1">
      <c r="A62" s="1665" t="s">
        <v>877</v>
      </c>
      <c r="B62" s="1766" t="s">
        <v>1666</v>
      </c>
      <c r="C62" s="1694">
        <f ca="1">IF(项目基本情况!B11="自然人","——",ROUND(F62*F63/10000,2))</f>
        <v>0</v>
      </c>
      <c r="D62" s="1767" t="s">
        <v>1667</v>
      </c>
      <c r="E62" s="1757" t="s">
        <v>1668</v>
      </c>
      <c r="F62" s="1679">
        <f t="shared" si="0"/>
        <v>1.5</v>
      </c>
      <c r="I62" s="1845" t="s">
        <v>1775</v>
      </c>
      <c r="J62" s="988" t="s">
        <v>1776</v>
      </c>
      <c r="K62" s="988" t="s">
        <v>1777</v>
      </c>
      <c r="L62" s="988" t="s">
        <v>1778</v>
      </c>
      <c r="M62" s="1846" t="s">
        <v>1779</v>
      </c>
      <c r="O62" s="1813" t="s">
        <v>1514</v>
      </c>
      <c r="P62" s="1814" t="s">
        <v>1753</v>
      </c>
      <c r="Q62" s="1849">
        <f ca="1">Q56+Q57</f>
        <v>3553</v>
      </c>
      <c r="R62" s="1849" t="s">
        <v>1754</v>
      </c>
    </row>
    <row r="63" spans="1:18" s="730" customFormat="1">
      <c r="A63" s="1678"/>
      <c r="B63" s="1768"/>
      <c r="C63" s="1698"/>
      <c r="D63" s="1769"/>
      <c r="E63" s="1757" t="s">
        <v>1672</v>
      </c>
      <c r="F63" s="1637">
        <f t="shared" ca="1" si="0"/>
        <v>0</v>
      </c>
      <c r="I63" s="1845" t="s">
        <v>1780</v>
      </c>
      <c r="J63" s="988">
        <v>70</v>
      </c>
      <c r="K63" s="988">
        <v>50</v>
      </c>
      <c r="L63" s="988">
        <v>80</v>
      </c>
      <c r="M63" s="1847">
        <v>0.02</v>
      </c>
      <c r="O63" s="1801" t="s">
        <v>1781</v>
      </c>
      <c r="P63" s="1614"/>
      <c r="Q63" s="1614"/>
      <c r="R63" s="1614"/>
    </row>
    <row r="64" spans="1:18" s="730" customFormat="1">
      <c r="A64" s="1665" t="s">
        <v>850</v>
      </c>
      <c r="B64" s="1757" t="s">
        <v>1674</v>
      </c>
      <c r="C64" s="285">
        <f ca="1">ROUND(C57*F64,1)</f>
        <v>10</v>
      </c>
      <c r="D64" s="1765" t="s">
        <v>1708</v>
      </c>
      <c r="E64" s="1757" t="s">
        <v>1646</v>
      </c>
      <c r="F64" s="1701">
        <f t="shared" ca="1" si="0"/>
        <v>8.0000000000000002E-3</v>
      </c>
      <c r="I64" s="1845" t="s">
        <v>1782</v>
      </c>
      <c r="J64" s="988">
        <v>50</v>
      </c>
      <c r="K64" s="988">
        <v>35</v>
      </c>
      <c r="L64" s="988">
        <v>60</v>
      </c>
      <c r="M64" s="1846">
        <v>0</v>
      </c>
      <c r="O64" s="1806" t="s">
        <v>1716</v>
      </c>
      <c r="P64" s="1807" t="s">
        <v>1717</v>
      </c>
      <c r="Q64" s="1848" t="s">
        <v>1718</v>
      </c>
      <c r="R64" s="1848" t="s">
        <v>1719</v>
      </c>
    </row>
    <row r="65" spans="1:18" s="730" customFormat="1">
      <c r="A65" s="1665" t="s">
        <v>898</v>
      </c>
      <c r="B65" s="1757" t="s">
        <v>1678</v>
      </c>
      <c r="C65" s="285">
        <f ca="1">ROUND(C56*F65,1)</f>
        <v>1.2</v>
      </c>
      <c r="D65" s="1765" t="s">
        <v>1679</v>
      </c>
      <c r="E65" s="1757" t="s">
        <v>1646</v>
      </c>
      <c r="F65" s="1702">
        <f t="shared" ca="1" si="0"/>
        <v>1E-3</v>
      </c>
      <c r="I65" s="1845" t="s">
        <v>1783</v>
      </c>
      <c r="J65" s="988">
        <v>40</v>
      </c>
      <c r="K65" s="988">
        <v>30</v>
      </c>
      <c r="L65" s="988">
        <v>50</v>
      </c>
      <c r="M65" s="1847">
        <v>0.02</v>
      </c>
      <c r="O65" s="1813" t="s">
        <v>1410</v>
      </c>
      <c r="P65" s="1814" t="s">
        <v>1722</v>
      </c>
      <c r="Q65" s="1849">
        <f ca="1">C40+J29</f>
        <v>3553</v>
      </c>
      <c r="R65" s="1849" t="s">
        <v>1723</v>
      </c>
    </row>
    <row r="66" spans="1:18" s="730" customFormat="1" ht="15.75">
      <c r="A66" s="1665" t="s">
        <v>901</v>
      </c>
      <c r="B66" s="1757" t="s">
        <v>1664</v>
      </c>
      <c r="C66" s="285">
        <f ca="1">ROUND(C48*F66,1)</f>
        <v>0</v>
      </c>
      <c r="D66" s="1765" t="s">
        <v>1682</v>
      </c>
      <c r="E66" s="1757" t="s">
        <v>1646</v>
      </c>
      <c r="F66" s="1644">
        <f t="shared" ca="1" si="0"/>
        <v>8.0000000000000002E-3</v>
      </c>
      <c r="O66" s="1813" t="s">
        <v>1413</v>
      </c>
      <c r="P66" s="1814" t="s">
        <v>1763</v>
      </c>
      <c r="Q66" s="1849">
        <f ca="1">L60</f>
        <v>0</v>
      </c>
      <c r="R66" s="1849" t="s">
        <v>1764</v>
      </c>
    </row>
    <row r="67" spans="1:18" s="730" customFormat="1" ht="15.75">
      <c r="A67" s="1752" t="s">
        <v>1685</v>
      </c>
      <c r="B67" s="1851" t="s">
        <v>1686</v>
      </c>
      <c r="C67" s="284">
        <f ca="1">C48-C58</f>
        <v>-116</v>
      </c>
      <c r="D67" s="1764" t="s">
        <v>1687</v>
      </c>
      <c r="E67" s="1852"/>
      <c r="F67" s="1853"/>
      <c r="O67" s="1820" t="s">
        <v>1735</v>
      </c>
      <c r="P67" s="1814" t="s">
        <v>1767</v>
      </c>
      <c r="Q67" s="1873">
        <f ca="1">L51</f>
        <v>1611</v>
      </c>
      <c r="R67" s="1849" t="s">
        <v>1784</v>
      </c>
    </row>
    <row r="68" spans="1:18" s="730" customFormat="1" ht="15.75">
      <c r="A68" s="1854" t="s">
        <v>1691</v>
      </c>
      <c r="B68" s="1855" t="s">
        <v>1709</v>
      </c>
      <c r="C68" s="1707">
        <f ca="1">ROUND(C67*(1-((1+F70)/(1+F68))^F69)/(F68-F70),0)</f>
        <v>-1788</v>
      </c>
      <c r="D68" s="1767" t="s">
        <v>1693</v>
      </c>
      <c r="E68" s="1757" t="s">
        <v>1694</v>
      </c>
      <c r="F68" s="1644">
        <f ca="1">F40</f>
        <v>5.5E-2</v>
      </c>
      <c r="O68" s="1820" t="s">
        <v>1739</v>
      </c>
      <c r="P68" s="1872" t="s">
        <v>1785</v>
      </c>
      <c r="Q68" s="1849">
        <f ca="1">ROUND(Q69-Q70*Q71,0)</f>
        <v>85</v>
      </c>
      <c r="R68" s="1849" t="s">
        <v>1786</v>
      </c>
    </row>
    <row r="69" spans="1:18" s="730" customFormat="1">
      <c r="A69" s="1856"/>
      <c r="B69" s="1857"/>
      <c r="C69" s="1643"/>
      <c r="D69" s="1858" t="s">
        <v>1697</v>
      </c>
      <c r="E69" s="1757" t="s">
        <v>1698</v>
      </c>
      <c r="F69" s="1711">
        <f ca="1">F41</f>
        <v>35.160000000000004</v>
      </c>
      <c r="O69" s="1820" t="s">
        <v>1787</v>
      </c>
      <c r="P69" s="1872" t="s">
        <v>1788</v>
      </c>
      <c r="Q69" s="1849">
        <f ca="1">C39</f>
        <v>179</v>
      </c>
      <c r="R69" s="1849" t="s">
        <v>1723</v>
      </c>
    </row>
    <row r="70" spans="1:18" s="730" customFormat="1">
      <c r="A70" s="1859"/>
      <c r="B70" s="1860"/>
      <c r="C70" s="1662"/>
      <c r="D70" s="1769"/>
      <c r="E70" s="1757" t="s">
        <v>1701</v>
      </c>
      <c r="F70" s="1747"/>
      <c r="O70" s="1820" t="s">
        <v>1789</v>
      </c>
      <c r="P70" s="1872" t="s">
        <v>1790</v>
      </c>
      <c r="Q70" s="1849">
        <f ca="1">C13</f>
        <v>1249</v>
      </c>
      <c r="R70" s="1849" t="s">
        <v>1723</v>
      </c>
    </row>
    <row r="71" spans="1:18" s="730" customFormat="1">
      <c r="A71" s="1861" t="s">
        <v>1703</v>
      </c>
      <c r="B71" s="1862" t="s">
        <v>1710</v>
      </c>
      <c r="C71" s="1714">
        <f ca="1">ROUND(C68*10000/F71,0)</f>
        <v>-7647</v>
      </c>
      <c r="D71" s="1863" t="s">
        <v>1711</v>
      </c>
      <c r="E71" s="1864" t="s">
        <v>1712</v>
      </c>
      <c r="F71" s="1717">
        <f ca="1">F43</f>
        <v>2338.25</v>
      </c>
      <c r="O71" s="1820" t="s">
        <v>1791</v>
      </c>
      <c r="P71" s="1872" t="s">
        <v>1792</v>
      </c>
      <c r="Q71" s="1850">
        <f ca="1">C76</f>
        <v>7.4999999999999997E-2</v>
      </c>
      <c r="R71" s="1849"/>
    </row>
    <row r="72" spans="1:18" s="730" customFormat="1">
      <c r="B72" s="315"/>
      <c r="C72" s="315"/>
      <c r="O72" s="1820" t="s">
        <v>1743</v>
      </c>
      <c r="P72" s="1814" t="s">
        <v>1769</v>
      </c>
      <c r="Q72" s="1850">
        <f>L52</f>
        <v>0</v>
      </c>
      <c r="R72" s="1849"/>
    </row>
    <row r="73" spans="1:18" ht="15.75">
      <c r="A73" s="730"/>
      <c r="B73" s="315"/>
      <c r="C73" s="315"/>
      <c r="D73" s="730"/>
      <c r="E73" s="730"/>
      <c r="F73" s="730"/>
      <c r="O73" s="1820" t="s">
        <v>1747</v>
      </c>
      <c r="P73" s="1814" t="s">
        <v>1772</v>
      </c>
      <c r="Q73" s="1849" t="e">
        <f ca="1">L58</f>
        <v>#DIV/0!</v>
      </c>
      <c r="R73" s="1849" t="s">
        <v>1773</v>
      </c>
    </row>
    <row r="74" spans="1:18">
      <c r="A74" s="730"/>
      <c r="B74" s="223" t="s">
        <v>1793</v>
      </c>
      <c r="C74" s="1865"/>
      <c r="D74" s="730"/>
      <c r="E74" s="730"/>
      <c r="F74" s="730"/>
      <c r="O74" s="1820" t="s">
        <v>1794</v>
      </c>
      <c r="P74" s="1814" t="str">
        <f>K59</f>
        <v>续建工期及建筑物耐用年限下的土地年期修正系数Kn</v>
      </c>
      <c r="Q74" s="1849" t="e">
        <f ca="1">L59</f>
        <v>#DIV/0!</v>
      </c>
      <c r="R74" s="1849" t="s">
        <v>1774</v>
      </c>
    </row>
    <row r="75" spans="1:18">
      <c r="A75" s="730"/>
      <c r="B75" s="1866" t="s">
        <v>1795</v>
      </c>
      <c r="C75" s="1867">
        <f ca="1">ROUND(C13*C76,0)</f>
        <v>94</v>
      </c>
      <c r="D75" s="730"/>
      <c r="E75" s="730"/>
      <c r="F75" s="730"/>
      <c r="K75" s="1800"/>
      <c r="L75" s="730"/>
      <c r="O75" s="1813" t="s">
        <v>1514</v>
      </c>
      <c r="P75" s="1814" t="s">
        <v>1753</v>
      </c>
      <c r="Q75" s="1849">
        <f ca="1">Q65+Q66</f>
        <v>3553</v>
      </c>
      <c r="R75" s="1849" t="s">
        <v>1754</v>
      </c>
    </row>
    <row r="76" spans="1:18">
      <c r="B76" s="557" t="s">
        <v>1796</v>
      </c>
      <c r="C76" s="1868">
        <f ca="1">INDIRECT("'数据-取费表'!j"&amp;$G$1)</f>
        <v>7.4999999999999997E-2</v>
      </c>
      <c r="I76" s="730"/>
      <c r="J76" s="730"/>
      <c r="K76" s="1800"/>
      <c r="L76" s="730"/>
    </row>
    <row r="77" spans="1:18">
      <c r="B77" s="1869" t="s">
        <v>1797</v>
      </c>
      <c r="C77" s="1870"/>
      <c r="I77" s="730"/>
      <c r="J77" s="730"/>
      <c r="K77" s="1800"/>
      <c r="L77" s="730"/>
    </row>
    <row r="78" spans="1:18">
      <c r="B78" s="221" t="s">
        <v>1798</v>
      </c>
      <c r="C78" s="1871"/>
    </row>
    <row r="79" spans="1:18">
      <c r="B79" s="1866" t="s">
        <v>1799</v>
      </c>
      <c r="C79" s="224">
        <f ca="1">1-C80</f>
        <v>0.47499999999999998</v>
      </c>
    </row>
    <row r="80" spans="1:18">
      <c r="B80" s="1866" t="s">
        <v>1800</v>
      </c>
      <c r="C80" s="224">
        <f ca="1">ROUND(C75/C39,3)</f>
        <v>0.52500000000000002</v>
      </c>
    </row>
    <row r="81" spans="2:3">
      <c r="B81" s="221" t="s">
        <v>1801</v>
      </c>
      <c r="C81" s="191"/>
    </row>
    <row r="82" spans="2:3">
      <c r="B82" s="223" t="s">
        <v>1490</v>
      </c>
      <c r="C82" s="225">
        <f ca="1">1-C83</f>
        <v>0.64800000000000002</v>
      </c>
    </row>
    <row r="83" spans="2:3">
      <c r="B83" s="223" t="s">
        <v>1491</v>
      </c>
      <c r="C83" s="224">
        <f ca="1">ROUND(C13/C40,3)</f>
        <v>0.35199999999999998</v>
      </c>
    </row>
  </sheetData>
  <sheetProtection formatCells="0" formatColumns="0" formatRows="0"/>
  <mergeCells count="3">
    <mergeCell ref="K53:L53"/>
    <mergeCell ref="B6:B9"/>
    <mergeCell ref="I6:I9"/>
  </mergeCells>
  <phoneticPr fontId="215"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A112" zoomScale="115" zoomScaleNormal="100" zoomScaleSheetLayoutView="115" zoomScalePageLayoutView="80" workbookViewId="0">
      <selection activeCell="G7" sqref="G7"/>
    </sheetView>
  </sheetViews>
  <sheetFormatPr defaultColWidth="12.625" defaultRowHeight="21.75" customHeight="1"/>
  <cols>
    <col min="1" max="2" width="12.625" style="2131"/>
    <col min="3" max="4" width="12.625" style="2131" customWidth="1"/>
    <col min="5" max="9" width="12.625" style="2131"/>
    <col min="10" max="11" width="12.625" style="232" customWidth="1"/>
    <col min="12" max="12" width="12.625" style="232"/>
    <col min="13" max="13" width="14.125" style="232" customWidth="1"/>
    <col min="14" max="26" width="12.625" style="232"/>
    <col min="27" max="35" width="12.625" style="2130"/>
    <col min="36" max="16384" width="12.625" style="2131"/>
  </cols>
  <sheetData>
    <row r="1" spans="1:12" ht="21.75" customHeight="1" thickBot="1">
      <c r="A1" s="2132" t="s">
        <v>715</v>
      </c>
      <c r="B1" s="1778"/>
      <c r="C1" s="2133" t="s">
        <v>464</v>
      </c>
      <c r="D1" s="1778"/>
      <c r="E1" s="1778"/>
      <c r="F1" s="2134" t="s">
        <v>716</v>
      </c>
      <c r="G1" s="2135" t="s">
        <v>3159</v>
      </c>
      <c r="H1" s="2134" t="str">
        <f>IF(G1="现房","——","估价对象范围")</f>
        <v>——</v>
      </c>
      <c r="I1" s="2264" t="s">
        <v>717</v>
      </c>
    </row>
    <row r="2" spans="1:12" ht="21.75" customHeight="1" thickBot="1">
      <c r="A2" s="3215" t="str">
        <f>项目基本情况!S2</f>
        <v>北京市顺义区北小营镇顺义新城第30街区30-01-02地块R2二类居住用地出让国有建设用地使用权及在建建筑物房地产</v>
      </c>
      <c r="B2" s="3216"/>
      <c r="C2" s="3216"/>
      <c r="D2" s="3216"/>
      <c r="E2" s="3216"/>
      <c r="F2" s="3216"/>
      <c r="G2" s="3216"/>
      <c r="H2" s="3216"/>
      <c r="I2" s="3217"/>
    </row>
    <row r="3" spans="1:12" ht="12.75">
      <c r="A3" s="3218" t="s">
        <v>718</v>
      </c>
      <c r="B3" s="3219"/>
      <c r="C3" s="3219"/>
      <c r="D3" s="3219"/>
      <c r="E3" s="3219"/>
      <c r="F3" s="3219"/>
      <c r="G3" s="3219"/>
      <c r="H3" s="3219"/>
      <c r="I3" s="3219"/>
    </row>
    <row r="4" spans="1:12" ht="14.25">
      <c r="A4" s="2136" t="s">
        <v>719</v>
      </c>
      <c r="B4" s="2137" t="s">
        <v>720</v>
      </c>
      <c r="C4" s="2138" t="s">
        <v>3011</v>
      </c>
      <c r="D4" s="2138" t="s">
        <v>3014</v>
      </c>
      <c r="E4" s="3220" t="s">
        <v>722</v>
      </c>
      <c r="F4" s="3221"/>
      <c r="G4" s="3221"/>
      <c r="H4" s="3221"/>
      <c r="I4" s="3222"/>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65" t="s">
        <v>723</v>
      </c>
      <c r="B5" s="3306">
        <v>25</v>
      </c>
      <c r="C5" s="3235"/>
      <c r="D5" s="3234"/>
      <c r="E5" s="1676" t="s">
        <v>724</v>
      </c>
      <c r="F5" s="2143"/>
      <c r="G5" s="2143"/>
      <c r="H5" s="2143"/>
      <c r="I5" s="1878"/>
    </row>
    <row r="6" spans="1:12" ht="12.75">
      <c r="A6" s="3265"/>
      <c r="B6" s="3306"/>
      <c r="C6" s="3236"/>
      <c r="D6" s="3234"/>
      <c r="E6" s="1676" t="s">
        <v>725</v>
      </c>
      <c r="F6" s="2143"/>
      <c r="G6" s="2143"/>
      <c r="H6" s="2143"/>
      <c r="I6" s="1878"/>
    </row>
    <row r="7" spans="1:12" ht="12.75">
      <c r="A7" s="3265"/>
      <c r="B7" s="3306"/>
      <c r="C7" s="3237"/>
      <c r="D7" s="3234"/>
      <c r="E7" s="1676" t="s">
        <v>726</v>
      </c>
      <c r="F7" s="2143"/>
      <c r="G7" s="2143"/>
      <c r="H7" s="2143"/>
      <c r="I7" s="1878"/>
    </row>
    <row r="8" spans="1:12" ht="12.75">
      <c r="A8" s="3265" t="s">
        <v>727</v>
      </c>
      <c r="B8" s="3306">
        <v>15</v>
      </c>
      <c r="C8" s="3235"/>
      <c r="D8" s="3234"/>
      <c r="E8" s="1676" t="s">
        <v>728</v>
      </c>
      <c r="F8" s="2143"/>
      <c r="G8" s="2143"/>
      <c r="H8" s="2143"/>
      <c r="I8" s="1878"/>
    </row>
    <row r="9" spans="1:12" ht="12.75">
      <c r="A9" s="3265"/>
      <c r="B9" s="3306"/>
      <c r="C9" s="3237"/>
      <c r="D9" s="3234"/>
      <c r="E9" s="1676" t="s">
        <v>729</v>
      </c>
      <c r="F9" s="2143"/>
      <c r="G9" s="2143"/>
      <c r="H9" s="2143"/>
      <c r="I9" s="1878"/>
    </row>
    <row r="10" spans="1:12" ht="12.75">
      <c r="A10" s="3265" t="s">
        <v>730</v>
      </c>
      <c r="B10" s="3306">
        <v>15</v>
      </c>
      <c r="C10" s="3235"/>
      <c r="D10" s="3234"/>
      <c r="E10" s="1676" t="s">
        <v>731</v>
      </c>
      <c r="F10" s="2143"/>
      <c r="G10" s="2143"/>
      <c r="H10" s="2143"/>
      <c r="I10" s="1878"/>
    </row>
    <row r="11" spans="1:12" ht="12.75">
      <c r="A11" s="3265"/>
      <c r="B11" s="3306"/>
      <c r="C11" s="3237"/>
      <c r="D11" s="3234"/>
      <c r="E11" s="1676" t="s">
        <v>732</v>
      </c>
      <c r="F11" s="2143"/>
      <c r="G11" s="2143"/>
      <c r="H11" s="2143"/>
      <c r="I11" s="1878"/>
    </row>
    <row r="12" spans="1:12" ht="12.75">
      <c r="A12" s="3265" t="s">
        <v>733</v>
      </c>
      <c r="B12" s="3306">
        <v>15</v>
      </c>
      <c r="C12" s="3235"/>
      <c r="D12" s="3234"/>
      <c r="E12" s="1676" t="s">
        <v>734</v>
      </c>
      <c r="F12" s="2143"/>
      <c r="G12" s="2143"/>
      <c r="H12" s="2143"/>
      <c r="I12" s="1878"/>
    </row>
    <row r="13" spans="1:12" ht="12.75">
      <c r="A13" s="3265"/>
      <c r="B13" s="3306"/>
      <c r="C13" s="3237"/>
      <c r="D13" s="3234"/>
      <c r="E13" s="1676" t="s">
        <v>735</v>
      </c>
      <c r="F13" s="2143"/>
      <c r="G13" s="2143"/>
      <c r="H13" s="2143"/>
      <c r="I13" s="1878"/>
    </row>
    <row r="14" spans="1:12" ht="12.75">
      <c r="A14" s="3265" t="s">
        <v>736</v>
      </c>
      <c r="B14" s="3306">
        <v>30</v>
      </c>
      <c r="C14" s="3235">
        <v>5</v>
      </c>
      <c r="D14" s="3234">
        <v>5</v>
      </c>
      <c r="E14" s="1676" t="s">
        <v>737</v>
      </c>
      <c r="F14" s="2143"/>
      <c r="G14" s="2143"/>
      <c r="H14" s="2143"/>
      <c r="I14" s="1878"/>
    </row>
    <row r="15" spans="1:12" ht="12.75">
      <c r="A15" s="3265"/>
      <c r="B15" s="3306"/>
      <c r="C15" s="3236"/>
      <c r="D15" s="3234"/>
      <c r="E15" s="1676" t="s">
        <v>738</v>
      </c>
      <c r="F15" s="2143"/>
      <c r="G15" s="2143"/>
      <c r="H15" s="2143"/>
      <c r="I15" s="1878"/>
    </row>
    <row r="16" spans="1:12" ht="12.75">
      <c r="A16" s="3265"/>
      <c r="B16" s="3306"/>
      <c r="C16" s="3237"/>
      <c r="D16" s="3234"/>
      <c r="E16" s="1676" t="s">
        <v>739</v>
      </c>
      <c r="F16" s="2143"/>
      <c r="G16" s="2143"/>
      <c r="H16" s="2143"/>
      <c r="I16" s="1878"/>
    </row>
    <row r="17" spans="1:36" ht="15">
      <c r="A17" s="2144" t="s">
        <v>740</v>
      </c>
      <c r="B17" s="2145"/>
      <c r="C17" s="2146">
        <f>SUM(C5:C16)</f>
        <v>5</v>
      </c>
      <c r="D17" s="2146">
        <f>SUM(D5:D16)</f>
        <v>5</v>
      </c>
      <c r="E17" s="274"/>
      <c r="F17" s="274"/>
      <c r="G17" s="274"/>
      <c r="H17" s="274"/>
      <c r="I17" s="274"/>
      <c r="K17" s="1636"/>
      <c r="L17" s="1636" t="s">
        <v>741</v>
      </c>
      <c r="M17" s="1636" t="s">
        <v>742</v>
      </c>
    </row>
    <row r="18" spans="1:36" ht="31.9" customHeight="1" thickBot="1">
      <c r="A18" s="2147" t="s">
        <v>743</v>
      </c>
      <c r="B18" s="2148"/>
      <c r="C18" s="2149">
        <f>ROUND(C17/SUM(C17:D17),2)</f>
        <v>0.5</v>
      </c>
      <c r="D18" s="2149">
        <f>1-C18</f>
        <v>0.5</v>
      </c>
      <c r="E18" s="3223" t="s">
        <v>744</v>
      </c>
      <c r="F18" s="3224"/>
      <c r="G18" s="3224"/>
      <c r="H18" s="3224"/>
      <c r="I18" s="3224"/>
      <c r="K18" s="1636" t="s">
        <v>362</v>
      </c>
      <c r="L18" s="1636">
        <f>IF(C1="",'数据-汇总表'!E3,SUMIF(项目类型,C1,'数据-汇总表'!E17:E26)+SUMIF(项目类型,C1,'数据-汇总表'!I17:I26))</f>
        <v>0</v>
      </c>
      <c r="M18" s="1636">
        <f>IF(C1="",'数据-汇总表'!E3,SUMIF(项目类型,C1,'数据-汇总表'!E17:E26))</f>
        <v>0</v>
      </c>
    </row>
    <row r="19" spans="1:36" ht="15">
      <c r="A19" s="1085" t="s">
        <v>745</v>
      </c>
      <c r="B19" s="2150" t="s">
        <v>746</v>
      </c>
      <c r="C19" s="2151">
        <f ca="1">SUMIF(INDIRECT("'"&amp;C4&amp;"'"&amp;"!A:A"),结果表仓!B19,INDIRECT("'"&amp;C4&amp;"'"&amp;"!B:B"))</f>
        <v>0</v>
      </c>
      <c r="D19" s="2115">
        <f ca="1">SUMIF(INDIRECT("'"&amp;D4&amp;"'"&amp;"!A:A"),结果表仓!B19,INDIRECT("'"&amp;D4&amp;"'"&amp;"!B:B"))</f>
        <v>0</v>
      </c>
      <c r="E19" s="1085" t="s">
        <v>747</v>
      </c>
      <c r="F19" s="2150" t="s">
        <v>746</v>
      </c>
      <c r="G19" s="2152">
        <f ca="1">ROUND(C19*$C$18+D19*$D$18,0)</f>
        <v>0</v>
      </c>
      <c r="H19" s="2153" t="s">
        <v>748</v>
      </c>
      <c r="I19" s="274"/>
      <c r="K19" s="1636" t="s">
        <v>366</v>
      </c>
      <c r="L19" s="1636">
        <f>IF(C1="",'数据-汇总表'!D3,SUMIF(项目类型,C1,'数据-汇总表'!D17:D26)+SUMIF(项目类型,C1,'数据-汇总表'!H17:H27))</f>
        <v>0</v>
      </c>
      <c r="M19" s="1636">
        <f>IF(C1="",'数据-汇总表'!D3,SUMIF(项目类型,C1,'数据-汇总表'!D17:D26))</f>
        <v>0</v>
      </c>
    </row>
    <row r="20" spans="1:36" ht="15">
      <c r="A20" s="2154"/>
      <c r="B20" s="2155" t="s">
        <v>749</v>
      </c>
      <c r="C20" s="1427" t="e">
        <f ca="1">SUMIF(INDIRECT("'"&amp;C4&amp;"'"&amp;"!A:A"),结果表仓!B20,INDIRECT("'"&amp;C4&amp;"'"&amp;"!B:B"))</f>
        <v>#DIV/0!</v>
      </c>
      <c r="D20" s="1968">
        <f ca="1">SUMIF(INDIRECT("'"&amp;D4&amp;"'"&amp;"!A:A"),结果表仓!B20,INDIRECT("'"&amp;D4&amp;"'"&amp;"!B:B"))</f>
        <v>0</v>
      </c>
      <c r="E20" s="2154"/>
      <c r="F20" s="2155" t="s">
        <v>749</v>
      </c>
      <c r="G20" s="2156" t="e">
        <f ca="1">ROUND(C20*$C$18+D20*$D$18,0)</f>
        <v>#DIV/0!</v>
      </c>
      <c r="H20" s="1787" t="s">
        <v>750</v>
      </c>
      <c r="I20" s="274"/>
    </row>
    <row r="21" spans="1:36" ht="15" customHeight="1" thickBot="1">
      <c r="A21" s="1091"/>
      <c r="B21" s="2157" t="s">
        <v>751</v>
      </c>
      <c r="C21" s="2158" t="e">
        <f ca="1">ROUND(C19*10000/L19,0)</f>
        <v>#DIV/0!</v>
      </c>
      <c r="D21" s="2159" t="e">
        <f ca="1">ROUND(D19*10000/L19,0)</f>
        <v>#DIV/0!</v>
      </c>
      <c r="E21" s="1091"/>
      <c r="F21" s="2157" t="s">
        <v>751</v>
      </c>
      <c r="G21" s="2160" t="e">
        <f ca="1">ROUND(G19*10000/L19,0)</f>
        <v>#DIV/0!</v>
      </c>
      <c r="H21" s="2161" t="s">
        <v>750</v>
      </c>
      <c r="I21" s="274"/>
      <c r="K21" s="232">
        <v>412505</v>
      </c>
      <c r="L21" s="232">
        <v>400289</v>
      </c>
    </row>
    <row r="22" spans="1:36" ht="15" thickBot="1">
      <c r="A22" s="2162" t="s">
        <v>752</v>
      </c>
      <c r="B22" s="2163"/>
      <c r="C22" s="2164"/>
      <c r="D22" s="2165" t="e">
        <f ca="1">IF(C19&lt;D19,D19/C19-1,C19/D19-1)</f>
        <v>#DIV/0!</v>
      </c>
      <c r="E22" s="274"/>
      <c r="F22" s="274"/>
      <c r="G22" s="274"/>
      <c r="H22" s="274"/>
      <c r="I22" s="274"/>
      <c r="K22" s="232">
        <f ca="1">G19</f>
        <v>0</v>
      </c>
      <c r="L22" s="232">
        <f ca="1">N59</f>
        <v>0</v>
      </c>
    </row>
    <row r="23" spans="1:36" ht="13.5" thickBot="1">
      <c r="A23" s="1778"/>
      <c r="B23" s="1778"/>
      <c r="C23" s="1778"/>
      <c r="D23" s="1778"/>
      <c r="E23" s="274"/>
      <c r="F23" s="274"/>
      <c r="G23" s="274"/>
      <c r="H23" s="274"/>
      <c r="I23" s="274"/>
      <c r="K23" s="232">
        <f ca="1">K21-K22</f>
        <v>412505</v>
      </c>
      <c r="L23" s="232">
        <f ca="1">L21-L22</f>
        <v>400289</v>
      </c>
    </row>
    <row r="24" spans="1:36" ht="14.25">
      <c r="A24" s="3299" t="s">
        <v>753</v>
      </c>
      <c r="B24" s="2150" t="s">
        <v>746</v>
      </c>
      <c r="C24" s="2152">
        <f>IF(B30=0,0,D30)</f>
        <v>0</v>
      </c>
      <c r="D24" s="2166"/>
      <c r="E24" s="274"/>
      <c r="F24" s="274"/>
      <c r="G24" s="274"/>
      <c r="H24" s="274"/>
      <c r="I24" s="274"/>
    </row>
    <row r="25" spans="1:36" ht="14.25">
      <c r="A25" s="3300"/>
      <c r="B25" s="2155" t="s">
        <v>749</v>
      </c>
      <c r="C25" s="2167">
        <f>IF(B30=0,0,C30)</f>
        <v>0</v>
      </c>
      <c r="D25" s="2168"/>
      <c r="E25" s="274"/>
      <c r="F25" s="274"/>
      <c r="G25" s="274"/>
      <c r="H25" s="274"/>
      <c r="I25" s="274"/>
    </row>
    <row r="26" spans="1:36" ht="13.5" customHeight="1">
      <c r="A26" s="2169" t="s">
        <v>754</v>
      </c>
      <c r="B26" s="2170" t="s">
        <v>755</v>
      </c>
      <c r="C26" s="2170" t="s">
        <v>756</v>
      </c>
      <c r="D26" s="2171" t="s">
        <v>757</v>
      </c>
      <c r="E26" s="274"/>
      <c r="F26" s="274"/>
      <c r="G26" s="274"/>
      <c r="H26" s="274"/>
      <c r="I26" s="274"/>
    </row>
    <row r="27" spans="1:36" ht="14.25">
      <c r="A27" s="2169"/>
      <c r="B27" s="2170">
        <v>0</v>
      </c>
      <c r="C27" s="2170">
        <v>0</v>
      </c>
      <c r="D27" s="2171">
        <f>ROUND(C27*B27/10000,0)</f>
        <v>0</v>
      </c>
      <c r="E27" s="274"/>
      <c r="F27" s="274"/>
      <c r="G27" s="274"/>
      <c r="H27" s="274"/>
      <c r="I27" s="274"/>
    </row>
    <row r="28" spans="1:36" ht="14.25">
      <c r="A28" s="2169"/>
      <c r="B28" s="2170"/>
      <c r="C28" s="2170"/>
      <c r="D28" s="2171"/>
      <c r="E28" s="274"/>
      <c r="F28" s="274"/>
      <c r="G28" s="274"/>
      <c r="H28" s="274"/>
      <c r="I28" s="274"/>
    </row>
    <row r="29" spans="1:36" ht="14.25">
      <c r="A29" s="2169"/>
      <c r="B29" s="2170"/>
      <c r="C29" s="2170"/>
      <c r="D29" s="2171"/>
      <c r="E29" s="274"/>
      <c r="F29" s="274"/>
      <c r="G29" s="274"/>
      <c r="H29" s="274"/>
      <c r="I29" s="274"/>
    </row>
    <row r="30" spans="1:36" ht="15" thickBot="1">
      <c r="A30" s="2170" t="s">
        <v>758</v>
      </c>
      <c r="B30" s="2170"/>
      <c r="C30" s="2170"/>
      <c r="D30" s="2170"/>
      <c r="E30" s="2172" t="s">
        <v>759</v>
      </c>
      <c r="F30" s="274"/>
      <c r="G30" s="274"/>
      <c r="H30" s="274"/>
      <c r="I30" s="274"/>
    </row>
    <row r="31" spans="1:36" s="2129" customFormat="1" ht="26.45" customHeight="1" thickTop="1" thickBot="1">
      <c r="A31" s="2173"/>
      <c r="B31" s="2174"/>
      <c r="C31" s="2174"/>
      <c r="D31" s="2174"/>
      <c r="E31" s="2174"/>
      <c r="F31" s="2174"/>
      <c r="G31" s="2174"/>
      <c r="H31" s="2174"/>
      <c r="I31" s="2266" t="s">
        <v>760</v>
      </c>
      <c r="J31" s="2267"/>
      <c r="K31" s="2268"/>
      <c r="L31" s="2268"/>
      <c r="M31" s="2268"/>
      <c r="N31" s="2268"/>
      <c r="O31" s="2268"/>
      <c r="P31" s="2268"/>
      <c r="Q31" s="2268"/>
      <c r="R31" s="2268"/>
      <c r="S31" s="2268"/>
      <c r="T31" s="2268"/>
      <c r="U31" s="2268"/>
      <c r="V31" s="2268"/>
      <c r="W31" s="2268"/>
      <c r="X31" s="2268"/>
      <c r="Y31" s="2268"/>
      <c r="Z31" s="2268"/>
      <c r="AA31" s="2268"/>
      <c r="AB31" s="2298"/>
      <c r="AC31" s="2298"/>
      <c r="AD31" s="2298"/>
      <c r="AE31" s="2298"/>
      <c r="AF31" s="2298"/>
      <c r="AG31" s="2298"/>
      <c r="AH31" s="2298"/>
      <c r="AI31" s="2298"/>
      <c r="AJ31" s="2298"/>
    </row>
    <row r="32" spans="1:36" ht="16.5" thickTop="1" thickBot="1">
      <c r="A32" s="2175" t="s">
        <v>761</v>
      </c>
      <c r="B32" s="2176"/>
      <c r="C32" s="2177">
        <f ca="1">IF(D32="总价",G19-C24,G20-C25)</f>
        <v>0</v>
      </c>
      <c r="D32" s="2178" t="s">
        <v>762</v>
      </c>
      <c r="E32" s="274"/>
      <c r="F32" s="274"/>
      <c r="G32" s="274"/>
      <c r="H32" s="274"/>
      <c r="I32" s="274"/>
    </row>
    <row r="33" spans="1:15" ht="15">
      <c r="A33" s="2015" t="s">
        <v>763</v>
      </c>
      <c r="B33" s="1676"/>
      <c r="C33" s="2179" t="s">
        <v>764</v>
      </c>
      <c r="D33" s="2180" t="s">
        <v>721</v>
      </c>
      <c r="E33" s="2181" t="s">
        <v>765</v>
      </c>
      <c r="F33" s="2182" t="str">
        <f>IF(D32="楼面单价","取值（单价）","取值（总价）")</f>
        <v>取值（总价）</v>
      </c>
      <c r="G33" s="274"/>
      <c r="H33" s="274"/>
      <c r="I33" s="274"/>
    </row>
    <row r="34" spans="1:15" ht="15">
      <c r="A34" s="2183"/>
      <c r="B34" s="2184" t="s">
        <v>766</v>
      </c>
      <c r="C34" s="2185">
        <f ca="1">IF(C33="自定义",F34,C32-C35)</f>
        <v>0</v>
      </c>
      <c r="D34" s="2186">
        <f ca="1">IF(C33="自定义",ROUND(C34/C32,3),IF(C33="收益比率",SUMIF(INDIRECT("'"&amp;D33&amp;"'"&amp;"!b:b"),"土地收益比率",INDIRECT("'"&amp;D33&amp;"'"&amp;"!c:c")),SUMIF(INDIRECT("'"&amp;D33&amp;"'"&amp;"!b:b"),"土地成本比率",INDIRECT("'"&amp;D33&amp;"'"&amp;"!c:c"))))</f>
        <v>0.746</v>
      </c>
      <c r="E34" s="2187" t="s">
        <v>767</v>
      </c>
      <c r="F34" s="2188"/>
      <c r="G34" s="274"/>
      <c r="H34" s="274"/>
      <c r="I34" s="274"/>
    </row>
    <row r="35" spans="1:15" ht="15.75" thickBot="1">
      <c r="A35" s="2189"/>
      <c r="B35" s="2190" t="s">
        <v>768</v>
      </c>
      <c r="C35" s="2191">
        <f ca="1">IF(C33="自定义",F35,ROUND(C32*D35,0))</f>
        <v>0</v>
      </c>
      <c r="D35" s="2192">
        <f ca="1">IF(C33="自定义",ROUND(C35/C32,3),IF(C33="收益比率",SUMIF(INDIRECT("'"&amp;D33&amp;"'"&amp;"!b:b"),"建筑物收益比率",INDIRECT("'"&amp;D33&amp;"'"&amp;"!c:c")),SUMIF(INDIRECT("'"&amp;D33&amp;"'"&amp;"!b:b"),"建筑物成本比率",INDIRECT("'"&amp;D33&amp;"'"&amp;"!c:c"))))</f>
        <v>0.254</v>
      </c>
      <c r="E35" s="2193" t="s">
        <v>769</v>
      </c>
      <c r="F35" s="2194"/>
      <c r="G35" s="274"/>
      <c r="H35" s="274"/>
      <c r="I35" s="274"/>
    </row>
    <row r="36" spans="1:15" ht="15.75" thickBot="1">
      <c r="A36" s="3301" t="s">
        <v>770</v>
      </c>
      <c r="B36" s="2195" t="s">
        <v>771</v>
      </c>
      <c r="C36" s="2196"/>
      <c r="D36" s="2197"/>
      <c r="E36" s="2198"/>
      <c r="F36" s="2199"/>
      <c r="G36" s="274"/>
      <c r="H36" s="274"/>
      <c r="I36" s="274"/>
    </row>
    <row r="37" spans="1:15" ht="15.75" thickBot="1">
      <c r="A37" s="3302"/>
      <c r="B37" s="2200" t="s">
        <v>772</v>
      </c>
      <c r="C37" s="2201"/>
      <c r="D37" s="2202"/>
      <c r="E37" s="2202"/>
      <c r="F37" s="2199"/>
      <c r="G37" s="274"/>
      <c r="H37" s="274"/>
      <c r="I37" s="274"/>
    </row>
    <row r="38" spans="1:15" ht="15.75" thickBot="1">
      <c r="A38" s="3303"/>
      <c r="B38" s="2203" t="s">
        <v>773</v>
      </c>
      <c r="C38" s="2204"/>
      <c r="D38" s="2205" t="s">
        <v>774</v>
      </c>
      <c r="E38" s="2202"/>
      <c r="F38" s="2199"/>
      <c r="G38" s="274"/>
      <c r="H38" s="274"/>
      <c r="I38" s="274"/>
    </row>
    <row r="39" spans="1:15" ht="15">
      <c r="A39" s="2154" t="s">
        <v>775</v>
      </c>
      <c r="B39" s="2206" t="s">
        <v>755</v>
      </c>
      <c r="C39" s="2207" t="s">
        <v>756</v>
      </c>
      <c r="D39" s="2207" t="s">
        <v>776</v>
      </c>
      <c r="E39" s="2208" t="s">
        <v>757</v>
      </c>
      <c r="F39" s="2199"/>
      <c r="G39" s="274"/>
      <c r="H39" s="274"/>
      <c r="I39" s="274"/>
    </row>
    <row r="40" spans="1:15" ht="14.25">
      <c r="A40" s="2209" t="s">
        <v>777</v>
      </c>
      <c r="B40" s="2210"/>
      <c r="C40" s="292"/>
      <c r="D40" s="292"/>
      <c r="E40" s="2211"/>
      <c r="F40" s="2199"/>
      <c r="G40" s="274"/>
      <c r="H40" s="274"/>
      <c r="I40" s="274"/>
    </row>
    <row r="41" spans="1:15" ht="14.25">
      <c r="A41" s="2209" t="s">
        <v>778</v>
      </c>
      <c r="B41" s="2210"/>
      <c r="C41" s="292"/>
      <c r="D41" s="292"/>
      <c r="E41" s="2211"/>
      <c r="F41" s="2199"/>
      <c r="G41" s="274"/>
      <c r="H41" s="274"/>
      <c r="I41" s="274"/>
    </row>
    <row r="42" spans="1:15" ht="15" thickBot="1">
      <c r="A42" s="2212"/>
      <c r="B42" s="2213"/>
      <c r="C42" s="2214"/>
      <c r="D42" s="2214"/>
      <c r="E42" s="2194"/>
      <c r="F42" s="2199"/>
      <c r="G42" s="274"/>
      <c r="H42" s="274"/>
      <c r="I42" s="274"/>
    </row>
    <row r="43" spans="1:15" ht="12.75">
      <c r="A43" s="2215"/>
      <c r="B43" s="2215"/>
      <c r="C43" s="2215"/>
      <c r="D43" s="2215"/>
      <c r="E43" s="2215"/>
      <c r="F43" s="2216"/>
      <c r="G43" s="2216"/>
      <c r="H43" s="2216"/>
      <c r="I43" s="2269"/>
    </row>
    <row r="44" spans="1:15" ht="18.75">
      <c r="A44" s="2217" t="s">
        <v>779</v>
      </c>
      <c r="B44" s="2218"/>
      <c r="C44" s="2218"/>
      <c r="D44" s="2219"/>
      <c r="E44" s="2219"/>
      <c r="F44" s="2220"/>
      <c r="G44" s="2220"/>
      <c r="H44" s="2220"/>
      <c r="I44" s="2220"/>
      <c r="J44" s="2270" t="s">
        <v>780</v>
      </c>
      <c r="K44" s="465"/>
      <c r="L44" s="465"/>
      <c r="M44" s="465"/>
      <c r="N44" s="465"/>
      <c r="O44" s="465"/>
    </row>
    <row r="45" spans="1:15" ht="14.25" customHeight="1" thickBot="1">
      <c r="A45" s="3225" t="s">
        <v>781</v>
      </c>
      <c r="B45" s="3226"/>
      <c r="C45" s="3227"/>
      <c r="D45" s="1635">
        <f ca="1">ROUND(H101*F45,0)</f>
        <v>0</v>
      </c>
      <c r="E45" s="2221" t="s">
        <v>782</v>
      </c>
      <c r="F45" s="2222">
        <v>0.56000000000000005</v>
      </c>
      <c r="G45" s="1646" t="s">
        <v>783</v>
      </c>
      <c r="H45" s="274"/>
      <c r="I45" s="274"/>
      <c r="J45" s="3228" t="s">
        <v>784</v>
      </c>
      <c r="K45" s="3228"/>
      <c r="L45" s="3228"/>
      <c r="M45" s="3228"/>
      <c r="N45" s="3228"/>
      <c r="O45" s="3228"/>
    </row>
    <row r="46" spans="1:15" ht="14.25" customHeight="1">
      <c r="A46" s="3229" t="s">
        <v>785</v>
      </c>
      <c r="B46" s="3230"/>
      <c r="C46" s="3230"/>
      <c r="D46" s="3230"/>
      <c r="E46" s="3230"/>
      <c r="F46" s="3230"/>
      <c r="G46" s="3231"/>
      <c r="H46" s="2223"/>
      <c r="I46" s="275"/>
      <c r="J46" s="3058">
        <v>1</v>
      </c>
      <c r="K46" s="3232" t="s">
        <v>786</v>
      </c>
      <c r="L46" s="3232"/>
      <c r="M46" s="3233"/>
      <c r="N46" s="3233"/>
      <c r="O46" s="3233"/>
    </row>
    <row r="47" spans="1:15" ht="12" customHeight="1">
      <c r="A47" s="2224" t="s">
        <v>787</v>
      </c>
      <c r="B47" s="2225"/>
      <c r="C47" s="2226"/>
      <c r="D47" s="1685" t="s">
        <v>788</v>
      </c>
      <c r="E47" s="1636" t="s">
        <v>789</v>
      </c>
      <c r="F47" s="2227" t="s">
        <v>790</v>
      </c>
      <c r="G47" s="2228" t="s">
        <v>791</v>
      </c>
      <c r="H47" s="2229"/>
      <c r="I47" s="275"/>
      <c r="J47" s="3058">
        <v>2</v>
      </c>
      <c r="K47" s="3232" t="s">
        <v>792</v>
      </c>
      <c r="L47" s="3232"/>
      <c r="M47" s="3238">
        <f>'数据-取费表'!B2</f>
        <v>45475</v>
      </c>
      <c r="N47" s="3238"/>
      <c r="O47" s="3238"/>
    </row>
    <row r="48" spans="1:15" ht="25.5">
      <c r="A48" s="3239" t="s">
        <v>793</v>
      </c>
      <c r="B48" s="3240"/>
      <c r="C48" s="3240"/>
      <c r="D48" s="3061">
        <f ca="1">IF(H48="情况1",0,IF(H48="情况2",D52,IF(H48="情况3",D53,IF(H48="情况4",D54))))</f>
        <v>0</v>
      </c>
      <c r="E48" s="3055" t="str">
        <f>IF(H48="情况4","(销售额-原购置价)×税（费）率","销售额×税（费）率")</f>
        <v>销售额×税（费）率</v>
      </c>
      <c r="F48" s="2231">
        <f>IF(H48="情况1","免征",'数据-取费表'!B41)</f>
        <v>5.5E-2</v>
      </c>
      <c r="G48" s="2232" t="s">
        <v>794</v>
      </c>
      <c r="H48" s="2233" t="s">
        <v>795</v>
      </c>
      <c r="I48" s="2223"/>
      <c r="J48" s="3058">
        <v>3</v>
      </c>
      <c r="K48" s="3232" t="s">
        <v>796</v>
      </c>
      <c r="L48" s="3232"/>
      <c r="M48" s="3241">
        <f ca="1">H101</f>
        <v>0</v>
      </c>
      <c r="N48" s="3241"/>
      <c r="O48" s="3241"/>
    </row>
    <row r="49" spans="1:35" ht="25.5" customHeight="1">
      <c r="A49" s="3054" t="s">
        <v>797</v>
      </c>
      <c r="B49" s="3242" t="s">
        <v>798</v>
      </c>
      <c r="C49" s="3242"/>
      <c r="D49" s="2234">
        <v>0</v>
      </c>
      <c r="E49" s="1695" t="s">
        <v>799</v>
      </c>
      <c r="F49" s="3051" t="s">
        <v>124</v>
      </c>
      <c r="G49" s="3248"/>
      <c r="H49" s="2236" t="s">
        <v>800</v>
      </c>
      <c r="I49" s="2273"/>
      <c r="J49" s="3058">
        <v>4</v>
      </c>
      <c r="K49" s="3232" t="str">
        <f>IF(项目基本情况!E8="房地产抵押价值","房地产抵押价值","抵押担保权已注销时的房地产抵押价值")</f>
        <v>房地产抵押价值</v>
      </c>
      <c r="L49" s="3232"/>
      <c r="M49" s="3241">
        <f ca="1">IF(项目基本情况!E8="房地产抵押价值",H107,H109)</f>
        <v>0</v>
      </c>
      <c r="N49" s="3241"/>
      <c r="O49" s="3241"/>
    </row>
    <row r="50" spans="1:35" ht="25.5" customHeight="1">
      <c r="A50" s="2237"/>
      <c r="B50" s="3242" t="s">
        <v>801</v>
      </c>
      <c r="C50" s="3242"/>
      <c r="D50" s="2238"/>
      <c r="E50" s="1710"/>
      <c r="F50" s="3051"/>
      <c r="G50" s="3249"/>
      <c r="H50" s="2239" t="s">
        <v>802</v>
      </c>
      <c r="I50" s="2273"/>
      <c r="J50" s="3228" t="s">
        <v>803</v>
      </c>
      <c r="K50" s="3228"/>
      <c r="L50" s="3228"/>
      <c r="M50" s="3228"/>
      <c r="N50" s="3228"/>
      <c r="O50" s="3228"/>
    </row>
    <row r="51" spans="1:35" ht="20.45" customHeight="1">
      <c r="A51" s="2240"/>
      <c r="B51" s="3242" t="s">
        <v>804</v>
      </c>
      <c r="C51" s="3242"/>
      <c r="D51" s="1685"/>
      <c r="E51" s="1699"/>
      <c r="F51" s="3051"/>
      <c r="G51" s="3250"/>
      <c r="H51" s="2239" t="s">
        <v>805</v>
      </c>
      <c r="I51" s="2273"/>
      <c r="J51" s="3053" t="s">
        <v>806</v>
      </c>
      <c r="K51" s="3232" t="s">
        <v>807</v>
      </c>
      <c r="L51" s="3232"/>
      <c r="M51" s="3053" t="s">
        <v>808</v>
      </c>
      <c r="N51" s="3053" t="s">
        <v>809</v>
      </c>
      <c r="O51" s="3053" t="s">
        <v>810</v>
      </c>
    </row>
    <row r="52" spans="1:35" ht="24" customHeight="1">
      <c r="A52" s="3060" t="s">
        <v>811</v>
      </c>
      <c r="B52" s="3242" t="s">
        <v>812</v>
      </c>
      <c r="C52" s="3242"/>
      <c r="D52" s="1685">
        <f ca="1">ROUND(D45*'数据-取费表'!B41/(1+'数据-取费表'!C42),0)</f>
        <v>0</v>
      </c>
      <c r="E52" s="3055" t="s">
        <v>813</v>
      </c>
      <c r="F52" s="2242">
        <f>'数据-取费表'!B41</f>
        <v>5.5E-2</v>
      </c>
      <c r="G52" s="2243"/>
      <c r="H52" s="1799"/>
      <c r="I52" s="2274"/>
      <c r="J52" s="3058">
        <v>1</v>
      </c>
      <c r="K52" s="3244" t="s">
        <v>814</v>
      </c>
      <c r="L52" s="3244"/>
      <c r="M52" s="2275">
        <f ca="1">D48</f>
        <v>0</v>
      </c>
      <c r="N52" s="3058" t="str">
        <f>E48</f>
        <v>销售额×税（费）率</v>
      </c>
      <c r="O52" s="2276">
        <f>F48</f>
        <v>5.5E-2</v>
      </c>
    </row>
    <row r="53" spans="1:35" ht="12" customHeight="1">
      <c r="A53" s="3060" t="s">
        <v>815</v>
      </c>
      <c r="B53" s="3245" t="s">
        <v>816</v>
      </c>
      <c r="C53" s="3246"/>
      <c r="D53" s="1685">
        <f ca="1">ROUND(D45*'数据-取费表'!B41/(1+'数据-取费表'!C42),0)</f>
        <v>0</v>
      </c>
      <c r="E53" s="3055" t="s">
        <v>813</v>
      </c>
      <c r="F53" s="2242">
        <f>'数据-取费表'!B41</f>
        <v>5.5E-2</v>
      </c>
      <c r="G53" s="2243"/>
      <c r="H53" s="1799"/>
      <c r="I53" s="2274"/>
      <c r="J53" s="3058">
        <v>2</v>
      </c>
      <c r="K53" s="3244" t="s">
        <v>817</v>
      </c>
      <c r="L53" s="3244"/>
      <c r="M53" s="2275">
        <f t="shared" ref="M53:O54" ca="1" si="0">D55</f>
        <v>0</v>
      </c>
      <c r="N53" s="3058" t="str">
        <f t="shared" si="0"/>
        <v>销售额×税（费）率</v>
      </c>
      <c r="O53" s="2276">
        <f t="shared" si="0"/>
        <v>5.0000000000000001E-4</v>
      </c>
    </row>
    <row r="54" spans="1:35" ht="12" customHeight="1">
      <c r="A54" s="3060" t="s">
        <v>818</v>
      </c>
      <c r="B54" s="3245" t="s">
        <v>819</v>
      </c>
      <c r="C54" s="3246"/>
      <c r="D54" s="1685">
        <f ca="1">C68</f>
        <v>0</v>
      </c>
      <c r="E54" s="1699" t="s">
        <v>820</v>
      </c>
      <c r="F54" s="2242">
        <f>'数据-取费表'!B41</f>
        <v>5.5E-2</v>
      </c>
      <c r="G54" s="2243"/>
      <c r="H54" s="2244"/>
      <c r="I54" s="2274"/>
      <c r="J54" s="3058">
        <v>3</v>
      </c>
      <c r="K54" s="3244" t="s">
        <v>821</v>
      </c>
      <c r="L54" s="3244"/>
      <c r="M54" s="2275">
        <f t="shared" ca="1" si="0"/>
        <v>0</v>
      </c>
      <c r="N54" s="3058" t="str">
        <f t="shared" si="0"/>
        <v>增值额×税（费）率</v>
      </c>
      <c r="O54" s="2277" t="str">
        <f t="shared" si="0"/>
        <v>——</v>
      </c>
    </row>
    <row r="55" spans="1:35" ht="24" customHeight="1">
      <c r="A55" s="3247" t="s">
        <v>822</v>
      </c>
      <c r="B55" s="3240"/>
      <c r="C55" s="3240"/>
      <c r="D55" s="3061">
        <f ca="1">IF(H55="个人住宅",0,ROUND(D45*I55,0))</f>
        <v>0</v>
      </c>
      <c r="E55" s="3055" t="s">
        <v>823</v>
      </c>
      <c r="F55" s="2242">
        <f>IF(H55="正常",I55,"免征")</f>
        <v>5.0000000000000001E-4</v>
      </c>
      <c r="G55" s="2243"/>
      <c r="H55" s="2233" t="s">
        <v>824</v>
      </c>
      <c r="I55" s="2278">
        <f>'数据-取费表'!B49</f>
        <v>5.0000000000000001E-4</v>
      </c>
      <c r="J55" s="3058" t="str">
        <f>IF(H59="非个人房产","",4)</f>
        <v/>
      </c>
      <c r="K55" s="3244" t="str">
        <f>IF(H59="非个人房产","——","个人所得税")</f>
        <v>——</v>
      </c>
      <c r="L55" s="3244"/>
      <c r="M55" s="2279" t="str">
        <f>D59</f>
        <v>——</v>
      </c>
      <c r="N55" s="3064" t="str">
        <f>E59</f>
        <v>——</v>
      </c>
      <c r="O55" s="2280" t="str">
        <f>F59</f>
        <v>——</v>
      </c>
    </row>
    <row r="56" spans="1:35" ht="24.75">
      <c r="A56" s="3247" t="s">
        <v>825</v>
      </c>
      <c r="B56" s="3240"/>
      <c r="C56" s="3240"/>
      <c r="D56" s="3061">
        <f ca="1">IF(H56="个人住宅",D57,D58)</f>
        <v>0</v>
      </c>
      <c r="E56" s="3055" t="s">
        <v>826</v>
      </c>
      <c r="F56" s="2242" t="str">
        <f>IF(H56="正常",F58,"免征")</f>
        <v>——</v>
      </c>
      <c r="G56" s="2245" t="s">
        <v>827</v>
      </c>
      <c r="H56" s="2246" t="s">
        <v>824</v>
      </c>
      <c r="I56" s="2255"/>
      <c r="J56" s="3058" t="str">
        <f>IF(项目基本情况!K6="上海银行",IF(J55="",4,J55+1),"")</f>
        <v/>
      </c>
      <c r="K56" s="3251" t="str">
        <f>IF(项目基本情况!K6="上海银行","其他处置费用","")</f>
        <v/>
      </c>
      <c r="L56" s="3252"/>
      <c r="M56" s="2275" t="str">
        <f>IF(项目基本情况!K6="上海银行",M69,"")</f>
        <v/>
      </c>
      <c r="N56" s="3251" t="str">
        <f>IF(项目基本情况!K6="上海银行","包含处置中涉及的律师、诉讼、拍卖、评估等费用","")</f>
        <v/>
      </c>
      <c r="O56" s="3253"/>
    </row>
    <row r="57" spans="1:35" ht="12.75">
      <c r="A57" s="3060" t="s">
        <v>797</v>
      </c>
      <c r="B57" s="3245" t="s">
        <v>828</v>
      </c>
      <c r="C57" s="3246"/>
      <c r="D57" s="2234">
        <v>0</v>
      </c>
      <c r="E57" s="1695" t="s">
        <v>799</v>
      </c>
      <c r="F57" s="1636"/>
      <c r="G57" s="2243"/>
      <c r="H57" s="2247"/>
      <c r="I57" s="2255"/>
      <c r="J57" s="3244">
        <f>IF(AND(J55="",J56=""),4,IF(项目基本情况!K6="上海银行",结果表仓!J56+1,结果表仓!J55+1))</f>
        <v>4</v>
      </c>
      <c r="K57" s="3244" t="s">
        <v>829</v>
      </c>
      <c r="L57" s="2281" t="s">
        <v>830</v>
      </c>
      <c r="M57" s="2282"/>
      <c r="N57" s="2283">
        <f ca="1">SUMIF(M52:M56,"&lt;9e307")</f>
        <v>0</v>
      </c>
      <c r="O57" s="2284"/>
      <c r="P57" s="2285" t="e">
        <f ca="1">N57/M49</f>
        <v>#DIV/0!</v>
      </c>
    </row>
    <row r="58" spans="1:35" ht="24.75">
      <c r="A58" s="3060" t="s">
        <v>811</v>
      </c>
      <c r="B58" s="3245" t="s">
        <v>831</v>
      </c>
      <c r="C58" s="3242"/>
      <c r="D58" s="3061">
        <f ca="1">IF(H58="转让取得",C81,C97)</f>
        <v>0</v>
      </c>
      <c r="E58" s="3055" t="s">
        <v>826</v>
      </c>
      <c r="F58" s="1636" t="s">
        <v>124</v>
      </c>
      <c r="G58" s="2243"/>
      <c r="H58" s="2246" t="s">
        <v>832</v>
      </c>
      <c r="I58" s="2255"/>
      <c r="J58" s="3244"/>
      <c r="K58" s="3244"/>
      <c r="L58" s="2281" t="s">
        <v>833</v>
      </c>
      <c r="M58" s="2286"/>
      <c r="N58" s="2287" t="str">
        <f ca="1">NUMBERSTRING(INT(N57*10000),2)&amp;"元整"</f>
        <v>零元整</v>
      </c>
      <c r="O58" s="2288"/>
    </row>
    <row r="59" spans="1:35" ht="24.75" thickBot="1">
      <c r="A59" s="3254" t="s">
        <v>834</v>
      </c>
      <c r="B59" s="3255"/>
      <c r="C59" s="3255"/>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827</v>
      </c>
      <c r="H59" s="2252" t="s">
        <v>835</v>
      </c>
      <c r="I59" s="2289" t="s">
        <v>836</v>
      </c>
      <c r="J59" s="3259">
        <f>J57+1</f>
        <v>5</v>
      </c>
      <c r="K59" s="3244" t="s">
        <v>837</v>
      </c>
      <c r="L59" s="3058" t="s">
        <v>830</v>
      </c>
      <c r="M59" s="2290"/>
      <c r="N59" s="2291">
        <f ca="1">M49-N57</f>
        <v>0</v>
      </c>
      <c r="O59" s="2292"/>
    </row>
    <row r="60" spans="1:35" ht="12" customHeight="1">
      <c r="A60" s="2253"/>
      <c r="B60" s="1778"/>
      <c r="C60" s="1778"/>
      <c r="D60" s="1778"/>
      <c r="E60" s="2254"/>
      <c r="F60" s="2255"/>
      <c r="G60" s="2255"/>
      <c r="H60" s="275"/>
      <c r="I60" s="274"/>
      <c r="J60" s="3260"/>
      <c r="K60" s="3244"/>
      <c r="L60" s="2281" t="s">
        <v>833</v>
      </c>
      <c r="M60" s="2286"/>
      <c r="N60" s="2287" t="str">
        <f ca="1">NUMBERSTRING(INT(N59*10000),2)&amp;"元整"</f>
        <v>零元整</v>
      </c>
      <c r="O60" s="2288"/>
    </row>
    <row r="61" spans="1:35" ht="13.5" thickBot="1">
      <c r="A61" s="3256" t="s">
        <v>838</v>
      </c>
      <c r="B61" s="3256"/>
      <c r="C61" s="3256"/>
      <c r="D61" s="3256"/>
      <c r="E61" s="3256"/>
      <c r="F61" s="2255"/>
      <c r="G61" s="2255"/>
      <c r="H61" s="275"/>
      <c r="I61" s="274"/>
      <c r="J61" s="3058">
        <f>J59+1</f>
        <v>6</v>
      </c>
      <c r="K61" s="3244" t="s">
        <v>839</v>
      </c>
      <c r="L61" s="3244"/>
      <c r="M61" s="2293"/>
      <c r="N61" s="2294">
        <f ca="1">ROUND(N59*10000/'数据-汇总表'!E3,0)</f>
        <v>0</v>
      </c>
      <c r="O61" s="2295"/>
    </row>
    <row r="62" spans="1:35" ht="12.75">
      <c r="A62" s="3257" t="s">
        <v>840</v>
      </c>
      <c r="B62" s="3258"/>
      <c r="C62" s="3063"/>
      <c r="D62" s="3063" t="s">
        <v>841</v>
      </c>
      <c r="E62" s="2256" t="s">
        <v>791</v>
      </c>
      <c r="F62" s="2255"/>
      <c r="G62" s="2255"/>
      <c r="H62" s="275"/>
      <c r="I62" s="274"/>
    </row>
    <row r="63" spans="1:35" ht="12.75">
      <c r="A63" s="2257" t="s">
        <v>842</v>
      </c>
      <c r="B63" s="2258" t="s">
        <v>843</v>
      </c>
      <c r="C63" s="2259">
        <f ca="1">ROUND((C64+C65)/(1+'数据-取费表'!C42),0)</f>
        <v>0</v>
      </c>
      <c r="D63" s="2258"/>
      <c r="E63" s="2260"/>
      <c r="F63" s="2255"/>
      <c r="G63" s="2255"/>
      <c r="H63" s="275"/>
      <c r="I63" s="274"/>
      <c r="J63" s="3243" t="s">
        <v>844</v>
      </c>
      <c r="K63" s="3057" t="s">
        <v>845</v>
      </c>
      <c r="L63" s="3057">
        <f ca="1">IF(M49&gt;10000,M49*0.5%,IF(AND(M49&gt;1000,M49&lt;=10000),M49*1%,IF(AND(M49&gt;100,M49&lt;=1000),M49*3%,IF(AND(M49&gt;10,M49&lt;=100),M49*5%,M49*8%))))</f>
        <v>0</v>
      </c>
      <c r="M63" s="1636">
        <f ca="1">ROUND(L63,1)</f>
        <v>0</v>
      </c>
      <c r="N63" s="2297"/>
      <c r="Z63" s="2130"/>
      <c r="AI63" s="2131"/>
    </row>
    <row r="64" spans="1:35" ht="14.25" customHeight="1">
      <c r="A64" s="2261" t="s">
        <v>846</v>
      </c>
      <c r="B64" s="560" t="s">
        <v>847</v>
      </c>
      <c r="C64" s="2262">
        <f ca="1">D45</f>
        <v>0</v>
      </c>
      <c r="D64" s="560" t="s">
        <v>124</v>
      </c>
      <c r="E64" s="2263"/>
      <c r="F64" s="2255"/>
      <c r="G64" s="2255"/>
      <c r="H64" s="275"/>
      <c r="I64" s="274"/>
      <c r="J64" s="3243"/>
      <c r="K64" s="3057" t="s">
        <v>848</v>
      </c>
      <c r="L64" s="3057" t="b">
        <f ca="1">IF(M49&gt;2000,M49*0.5%,IF(AND(M49&gt;1000,M49&lt;=2000),M49*0.6%,IF(AND(M49&gt;500,M49&lt;=1000),M49*0.7%,IF(AND(M49&gt;200,M49&lt;=500),M49*0.8%,IF(AND(M49&gt;100,M49&lt;=200),M49*0.9%,IF(AND(M49&gt;50,M49&lt;=100),M49*1%,IF(AND(M49&gt;20,M49&lt;=50),M49*1.5%,IF(AND(M49&gt;10,M49&lt;=20),M49*2%,IF(AND(M49&gt;1,M49&lt;=10),M49*2.5%)))))))))</f>
        <v>0</v>
      </c>
      <c r="M64" s="1636">
        <f t="shared" ref="M64:M65" ca="1" si="1">ROUND(L64,1)</f>
        <v>0</v>
      </c>
      <c r="N64" s="1799" t="s">
        <v>849</v>
      </c>
      <c r="Z64" s="2130"/>
      <c r="AI64" s="2131"/>
    </row>
    <row r="65" spans="1:35" ht="14.25" customHeight="1">
      <c r="A65" s="2261" t="s">
        <v>850</v>
      </c>
      <c r="B65" s="560" t="s">
        <v>851</v>
      </c>
      <c r="C65" s="2299"/>
      <c r="D65" s="560"/>
      <c r="E65" s="2263"/>
      <c r="F65" s="2255"/>
      <c r="G65" s="2255"/>
      <c r="H65" s="275"/>
      <c r="I65" s="274"/>
      <c r="J65" s="3243"/>
      <c r="K65" s="3057" t="s">
        <v>852</v>
      </c>
      <c r="L65" s="3057" t="b">
        <f ca="1">IF(M49&gt;1000,M49*0.1%,IF(AND(M49&gt;500,M49&lt;=1000),M49*0.5%,IF(AND(M49&gt;50,M49&lt;=500),M49*1%,IF(AND(M49&gt;1,M49&lt;=50),M49*1.5%))))</f>
        <v>0</v>
      </c>
      <c r="M65" s="1636">
        <f t="shared" ca="1" si="1"/>
        <v>0</v>
      </c>
      <c r="N65" s="1799" t="s">
        <v>849</v>
      </c>
      <c r="Z65" s="2130"/>
      <c r="AI65" s="2131"/>
    </row>
    <row r="66" spans="1:35" ht="14.25" customHeight="1">
      <c r="A66" s="2257" t="s">
        <v>853</v>
      </c>
      <c r="B66" s="2300" t="s">
        <v>854</v>
      </c>
      <c r="C66" s="2301"/>
      <c r="D66" s="2300" t="s">
        <v>124</v>
      </c>
      <c r="E66" s="2302" t="s">
        <v>855</v>
      </c>
      <c r="F66" s="2255"/>
      <c r="G66" s="2255"/>
      <c r="H66" s="275"/>
      <c r="I66" s="274"/>
      <c r="J66" s="3243"/>
      <c r="K66" s="3057" t="s">
        <v>856</v>
      </c>
      <c r="L66" s="3057">
        <f ca="1">M49*0.5%</f>
        <v>0</v>
      </c>
      <c r="M66" s="1636">
        <f ca="1">IF(L66&gt;0.5,0.5,ROUND(L66,0))</f>
        <v>0</v>
      </c>
      <c r="N66" s="1799" t="s">
        <v>857</v>
      </c>
      <c r="Z66" s="2130"/>
      <c r="AI66" s="2131"/>
    </row>
    <row r="67" spans="1:35" ht="14.25" customHeight="1">
      <c r="A67" s="2257" t="s">
        <v>858</v>
      </c>
      <c r="B67" s="2300" t="s">
        <v>859</v>
      </c>
      <c r="C67" s="2303">
        <f ca="1">C63-C66</f>
        <v>0</v>
      </c>
      <c r="D67" s="560" t="s">
        <v>124</v>
      </c>
      <c r="E67" s="2263"/>
      <c r="F67" s="2255"/>
      <c r="G67" s="2255"/>
      <c r="H67" s="275"/>
      <c r="I67" s="274"/>
      <c r="J67" s="3243"/>
      <c r="K67" s="3057" t="s">
        <v>860</v>
      </c>
      <c r="L67" s="3057" t="b">
        <f ca="1">IF(M49&gt;=10000,(8.25+(M49-10000)*0.01%),IF(AND(M49&gt;=8000,M49&lt;10000),(7.85+(M49-8000)*0.02%),IF(AND(M49&gt;=5000,M49&lt;8000),(6.65+(M49-5000)*0.04%),IF(AND(M49&gt;=2000,M49&lt;5000),(4.25+(PM49-2000)*0.08%),IF(AND(M49&gt;=1000,M49&lt;2000),(2.75+(M49-1000)*0.15%),IF(AND(M49&gt;=100,M49&lt;1000),(0.5+(M49-100)*0.25%),IF(AND(M49&gt;0,M49&lt;100),M49*0.5%)))))))</f>
        <v>0</v>
      </c>
      <c r="M67" s="1636">
        <f ca="1">ROUND(L67*0.9,1)</f>
        <v>0</v>
      </c>
      <c r="N67" s="2297"/>
      <c r="Z67" s="2130"/>
      <c r="AI67" s="2131"/>
    </row>
    <row r="68" spans="1:35" ht="14.25" customHeight="1" thickBot="1">
      <c r="A68" s="2304" t="s">
        <v>861</v>
      </c>
      <c r="B68" s="2305" t="s">
        <v>862</v>
      </c>
      <c r="C68" s="2306">
        <f ca="1">IF(C67&lt;=0,0,ROUND(C67*D68,0))</f>
        <v>0</v>
      </c>
      <c r="D68" s="2307">
        <f>'数据-取费表'!B41</f>
        <v>5.5E-2</v>
      </c>
      <c r="E68" s="2308"/>
      <c r="F68" s="2255"/>
      <c r="G68" s="2255"/>
      <c r="H68" s="275"/>
      <c r="I68" s="274"/>
      <c r="J68" s="3243"/>
      <c r="K68" s="3057" t="s">
        <v>863</v>
      </c>
      <c r="L68" s="3057">
        <f ca="1">IF(M49&gt;10000,M49*0.5%,IF(AND(M49&gt;5000,M49&lt;=10000),M49*1%,IF(AND(M49&gt;1000,M49&lt;=5000),M49*2%,IF(AND(M49&gt;200,M49&lt;=1000),M49*3%,M49*5%))))</f>
        <v>0</v>
      </c>
      <c r="M68" s="1636">
        <f ca="1">ROUND(L68,1)</f>
        <v>0</v>
      </c>
      <c r="N68" s="2297"/>
      <c r="Z68" s="2130"/>
      <c r="AI68" s="2131"/>
    </row>
    <row r="69" spans="1:35" ht="16.5" customHeight="1">
      <c r="A69" s="2309"/>
      <c r="B69" s="2310"/>
      <c r="C69" s="2311"/>
      <c r="D69" s="711"/>
      <c r="E69" s="2312"/>
      <c r="F69" s="2254"/>
      <c r="G69" s="2254"/>
      <c r="H69" s="2215"/>
      <c r="I69" s="1778"/>
      <c r="J69" s="3243"/>
      <c r="K69" s="3057" t="s">
        <v>864</v>
      </c>
      <c r="L69" s="3057"/>
      <c r="M69" s="1636">
        <f ca="1">ROUND(SUM(M63:M68),0)</f>
        <v>0</v>
      </c>
      <c r="N69" s="2374" t="e">
        <f ca="1">M69/M49</f>
        <v>#DIV/0!</v>
      </c>
      <c r="Z69" s="2130"/>
      <c r="AI69" s="2131"/>
    </row>
    <row r="70" spans="1:35" s="463" customFormat="1" ht="15" thickBot="1">
      <c r="A70" s="3284" t="s">
        <v>865</v>
      </c>
      <c r="B70" s="3285"/>
      <c r="C70" s="3285"/>
      <c r="D70" s="3285"/>
      <c r="E70" s="3285"/>
      <c r="F70" s="3285"/>
      <c r="G70" s="3285"/>
      <c r="H70" s="3285"/>
      <c r="I70" s="2375"/>
      <c r="J70" s="1362"/>
      <c r="K70" s="1362"/>
      <c r="L70" s="1362"/>
      <c r="M70" s="1362"/>
      <c r="N70" s="2376"/>
      <c r="O70" s="2376"/>
      <c r="P70" s="2376"/>
      <c r="Q70" s="2376"/>
      <c r="R70" s="2376"/>
      <c r="S70" s="2376"/>
      <c r="T70" s="2376"/>
      <c r="U70" s="2376"/>
      <c r="V70" s="2376"/>
      <c r="W70" s="2376"/>
      <c r="X70" s="2376"/>
      <c r="Y70" s="2376"/>
      <c r="Z70" s="2376"/>
      <c r="AA70" s="2383"/>
      <c r="AB70" s="2383"/>
      <c r="AC70" s="2383"/>
      <c r="AD70" s="2383"/>
      <c r="AE70" s="2383"/>
      <c r="AF70" s="2383"/>
      <c r="AG70" s="2383"/>
      <c r="AH70" s="2383"/>
      <c r="AI70" s="2383"/>
    </row>
    <row r="71" spans="1:35" s="463" customFormat="1" ht="14.25">
      <c r="A71" s="3257" t="s">
        <v>840</v>
      </c>
      <c r="B71" s="3258"/>
      <c r="C71" s="3063"/>
      <c r="D71" s="3063" t="s">
        <v>841</v>
      </c>
      <c r="E71" s="2313" t="s">
        <v>791</v>
      </c>
      <c r="F71" s="2314"/>
      <c r="G71" s="2314"/>
      <c r="H71" s="2315"/>
      <c r="I71" s="2377"/>
      <c r="J71" s="1362"/>
      <c r="K71" s="1362"/>
      <c r="L71" s="1362"/>
      <c r="M71" s="1362"/>
      <c r="N71" s="2376"/>
      <c r="O71" s="2376"/>
      <c r="P71" s="2376"/>
      <c r="Q71" s="2376"/>
      <c r="R71" s="2376"/>
      <c r="S71" s="2376"/>
      <c r="T71" s="2376"/>
      <c r="U71" s="2376"/>
      <c r="V71" s="2376"/>
      <c r="W71" s="2376"/>
      <c r="X71" s="2376"/>
      <c r="Y71" s="2376"/>
      <c r="Z71" s="2376"/>
      <c r="AA71" s="2383"/>
      <c r="AB71" s="2383"/>
      <c r="AC71" s="2383"/>
      <c r="AD71" s="2383"/>
      <c r="AE71" s="2383"/>
      <c r="AF71" s="2383"/>
      <c r="AG71" s="2383"/>
      <c r="AH71" s="2383"/>
      <c r="AI71" s="2383"/>
    </row>
    <row r="72" spans="1:35" s="463" customFormat="1" ht="14.25">
      <c r="A72" s="2257" t="s">
        <v>842</v>
      </c>
      <c r="B72" s="2300" t="s">
        <v>866</v>
      </c>
      <c r="C72" s="2303">
        <f ca="1">ROUND(D45/(1+'数据-取费表'!C42),0)</f>
        <v>0</v>
      </c>
      <c r="D72" s="560" t="s">
        <v>124</v>
      </c>
      <c r="E72" s="3059"/>
      <c r="F72" s="3056"/>
      <c r="G72" s="3056"/>
      <c r="H72" s="2316"/>
      <c r="I72" s="2377"/>
      <c r="J72" s="1362"/>
      <c r="K72" s="1362"/>
      <c r="L72" s="1362"/>
      <c r="M72" s="1362"/>
      <c r="N72" s="2376"/>
      <c r="O72" s="2376"/>
      <c r="P72" s="2376"/>
      <c r="Q72" s="2376"/>
      <c r="R72" s="2376"/>
      <c r="S72" s="2376"/>
      <c r="T72" s="2376"/>
      <c r="U72" s="2376"/>
      <c r="V72" s="2376"/>
      <c r="W72" s="2376"/>
      <c r="X72" s="2376"/>
      <c r="Y72" s="2376"/>
      <c r="Z72" s="2376"/>
      <c r="AA72" s="2383"/>
      <c r="AB72" s="2383"/>
      <c r="AC72" s="2383"/>
      <c r="AD72" s="2383"/>
      <c r="AE72" s="2383"/>
      <c r="AF72" s="2383"/>
      <c r="AG72" s="2383"/>
      <c r="AH72" s="2383"/>
      <c r="AI72" s="2383"/>
    </row>
    <row r="73" spans="1:35" s="463" customFormat="1" ht="14.25">
      <c r="A73" s="2257" t="s">
        <v>853</v>
      </c>
      <c r="B73" s="2227" t="s">
        <v>867</v>
      </c>
      <c r="C73" s="2303">
        <f ca="1">C74+C78</f>
        <v>0</v>
      </c>
      <c r="D73" s="560" t="s">
        <v>124</v>
      </c>
      <c r="E73" s="3059"/>
      <c r="F73" s="3056"/>
      <c r="G73" s="3056"/>
      <c r="H73" s="2316"/>
      <c r="I73" s="2377"/>
      <c r="J73" s="2376"/>
      <c r="K73" s="2376"/>
      <c r="L73" s="2376"/>
      <c r="M73" s="2376"/>
      <c r="N73" s="2376"/>
      <c r="O73" s="2376"/>
      <c r="P73" s="2376"/>
      <c r="Q73" s="2376"/>
      <c r="R73" s="2376"/>
      <c r="S73" s="2376"/>
      <c r="T73" s="2376"/>
      <c r="U73" s="2376"/>
      <c r="V73" s="2376"/>
      <c r="W73" s="2376"/>
      <c r="X73" s="2376"/>
      <c r="Y73" s="2376"/>
      <c r="Z73" s="2376"/>
      <c r="AA73" s="2383"/>
      <c r="AB73" s="2383"/>
      <c r="AC73" s="2383"/>
      <c r="AD73" s="2383"/>
      <c r="AE73" s="2383"/>
      <c r="AF73" s="2383"/>
      <c r="AG73" s="2383"/>
      <c r="AH73" s="2383"/>
      <c r="AI73" s="2383"/>
    </row>
    <row r="74" spans="1:35" s="463" customFormat="1" ht="24">
      <c r="A74" s="2261" t="s">
        <v>846</v>
      </c>
      <c r="B74" s="560" t="s">
        <v>868</v>
      </c>
      <c r="C74" s="560">
        <f>ROUND(IF(G77="2016年5月1日后购买",C75/(1+'数据-取费表'!C42)+C76+C77,C75+C76+C77),0)</f>
        <v>0</v>
      </c>
      <c r="D74" s="560" t="s">
        <v>124</v>
      </c>
      <c r="E74" s="3059"/>
      <c r="F74" s="3056"/>
      <c r="G74" s="3056"/>
      <c r="H74" s="2316"/>
      <c r="I74" s="2377"/>
      <c r="J74" s="2376"/>
      <c r="K74" s="2376"/>
      <c r="L74" s="2376"/>
      <c r="M74" s="2376"/>
      <c r="N74" s="2376"/>
      <c r="O74" s="2376"/>
      <c r="P74" s="2376"/>
      <c r="Q74" s="2376"/>
      <c r="R74" s="2376"/>
      <c r="S74" s="2376"/>
      <c r="T74" s="2376"/>
      <c r="U74" s="2376"/>
      <c r="V74" s="2376"/>
      <c r="W74" s="2376"/>
      <c r="X74" s="2376"/>
      <c r="Y74" s="2376"/>
      <c r="Z74" s="2376"/>
      <c r="AA74" s="2383"/>
      <c r="AB74" s="2383"/>
      <c r="AC74" s="2383"/>
      <c r="AD74" s="2383"/>
      <c r="AE74" s="2383"/>
      <c r="AF74" s="2383"/>
      <c r="AG74" s="2383"/>
      <c r="AH74" s="2383"/>
      <c r="AI74" s="2383"/>
    </row>
    <row r="75" spans="1:35" s="463" customFormat="1" ht="14.25">
      <c r="A75" s="2261" t="s">
        <v>869</v>
      </c>
      <c r="B75" s="560" t="s">
        <v>870</v>
      </c>
      <c r="C75" s="2317"/>
      <c r="D75" s="560" t="s">
        <v>124</v>
      </c>
      <c r="E75" s="2318" t="s">
        <v>871</v>
      </c>
      <c r="F75" s="2319"/>
      <c r="G75" s="2318" t="s">
        <v>872</v>
      </c>
      <c r="H75" s="2320"/>
      <c r="I75" s="794"/>
      <c r="J75" s="2376"/>
      <c r="K75" s="2376"/>
      <c r="L75" s="2376"/>
      <c r="M75" s="2376"/>
      <c r="N75" s="2376"/>
      <c r="O75" s="2376"/>
      <c r="P75" s="2376"/>
      <c r="Q75" s="2376"/>
      <c r="R75" s="2376"/>
      <c r="S75" s="2376"/>
      <c r="T75" s="2376"/>
      <c r="U75" s="2376"/>
      <c r="V75" s="2376"/>
      <c r="W75" s="2376"/>
      <c r="X75" s="2376"/>
      <c r="Y75" s="2376"/>
      <c r="Z75" s="2376"/>
      <c r="AA75" s="2383"/>
      <c r="AB75" s="2383"/>
      <c r="AC75" s="2383"/>
      <c r="AD75" s="2383"/>
      <c r="AE75" s="2383"/>
      <c r="AF75" s="2383"/>
      <c r="AG75" s="2383"/>
      <c r="AH75" s="2383"/>
      <c r="AI75" s="2383"/>
    </row>
    <row r="76" spans="1:35" s="463" customFormat="1" ht="24.75" customHeight="1">
      <c r="A76" s="2261" t="s">
        <v>873</v>
      </c>
      <c r="B76" s="2321" t="s">
        <v>874</v>
      </c>
      <c r="C76" s="560">
        <f>IF(F75="购房发票",ROUND(C75*H75*D76,0),0)</f>
        <v>0</v>
      </c>
      <c r="D76" s="2322">
        <v>0.05</v>
      </c>
      <c r="E76" s="3245" t="s">
        <v>875</v>
      </c>
      <c r="F76" s="3242"/>
      <c r="G76" s="3242"/>
      <c r="H76" s="3286"/>
      <c r="I76" s="2377"/>
      <c r="J76" s="2376"/>
      <c r="K76" s="2376">
        <f>'数据-汇总表'!F19+'数据-汇总表'!F20</f>
        <v>58697.66</v>
      </c>
      <c r="L76" s="2378" t="s">
        <v>876</v>
      </c>
      <c r="M76" s="2376">
        <v>15056</v>
      </c>
      <c r="N76" s="2376"/>
      <c r="O76" s="2376"/>
      <c r="P76" s="2376"/>
      <c r="Q76" s="2376"/>
      <c r="R76" s="2376"/>
      <c r="S76" s="2376"/>
      <c r="T76" s="2376"/>
      <c r="U76" s="2376"/>
      <c r="V76" s="2376"/>
      <c r="W76" s="2376"/>
      <c r="X76" s="2376"/>
      <c r="Y76" s="2376"/>
      <c r="Z76" s="2376"/>
      <c r="AA76" s="2383"/>
      <c r="AB76" s="2383"/>
      <c r="AC76" s="2383"/>
      <c r="AD76" s="2383"/>
      <c r="AE76" s="2383"/>
      <c r="AF76" s="2383"/>
      <c r="AG76" s="2383"/>
      <c r="AH76" s="2383"/>
      <c r="AI76" s="2383"/>
    </row>
    <row r="77" spans="1:35" s="463" customFormat="1" ht="24.75" customHeight="1">
      <c r="A77" s="2261" t="s">
        <v>877</v>
      </c>
      <c r="B77" s="560" t="s">
        <v>878</v>
      </c>
      <c r="C77" s="560">
        <f>ROUND(IF(G77="个人住宅",0,IF(G77="2016年5月1日前购买",C75*D77,C75*D77/(1+'数据-取费表'!C42))),0)</f>
        <v>0</v>
      </c>
      <c r="D77" s="2324">
        <f>'数据-取费表'!B48+'数据-取费表'!B49</f>
        <v>3.0499999999999999E-2</v>
      </c>
      <c r="E77" s="3061" t="s">
        <v>879</v>
      </c>
      <c r="F77" s="2325"/>
      <c r="G77" s="2326"/>
      <c r="H77" s="3066" t="str">
        <f>IF(G77="个人买卖住房","免征印花税"," ")</f>
        <v xml:space="preserve"> </v>
      </c>
      <c r="I77" s="2377"/>
      <c r="J77" s="2376"/>
      <c r="K77" s="2376">
        <f>'数据-汇总表'!G21</f>
        <v>0</v>
      </c>
      <c r="L77" s="2378" t="s">
        <v>880</v>
      </c>
      <c r="M77" s="2376">
        <f>M76*0.2*0.25</f>
        <v>752.80000000000007</v>
      </c>
      <c r="N77" s="2378" t="s">
        <v>464</v>
      </c>
      <c r="O77" s="2376"/>
      <c r="P77" s="2376"/>
      <c r="Q77" s="2376"/>
      <c r="R77" s="2376"/>
      <c r="S77" s="2376"/>
      <c r="T77" s="2376"/>
      <c r="U77" s="2376"/>
      <c r="V77" s="2376"/>
      <c r="W77" s="2376"/>
      <c r="X77" s="2376"/>
      <c r="Y77" s="2376"/>
      <c r="Z77" s="2376"/>
      <c r="AA77" s="2383"/>
      <c r="AB77" s="2383"/>
      <c r="AC77" s="2383"/>
      <c r="AD77" s="2383"/>
      <c r="AE77" s="2383"/>
      <c r="AF77" s="2383"/>
      <c r="AG77" s="2383"/>
      <c r="AH77" s="2383"/>
      <c r="AI77" s="2383"/>
    </row>
    <row r="78" spans="1:35" s="463" customFormat="1" ht="24.75" customHeight="1">
      <c r="A78" s="2261" t="s">
        <v>850</v>
      </c>
      <c r="B78" s="560" t="s">
        <v>881</v>
      </c>
      <c r="C78" s="2327">
        <f ca="1">ROUND(D45*D78/(1+'数据-取费表'!C42),0)</f>
        <v>0</v>
      </c>
      <c r="D78" s="2328">
        <f>'数据-取费表'!B43</f>
        <v>5.0000000000000001E-3</v>
      </c>
      <c r="E78" s="3287" t="s">
        <v>882</v>
      </c>
      <c r="F78" s="3288"/>
      <c r="G78" s="3288"/>
      <c r="H78" s="3289"/>
      <c r="I78" s="2379"/>
      <c r="J78" s="2376"/>
      <c r="K78" s="2376">
        <f>'数据-汇总表'!G22</f>
        <v>13611.27</v>
      </c>
      <c r="L78" s="2376"/>
      <c r="M78" s="2376">
        <f>M76*0.15*0.25</f>
        <v>564.6</v>
      </c>
      <c r="N78" s="2378" t="s">
        <v>465</v>
      </c>
      <c r="O78" s="2376"/>
      <c r="P78" s="2376"/>
      <c r="Q78" s="2376"/>
      <c r="R78" s="2376"/>
      <c r="S78" s="2376"/>
      <c r="T78" s="2376"/>
      <c r="U78" s="2376"/>
      <c r="V78" s="2376"/>
      <c r="W78" s="2376"/>
      <c r="X78" s="2376"/>
      <c r="Y78" s="2376"/>
      <c r="Z78" s="2376"/>
      <c r="AA78" s="2383"/>
      <c r="AB78" s="2383"/>
      <c r="AC78" s="2383"/>
      <c r="AD78" s="2383"/>
      <c r="AE78" s="2383"/>
      <c r="AF78" s="2383"/>
      <c r="AG78" s="2383"/>
      <c r="AH78" s="2383"/>
      <c r="AI78" s="2383"/>
    </row>
    <row r="79" spans="1:35" s="463" customFormat="1" ht="14.25">
      <c r="A79" s="2257" t="s">
        <v>858</v>
      </c>
      <c r="B79" s="2300" t="s">
        <v>883</v>
      </c>
      <c r="C79" s="2303">
        <f ca="1">C72-C73</f>
        <v>0</v>
      </c>
      <c r="D79" s="560" t="s">
        <v>124</v>
      </c>
      <c r="E79" s="3059"/>
      <c r="F79" s="3056"/>
      <c r="G79" s="3056"/>
      <c r="H79" s="2316"/>
      <c r="I79" s="2377"/>
      <c r="J79" s="2376"/>
      <c r="K79" s="2376"/>
      <c r="L79" s="2376"/>
      <c r="M79" s="2376"/>
      <c r="N79" s="2376"/>
      <c r="O79" s="2376"/>
      <c r="P79" s="2376"/>
      <c r="Q79" s="2376"/>
      <c r="R79" s="2376"/>
      <c r="S79" s="2376"/>
      <c r="T79" s="2376"/>
      <c r="U79" s="2376"/>
      <c r="V79" s="2376"/>
      <c r="W79" s="2376"/>
      <c r="X79" s="2376"/>
      <c r="Y79" s="2376"/>
      <c r="Z79" s="2376"/>
      <c r="AA79" s="2383"/>
      <c r="AB79" s="2383"/>
      <c r="AC79" s="2383"/>
      <c r="AD79" s="2383"/>
      <c r="AE79" s="2383"/>
      <c r="AF79" s="2383"/>
      <c r="AG79" s="2383"/>
      <c r="AH79" s="2383"/>
      <c r="AI79" s="2383"/>
    </row>
    <row r="80" spans="1:35" s="463" customFormat="1" ht="24">
      <c r="A80" s="2257" t="s">
        <v>861</v>
      </c>
      <c r="B80" s="2300" t="s">
        <v>884</v>
      </c>
      <c r="C80" s="2332">
        <f ca="1">IF(C79&lt;=0,0,C79/C73)</f>
        <v>0</v>
      </c>
      <c r="D80" s="560" t="s">
        <v>124</v>
      </c>
      <c r="E80" s="3061" t="str">
        <f ca="1">IF(C80&gt;=200%,"增值额超过扣除项目金额200%",IF(C80&gt;=100%,"增值额超过扣除项目金额100%，未超过200%",IF(C80&gt;=50%,"增值额超过扣除项目金额50%，未超过100%",IF(C80&lt;50%,"增值额未超过扣除项目金额50%"))))</f>
        <v>增值额未超过扣除项目金额50%</v>
      </c>
      <c r="F80" s="3056"/>
      <c r="G80" s="3056"/>
      <c r="H80" s="2316"/>
      <c r="I80" s="2377"/>
      <c r="J80" s="2376"/>
      <c r="K80" s="2376"/>
      <c r="L80" s="2376"/>
      <c r="M80" s="2376"/>
      <c r="N80" s="2376"/>
      <c r="O80" s="2376"/>
      <c r="P80" s="2376"/>
      <c r="Q80" s="2376"/>
      <c r="R80" s="2376"/>
      <c r="S80" s="2376"/>
      <c r="T80" s="2376"/>
      <c r="U80" s="2376"/>
      <c r="V80" s="2376"/>
      <c r="W80" s="2376"/>
      <c r="X80" s="2376"/>
      <c r="Y80" s="2376"/>
      <c r="Z80" s="2376"/>
      <c r="AA80" s="2383"/>
      <c r="AB80" s="2383"/>
      <c r="AC80" s="2383"/>
      <c r="AD80" s="2383"/>
      <c r="AE80" s="2383"/>
      <c r="AF80" s="2383"/>
      <c r="AG80" s="2383"/>
      <c r="AH80" s="2383"/>
      <c r="AI80" s="2383"/>
    </row>
    <row r="81" spans="1:35" s="463" customFormat="1" ht="24.75" thickBot="1">
      <c r="A81" s="2304" t="s">
        <v>885</v>
      </c>
      <c r="B81" s="2305" t="s">
        <v>886</v>
      </c>
      <c r="C81" s="2333">
        <f ca="1">ROUND(IF(C79&lt;=0,0,IF(C80&gt;=200%,C79*60%-C73*35%,IF(C80&gt;=100%,C79*50%-C73*15%,IF(C80&gt;=50%,C79*40%-C73*5%,IF(C80&lt;50%,C79*30%,0))))),0)</f>
        <v>0</v>
      </c>
      <c r="D81" s="2334" t="s">
        <v>124</v>
      </c>
      <c r="E81" s="23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36"/>
      <c r="G81" s="2336"/>
      <c r="H81" s="2337"/>
      <c r="I81" s="2377"/>
      <c r="J81" s="2376"/>
      <c r="K81" s="2376"/>
      <c r="L81" s="2376"/>
      <c r="M81" s="2376"/>
      <c r="N81" s="2376"/>
      <c r="O81" s="2376"/>
      <c r="P81" s="2376"/>
      <c r="Q81" s="2376"/>
      <c r="R81" s="2376"/>
      <c r="S81" s="2376"/>
      <c r="T81" s="2376"/>
      <c r="U81" s="2376"/>
      <c r="V81" s="2376"/>
      <c r="W81" s="2376"/>
      <c r="X81" s="2376"/>
      <c r="Y81" s="2376"/>
      <c r="Z81" s="2376"/>
      <c r="AA81" s="2383"/>
      <c r="AB81" s="2383"/>
      <c r="AC81" s="2383"/>
      <c r="AD81" s="2383"/>
      <c r="AE81" s="2383"/>
      <c r="AF81" s="2383"/>
      <c r="AG81" s="2383"/>
      <c r="AH81" s="2383"/>
      <c r="AI81" s="2383"/>
    </row>
    <row r="82" spans="1:35" s="463" customFormat="1" ht="7.5" customHeight="1">
      <c r="A82" s="465"/>
      <c r="B82" s="2338"/>
      <c r="C82" s="465"/>
      <c r="D82" s="465"/>
      <c r="E82" s="2338"/>
      <c r="F82" s="2338"/>
      <c r="G82" s="2338"/>
      <c r="H82" s="2339"/>
      <c r="I82" s="2379"/>
      <c r="J82" s="2376"/>
      <c r="K82" s="2376"/>
      <c r="L82" s="2376"/>
      <c r="M82" s="2376"/>
      <c r="N82" s="2376"/>
      <c r="O82" s="2376"/>
      <c r="P82" s="2376"/>
      <c r="Q82" s="2376"/>
      <c r="R82" s="2376"/>
      <c r="S82" s="2376"/>
      <c r="T82" s="2376"/>
      <c r="U82" s="2376"/>
      <c r="V82" s="2376"/>
      <c r="W82" s="2376"/>
      <c r="X82" s="2376"/>
      <c r="Y82" s="2376"/>
      <c r="Z82" s="2376"/>
      <c r="AA82" s="2383"/>
      <c r="AB82" s="2383"/>
      <c r="AC82" s="2383"/>
      <c r="AD82" s="2383"/>
      <c r="AE82" s="2383"/>
      <c r="AF82" s="2383"/>
      <c r="AG82" s="2383"/>
      <c r="AH82" s="2383"/>
      <c r="AI82" s="2383"/>
    </row>
    <row r="83" spans="1:35" s="463" customFormat="1" ht="15" thickBot="1">
      <c r="A83" s="3284" t="s">
        <v>887</v>
      </c>
      <c r="B83" s="3285"/>
      <c r="C83" s="3285"/>
      <c r="D83" s="3285"/>
      <c r="E83" s="3285"/>
      <c r="F83" s="3285"/>
      <c r="G83" s="3285"/>
      <c r="H83" s="3285"/>
      <c r="I83" s="794"/>
      <c r="J83" s="2376"/>
      <c r="K83" s="2376"/>
      <c r="L83" s="2376"/>
      <c r="M83" s="2376"/>
      <c r="N83" s="2376"/>
      <c r="O83" s="2376"/>
      <c r="P83" s="2376"/>
      <c r="Q83" s="2376"/>
      <c r="R83" s="2376"/>
      <c r="S83" s="2376"/>
      <c r="T83" s="2376"/>
      <c r="U83" s="2376"/>
      <c r="V83" s="2376"/>
      <c r="W83" s="2376"/>
      <c r="X83" s="2376"/>
      <c r="Y83" s="2376"/>
      <c r="Z83" s="2376"/>
      <c r="AA83" s="2383"/>
      <c r="AB83" s="2383"/>
      <c r="AC83" s="2383"/>
      <c r="AD83" s="2383"/>
      <c r="AE83" s="2383"/>
      <c r="AF83" s="2383"/>
      <c r="AG83" s="2383"/>
      <c r="AH83" s="2383"/>
      <c r="AI83" s="2383"/>
    </row>
    <row r="84" spans="1:35" s="463" customFormat="1" ht="14.25">
      <c r="A84" s="3257" t="s">
        <v>840</v>
      </c>
      <c r="B84" s="3258"/>
      <c r="C84" s="3063"/>
      <c r="D84" s="3063" t="s">
        <v>841</v>
      </c>
      <c r="E84" s="2313" t="s">
        <v>791</v>
      </c>
      <c r="F84" s="2314"/>
      <c r="G84" s="2314"/>
      <c r="H84" s="2340"/>
      <c r="I84" s="794"/>
      <c r="J84" s="2376"/>
      <c r="K84" s="2376"/>
      <c r="L84" s="2376"/>
      <c r="M84" s="2376"/>
      <c r="N84" s="2376"/>
      <c r="O84" s="2376"/>
      <c r="P84" s="2376"/>
      <c r="Q84" s="2376"/>
      <c r="R84" s="2376"/>
      <c r="S84" s="2376"/>
      <c r="T84" s="2376"/>
      <c r="U84" s="2376"/>
      <c r="V84" s="2376"/>
      <c r="W84" s="2376"/>
      <c r="X84" s="2376"/>
      <c r="Y84" s="2376"/>
      <c r="Z84" s="2376"/>
      <c r="AA84" s="2383"/>
      <c r="AB84" s="2383"/>
      <c r="AC84" s="2383"/>
      <c r="AD84" s="2383"/>
      <c r="AE84" s="2383"/>
      <c r="AF84" s="2383"/>
      <c r="AG84" s="2383"/>
      <c r="AH84" s="2383"/>
      <c r="AI84" s="2383"/>
    </row>
    <row r="85" spans="1:35" s="463" customFormat="1" ht="14.25">
      <c r="A85" s="2257" t="s">
        <v>842</v>
      </c>
      <c r="B85" s="2300" t="s">
        <v>866</v>
      </c>
      <c r="C85" s="2303">
        <f ca="1">ROUND(D45/(1+'数据-取费表'!C42),0)</f>
        <v>0</v>
      </c>
      <c r="D85" s="560" t="s">
        <v>124</v>
      </c>
      <c r="E85" s="3059"/>
      <c r="F85" s="3056"/>
      <c r="G85" s="3056"/>
      <c r="H85" s="2341"/>
      <c r="I85" s="794"/>
      <c r="J85" s="2376"/>
      <c r="K85" s="2376"/>
      <c r="L85" s="2376"/>
      <c r="M85" s="2376"/>
      <c r="N85" s="2376"/>
      <c r="O85" s="2376"/>
      <c r="P85" s="2376"/>
      <c r="Q85" s="2376"/>
      <c r="R85" s="2376"/>
      <c r="S85" s="2376"/>
      <c r="T85" s="2376"/>
      <c r="U85" s="2376"/>
      <c r="V85" s="2376"/>
      <c r="W85" s="2376"/>
      <c r="X85" s="2376"/>
      <c r="Y85" s="2376"/>
      <c r="Z85" s="2376"/>
      <c r="AA85" s="2383"/>
      <c r="AB85" s="2383"/>
      <c r="AC85" s="2383"/>
      <c r="AD85" s="2383"/>
      <c r="AE85" s="2383"/>
      <c r="AF85" s="2383"/>
      <c r="AG85" s="2383"/>
      <c r="AH85" s="2383"/>
      <c r="AI85" s="2383"/>
    </row>
    <row r="86" spans="1:35" s="463" customFormat="1" ht="14.25">
      <c r="A86" s="2257" t="s">
        <v>853</v>
      </c>
      <c r="B86" s="2227" t="s">
        <v>867</v>
      </c>
      <c r="C86" s="2303">
        <f ca="1">IF(H88="仅含出让金",C87+C90+C91+C92+C93+C94,C87+C91+C92+C93+C94)</f>
        <v>150613</v>
      </c>
      <c r="D86" s="2342"/>
      <c r="E86" s="3059"/>
      <c r="F86" s="3056"/>
      <c r="G86" s="3056"/>
      <c r="H86" s="2341"/>
      <c r="I86" s="794"/>
      <c r="J86" s="2376"/>
      <c r="K86" s="2376"/>
      <c r="L86" s="2376"/>
      <c r="M86" s="2376"/>
      <c r="N86" s="2376"/>
      <c r="O86" s="2376"/>
      <c r="P86" s="2376"/>
      <c r="Q86" s="2376"/>
      <c r="R86" s="2376"/>
      <c r="S86" s="2376"/>
      <c r="T86" s="2376"/>
      <c r="U86" s="2376"/>
      <c r="V86" s="2376"/>
      <c r="W86" s="2376"/>
      <c r="X86" s="2376"/>
      <c r="Y86" s="2376"/>
      <c r="Z86" s="2376"/>
      <c r="AA86" s="2383"/>
      <c r="AB86" s="2383"/>
      <c r="AC86" s="2383"/>
      <c r="AD86" s="2383"/>
      <c r="AE86" s="2383"/>
      <c r="AF86" s="2383"/>
      <c r="AG86" s="2383"/>
      <c r="AH86" s="2383"/>
      <c r="AI86" s="2383"/>
    </row>
    <row r="87" spans="1:35" s="463" customFormat="1" ht="14.25">
      <c r="A87" s="2261" t="s">
        <v>846</v>
      </c>
      <c r="B87" s="560" t="s">
        <v>888</v>
      </c>
      <c r="C87" s="2327">
        <f>C88+C89</f>
        <v>91863</v>
      </c>
      <c r="D87" s="2328"/>
      <c r="E87" s="3067"/>
      <c r="F87" s="3068"/>
      <c r="G87" s="3068"/>
      <c r="H87" s="3069"/>
      <c r="I87" s="794"/>
      <c r="J87" s="2376"/>
      <c r="K87" s="2376"/>
      <c r="L87" s="2376"/>
      <c r="M87" s="2376"/>
      <c r="N87" s="2376"/>
      <c r="O87" s="2376"/>
      <c r="P87" s="2376"/>
      <c r="Q87" s="2376"/>
      <c r="R87" s="2376"/>
      <c r="S87" s="2376"/>
      <c r="T87" s="2376"/>
      <c r="U87" s="2376"/>
      <c r="V87" s="2376"/>
      <c r="W87" s="2376"/>
      <c r="X87" s="2376"/>
      <c r="Y87" s="2376"/>
      <c r="Z87" s="2376"/>
      <c r="AA87" s="2383"/>
      <c r="AB87" s="2383"/>
      <c r="AC87" s="2383"/>
      <c r="AD87" s="2383"/>
      <c r="AE87" s="2383"/>
      <c r="AF87" s="2383"/>
      <c r="AG87" s="2383"/>
      <c r="AH87" s="2383"/>
      <c r="AI87" s="2383"/>
    </row>
    <row r="88" spans="1:35" s="463" customFormat="1" ht="14.25">
      <c r="A88" s="2261" t="s">
        <v>869</v>
      </c>
      <c r="B88" s="560" t="s">
        <v>889</v>
      </c>
      <c r="C88" s="2343">
        <f>ROUND((M76*K76+M77*K77+M78*K78)/10000,0)</f>
        <v>89144</v>
      </c>
      <c r="D88" s="2328"/>
      <c r="E88" s="2344" t="s">
        <v>890</v>
      </c>
      <c r="F88" s="3068"/>
      <c r="G88" s="2345" t="s">
        <v>891</v>
      </c>
      <c r="H88" s="2346" t="s">
        <v>892</v>
      </c>
      <c r="I88" s="794"/>
      <c r="J88" s="2380" t="s">
        <v>893</v>
      </c>
      <c r="K88" s="2376"/>
      <c r="L88" s="2376"/>
      <c r="M88" s="2376"/>
      <c r="N88" s="2376"/>
      <c r="O88" s="2376"/>
      <c r="P88" s="2376"/>
      <c r="Q88" s="2376"/>
      <c r="R88" s="2376"/>
      <c r="S88" s="2376"/>
      <c r="T88" s="2376"/>
      <c r="U88" s="2376"/>
      <c r="V88" s="2376"/>
      <c r="W88" s="2376"/>
      <c r="X88" s="2376"/>
      <c r="Y88" s="2376"/>
      <c r="Z88" s="2376"/>
      <c r="AA88" s="2383"/>
      <c r="AB88" s="2383"/>
      <c r="AC88" s="2383"/>
      <c r="AD88" s="2383"/>
      <c r="AE88" s="2383"/>
      <c r="AF88" s="2383"/>
      <c r="AG88" s="2383"/>
      <c r="AH88" s="2383"/>
      <c r="AI88" s="2383"/>
    </row>
    <row r="89" spans="1:35" s="463" customFormat="1" ht="14.25">
      <c r="A89" s="2261" t="s">
        <v>873</v>
      </c>
      <c r="B89" s="560" t="s">
        <v>878</v>
      </c>
      <c r="C89" s="2327">
        <f>ROUND(C88*D89,0)</f>
        <v>2719</v>
      </c>
      <c r="D89" s="2328">
        <f>'数据-取费表'!B48+'数据-取费表'!B49</f>
        <v>3.0499999999999999E-2</v>
      </c>
      <c r="E89" s="2344" t="s">
        <v>894</v>
      </c>
      <c r="F89" s="3068"/>
      <c r="G89" s="3068"/>
      <c r="H89" s="3069"/>
      <c r="I89" s="794"/>
      <c r="J89" s="2376"/>
      <c r="K89" s="2376"/>
      <c r="L89" s="2376"/>
      <c r="M89" s="2376"/>
      <c r="N89" s="2376"/>
      <c r="O89" s="2376"/>
      <c r="P89" s="2376"/>
      <c r="Q89" s="2376"/>
      <c r="R89" s="2376"/>
      <c r="S89" s="2376"/>
      <c r="T89" s="2376"/>
      <c r="U89" s="2376"/>
      <c r="V89" s="2376"/>
      <c r="W89" s="2376"/>
      <c r="X89" s="2376"/>
      <c r="Y89" s="2376"/>
      <c r="Z89" s="2376"/>
      <c r="AA89" s="2383"/>
      <c r="AB89" s="2383"/>
      <c r="AC89" s="2383"/>
      <c r="AD89" s="2383"/>
      <c r="AE89" s="2383"/>
      <c r="AF89" s="2383"/>
      <c r="AG89" s="2383"/>
      <c r="AH89" s="2383"/>
      <c r="AI89" s="2383"/>
    </row>
    <row r="90" spans="1:35" s="463" customFormat="1" ht="14.25">
      <c r="A90" s="2261" t="s">
        <v>850</v>
      </c>
      <c r="B90" s="560" t="s">
        <v>895</v>
      </c>
      <c r="C90" s="2343"/>
      <c r="D90" s="2328"/>
      <c r="E90" s="2344" t="str">
        <f>IF(H88="-","土地取得成本中已包含该笔费用"," ")</f>
        <v xml:space="preserve"> </v>
      </c>
      <c r="F90" s="3068"/>
      <c r="G90" s="3296" t="s">
        <v>896</v>
      </c>
      <c r="H90" s="3297"/>
      <c r="I90" s="794"/>
      <c r="J90" s="2380" t="s">
        <v>897</v>
      </c>
      <c r="K90" s="2376"/>
      <c r="L90" s="2376"/>
      <c r="M90" s="2376"/>
      <c r="N90" s="2376"/>
      <c r="O90" s="2376"/>
      <c r="P90" s="2376"/>
      <c r="Q90" s="2376"/>
      <c r="R90" s="2376"/>
      <c r="S90" s="2376"/>
      <c r="T90" s="2376"/>
      <c r="U90" s="2376"/>
      <c r="V90" s="2376"/>
      <c r="W90" s="2376"/>
      <c r="X90" s="2376"/>
      <c r="Y90" s="2376"/>
      <c r="Z90" s="2376"/>
      <c r="AA90" s="2383"/>
      <c r="AB90" s="2383"/>
      <c r="AC90" s="2383"/>
      <c r="AD90" s="2383"/>
      <c r="AE90" s="2383"/>
      <c r="AF90" s="2383"/>
      <c r="AG90" s="2383"/>
      <c r="AH90" s="2383"/>
      <c r="AI90" s="2383"/>
    </row>
    <row r="91" spans="1:35" s="463" customFormat="1" ht="27.75" customHeight="1">
      <c r="A91" s="2261" t="s">
        <v>898</v>
      </c>
      <c r="B91" s="560" t="s">
        <v>899</v>
      </c>
      <c r="C91" s="2327">
        <f ca="1">IF(H91="——",成本法!C33,I91)</f>
        <v>33648</v>
      </c>
      <c r="D91" s="2328"/>
      <c r="E91" s="3287" t="s">
        <v>900</v>
      </c>
      <c r="F91" s="3288"/>
      <c r="G91" s="3288"/>
      <c r="H91" s="2347" t="s">
        <v>124</v>
      </c>
      <c r="I91" s="2381"/>
      <c r="J91" s="2376"/>
      <c r="K91" s="2376"/>
      <c r="L91" s="2376"/>
      <c r="M91" s="2376"/>
      <c r="N91" s="2376"/>
      <c r="O91" s="2376"/>
      <c r="P91" s="2376"/>
      <c r="Q91" s="2376"/>
      <c r="R91" s="2376"/>
      <c r="S91" s="2376"/>
      <c r="T91" s="2376"/>
      <c r="U91" s="2376"/>
      <c r="V91" s="2376"/>
      <c r="W91" s="2376"/>
      <c r="X91" s="2376"/>
      <c r="Y91" s="2376"/>
      <c r="Z91" s="2376"/>
      <c r="AA91" s="2383"/>
      <c r="AB91" s="2383"/>
      <c r="AC91" s="2383"/>
      <c r="AD91" s="2383"/>
      <c r="AE91" s="2383"/>
      <c r="AF91" s="2383"/>
      <c r="AG91" s="2383"/>
      <c r="AH91" s="2383"/>
      <c r="AI91" s="2383"/>
    </row>
    <row r="92" spans="1:35" s="463" customFormat="1" ht="25.5" customHeight="1">
      <c r="A92" s="2261" t="s">
        <v>901</v>
      </c>
      <c r="B92" s="560" t="s">
        <v>902</v>
      </c>
      <c r="C92" s="2327">
        <f ca="1">ROUND((C87+C90+C91)*D92,0)</f>
        <v>0</v>
      </c>
      <c r="D92" s="2348"/>
      <c r="E92" s="3287" t="s">
        <v>903</v>
      </c>
      <c r="F92" s="3288"/>
      <c r="G92" s="3288"/>
      <c r="H92" s="3289"/>
      <c r="I92" s="794"/>
      <c r="J92" s="2382" t="s">
        <v>904</v>
      </c>
      <c r="K92" s="2376"/>
      <c r="L92" s="2376"/>
      <c r="M92" s="2376"/>
      <c r="N92" s="2376"/>
      <c r="O92" s="2376"/>
      <c r="P92" s="2376"/>
      <c r="Q92" s="2376"/>
      <c r="R92" s="2376"/>
      <c r="S92" s="2376"/>
      <c r="T92" s="2376"/>
      <c r="U92" s="2376"/>
      <c r="V92" s="2376"/>
      <c r="W92" s="2376"/>
      <c r="X92" s="2376"/>
      <c r="Y92" s="2376"/>
      <c r="Z92" s="2376"/>
      <c r="AA92" s="2383"/>
      <c r="AB92" s="2383"/>
      <c r="AC92" s="2383"/>
      <c r="AD92" s="2383"/>
      <c r="AE92" s="2383"/>
      <c r="AF92" s="2383"/>
      <c r="AG92" s="2383"/>
      <c r="AH92" s="2383"/>
      <c r="AI92" s="2383"/>
    </row>
    <row r="93" spans="1:35" s="463" customFormat="1" ht="25.5" customHeight="1">
      <c r="A93" s="2261" t="s">
        <v>905</v>
      </c>
      <c r="B93" s="560" t="s">
        <v>881</v>
      </c>
      <c r="C93" s="2327">
        <f ca="1">ROUND(D45*D93/(1+'数据-取费表'!C42),0)</f>
        <v>0</v>
      </c>
      <c r="D93" s="2328">
        <f>'数据-取费表'!B43</f>
        <v>5.0000000000000001E-3</v>
      </c>
      <c r="E93" s="3287" t="s">
        <v>882</v>
      </c>
      <c r="F93" s="3288"/>
      <c r="G93" s="3288"/>
      <c r="H93" s="3289"/>
      <c r="I93" s="794"/>
      <c r="J93" s="2376"/>
      <c r="K93" s="2376"/>
      <c r="L93" s="2376"/>
      <c r="M93" s="2376"/>
      <c r="N93" s="2376"/>
      <c r="O93" s="2376"/>
      <c r="P93" s="2376"/>
      <c r="Q93" s="2376"/>
      <c r="R93" s="2376"/>
      <c r="S93" s="2376"/>
      <c r="T93" s="2376"/>
      <c r="U93" s="2376"/>
      <c r="V93" s="2376"/>
      <c r="W93" s="2376"/>
      <c r="X93" s="2376"/>
      <c r="Y93" s="2376"/>
      <c r="Z93" s="2376"/>
      <c r="AA93" s="2383"/>
      <c r="AB93" s="2383"/>
      <c r="AC93" s="2383"/>
      <c r="AD93" s="2383"/>
      <c r="AE93" s="2383"/>
      <c r="AF93" s="2383"/>
      <c r="AG93" s="2383"/>
      <c r="AH93" s="2383"/>
      <c r="AI93" s="2383"/>
    </row>
    <row r="94" spans="1:35" s="463" customFormat="1" ht="36.75" customHeight="1">
      <c r="A94" s="2261" t="s">
        <v>906</v>
      </c>
      <c r="B94" s="560" t="s">
        <v>907</v>
      </c>
      <c r="C94" s="2343">
        <f ca="1">ROUND((C87+C90+C91)*D94,0)</f>
        <v>25102</v>
      </c>
      <c r="D94" s="2328">
        <v>0.2</v>
      </c>
      <c r="E94" s="3309" t="s">
        <v>908</v>
      </c>
      <c r="F94" s="3310"/>
      <c r="G94" s="3310"/>
      <c r="H94" s="3311"/>
      <c r="I94" s="794"/>
      <c r="J94" s="2376"/>
      <c r="K94" s="2376"/>
      <c r="L94" s="2376"/>
      <c r="M94" s="2376"/>
      <c r="N94" s="2376"/>
      <c r="O94" s="2376"/>
      <c r="P94" s="2376"/>
      <c r="Q94" s="2376"/>
      <c r="R94" s="2376"/>
      <c r="S94" s="2376"/>
      <c r="T94" s="2376"/>
      <c r="U94" s="2376"/>
      <c r="V94" s="2376"/>
      <c r="W94" s="2376"/>
      <c r="X94" s="2376"/>
      <c r="Y94" s="2376"/>
      <c r="Z94" s="2376"/>
      <c r="AA94" s="2383"/>
      <c r="AB94" s="2383"/>
      <c r="AC94" s="2383"/>
      <c r="AD94" s="2383"/>
      <c r="AE94" s="2383"/>
      <c r="AF94" s="2383"/>
      <c r="AG94" s="2383"/>
      <c r="AH94" s="2383"/>
      <c r="AI94" s="2383"/>
    </row>
    <row r="95" spans="1:35" s="463" customFormat="1" ht="14.25">
      <c r="A95" s="2257" t="s">
        <v>858</v>
      </c>
      <c r="B95" s="2300" t="s">
        <v>883</v>
      </c>
      <c r="C95" s="2303">
        <f ca="1">ROUND(C85-C86,0)</f>
        <v>-150613</v>
      </c>
      <c r="D95" s="560" t="s">
        <v>124</v>
      </c>
      <c r="E95" s="3059"/>
      <c r="F95" s="3056"/>
      <c r="G95" s="3056"/>
      <c r="H95" s="2341"/>
      <c r="I95" s="794"/>
      <c r="J95" s="2376"/>
      <c r="K95" s="2376"/>
      <c r="L95" s="2376"/>
      <c r="M95" s="2376"/>
      <c r="N95" s="2376"/>
      <c r="O95" s="2376"/>
      <c r="P95" s="2376"/>
      <c r="Q95" s="2376"/>
      <c r="R95" s="2376"/>
      <c r="S95" s="2376"/>
      <c r="T95" s="2376"/>
      <c r="U95" s="2376"/>
      <c r="V95" s="2376"/>
      <c r="W95" s="2376"/>
      <c r="X95" s="2376"/>
      <c r="Y95" s="2376"/>
      <c r="Z95" s="2376"/>
      <c r="AA95" s="2383"/>
      <c r="AB95" s="2383"/>
      <c r="AC95" s="2383"/>
      <c r="AD95" s="2383"/>
      <c r="AE95" s="2383"/>
      <c r="AF95" s="2383"/>
      <c r="AG95" s="2383"/>
      <c r="AH95" s="2383"/>
      <c r="AI95" s="2383"/>
    </row>
    <row r="96" spans="1:35" s="463" customFormat="1" ht="24">
      <c r="A96" s="2257" t="s">
        <v>861</v>
      </c>
      <c r="B96" s="2300" t="s">
        <v>884</v>
      </c>
      <c r="C96" s="2332">
        <f ca="1">IF(C95&lt;=0,0,C95/C86)</f>
        <v>0</v>
      </c>
      <c r="D96" s="560"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1"/>
      <c r="I96" s="794"/>
      <c r="J96" s="2376"/>
      <c r="K96" s="2376"/>
      <c r="L96" s="2376"/>
      <c r="M96" s="2376"/>
      <c r="N96" s="2376"/>
      <c r="O96" s="2376"/>
      <c r="P96" s="2376"/>
      <c r="Q96" s="2376"/>
      <c r="R96" s="2376"/>
      <c r="S96" s="2376"/>
      <c r="T96" s="2376"/>
      <c r="U96" s="2376"/>
      <c r="V96" s="2376"/>
      <c r="W96" s="2376"/>
      <c r="X96" s="2376"/>
      <c r="Y96" s="2376"/>
      <c r="Z96" s="2376"/>
      <c r="AA96" s="2383"/>
      <c r="AB96" s="2383"/>
      <c r="AC96" s="2383"/>
      <c r="AD96" s="2383"/>
      <c r="AE96" s="2383"/>
      <c r="AF96" s="2383"/>
      <c r="AG96" s="2383"/>
      <c r="AH96" s="2383"/>
      <c r="AI96" s="2383"/>
    </row>
    <row r="97" spans="1:35" s="463" customFormat="1" ht="24.75" thickBot="1">
      <c r="A97" s="2304" t="s">
        <v>885</v>
      </c>
      <c r="B97" s="2305" t="s">
        <v>886</v>
      </c>
      <c r="C97" s="2333">
        <f ca="1">ROUND(IF(C95&lt;=0,0,IF(C96&gt;=200%,C95*60%-C86*35%,IF(C96&gt;=100%,C95*50%-C86*15%,IF(C96&gt;=50%,C95*40%-C86*5%,IF(C96&lt;50%,C95*30%,0))))),0)</f>
        <v>0</v>
      </c>
      <c r="D97" s="2334" t="s">
        <v>124</v>
      </c>
      <c r="E97" s="23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6"/>
      <c r="G97" s="2336"/>
      <c r="H97" s="2349"/>
      <c r="I97" s="794"/>
      <c r="J97" s="2376"/>
      <c r="K97" s="2376"/>
      <c r="L97" s="2376"/>
      <c r="M97" s="2376"/>
      <c r="N97" s="2376"/>
      <c r="O97" s="2376"/>
      <c r="P97" s="2376"/>
      <c r="Q97" s="2376"/>
      <c r="R97" s="2376"/>
      <c r="S97" s="2376"/>
      <c r="T97" s="2376"/>
      <c r="U97" s="2376"/>
      <c r="V97" s="2376"/>
      <c r="W97" s="2376"/>
      <c r="X97" s="2376"/>
      <c r="Y97" s="2376"/>
      <c r="Z97" s="2376"/>
      <c r="AA97" s="2383"/>
      <c r="AB97" s="2383"/>
      <c r="AC97" s="2383"/>
      <c r="AD97" s="2383"/>
      <c r="AE97" s="2383"/>
      <c r="AF97" s="2383"/>
      <c r="AG97" s="2383"/>
      <c r="AH97" s="2383"/>
      <c r="AI97" s="2383"/>
    </row>
    <row r="98" spans="1:35" ht="21.75" customHeight="1">
      <c r="A98" s="2253"/>
      <c r="B98" s="1778"/>
      <c r="C98" s="1778"/>
      <c r="D98" s="1778"/>
      <c r="E98" s="2254"/>
      <c r="F98" s="2254"/>
      <c r="G98" s="2254"/>
      <c r="H98" s="2215"/>
      <c r="I98" s="274"/>
    </row>
    <row r="99" spans="1:35" ht="21.75" customHeight="1" thickBot="1">
      <c r="A99" s="2217" t="s">
        <v>909</v>
      </c>
      <c r="B99" s="1778"/>
      <c r="C99" s="1778"/>
      <c r="D99" s="1778"/>
      <c r="E99" s="2254"/>
      <c r="F99" s="2254"/>
      <c r="G99" s="2254"/>
      <c r="H99" s="2215"/>
      <c r="I99" s="274"/>
    </row>
    <row r="100" spans="1:35" ht="18.75" customHeight="1">
      <c r="A100" s="3201" t="s">
        <v>910</v>
      </c>
      <c r="B100" s="3202"/>
      <c r="C100" s="3202"/>
      <c r="D100" s="3272"/>
      <c r="E100" s="3202" t="s">
        <v>911</v>
      </c>
      <c r="F100" s="3202"/>
      <c r="G100" s="3202"/>
      <c r="H100" s="3272"/>
      <c r="I100" s="274"/>
    </row>
    <row r="101" spans="1:35" ht="18.75" customHeight="1">
      <c r="A101" s="3273" t="s">
        <v>912</v>
      </c>
      <c r="B101" s="3274"/>
      <c r="C101" s="2351" t="str">
        <f>C4</f>
        <v>成本法仓</v>
      </c>
      <c r="D101" s="2352" t="str">
        <f>D4</f>
        <v>收益法 (元)</v>
      </c>
      <c r="E101" s="3295" t="s">
        <v>913</v>
      </c>
      <c r="F101" s="3291"/>
      <c r="G101" s="2354" t="s">
        <v>914</v>
      </c>
      <c r="H101" s="2355">
        <f ca="1">H118</f>
        <v>0</v>
      </c>
      <c r="I101" s="274"/>
    </row>
    <row r="102" spans="1:35" ht="18.75" customHeight="1">
      <c r="A102" s="3304" t="s">
        <v>915</v>
      </c>
      <c r="B102" s="2356" t="s">
        <v>914</v>
      </c>
      <c r="C102" s="2351">
        <f ca="1">C19</f>
        <v>0</v>
      </c>
      <c r="D102" s="2352">
        <f ca="1">D19</f>
        <v>0</v>
      </c>
      <c r="E102" s="3295"/>
      <c r="F102" s="3291"/>
      <c r="G102" s="2354" t="s">
        <v>99</v>
      </c>
      <c r="H102" s="2243" t="e">
        <f ca="1">I118</f>
        <v>#DIV/0!</v>
      </c>
      <c r="I102" s="274"/>
    </row>
    <row r="103" spans="1:35" ht="42.75" customHeight="1">
      <c r="A103" s="3304"/>
      <c r="B103" s="2356" t="s">
        <v>99</v>
      </c>
      <c r="C103" s="2357" t="e">
        <f ca="1">C20</f>
        <v>#DIV/0!</v>
      </c>
      <c r="D103" s="2358">
        <f ca="1">D20</f>
        <v>0</v>
      </c>
      <c r="E103" s="3275" t="s">
        <v>916</v>
      </c>
      <c r="F103" s="3276"/>
      <c r="G103" s="2359" t="s">
        <v>102</v>
      </c>
      <c r="H103" s="2355">
        <f>IF(D36="正常操作",H104+H105+H106,H105+H106)</f>
        <v>0</v>
      </c>
      <c r="I103" s="274"/>
    </row>
    <row r="104" spans="1:35" ht="18.75" customHeight="1">
      <c r="A104" s="3304" t="s">
        <v>917</v>
      </c>
      <c r="B104" s="2360" t="s">
        <v>914</v>
      </c>
      <c r="C104" s="2361">
        <f ca="1">H118</f>
        <v>0</v>
      </c>
      <c r="D104" s="2362"/>
      <c r="E104" s="2200" t="s">
        <v>918</v>
      </c>
      <c r="F104" s="2363"/>
      <c r="G104" s="2359" t="s">
        <v>102</v>
      </c>
      <c r="H104" s="2364">
        <f>IF(D36="同一抵押权人同一抵押物续贷",C36&amp;"（续贷，未扣减，详见特别提示）",C36)</f>
        <v>0</v>
      </c>
      <c r="I104" s="274"/>
    </row>
    <row r="105" spans="1:35" ht="18.75" customHeight="1" thickBot="1">
      <c r="A105" s="3305"/>
      <c r="B105" s="2365" t="s">
        <v>99</v>
      </c>
      <c r="C105" s="2366" t="e">
        <f ca="1">I118</f>
        <v>#DIV/0!</v>
      </c>
      <c r="D105" s="2367"/>
      <c r="E105" s="2200" t="s">
        <v>919</v>
      </c>
      <c r="F105" s="2363"/>
      <c r="G105" s="2359" t="s">
        <v>102</v>
      </c>
      <c r="H105" s="2368">
        <f>C37</f>
        <v>0</v>
      </c>
      <c r="I105" s="274"/>
    </row>
    <row r="106" spans="1:35" ht="18.75" customHeight="1">
      <c r="A106" s="1778" t="s">
        <v>920</v>
      </c>
      <c r="B106" s="1778"/>
      <c r="C106" s="1778"/>
      <c r="D106" s="1778"/>
      <c r="E106" s="2369" t="s">
        <v>921</v>
      </c>
      <c r="F106" s="2363"/>
      <c r="G106" s="2359" t="s">
        <v>102</v>
      </c>
      <c r="H106" s="2368">
        <f>C38</f>
        <v>0</v>
      </c>
      <c r="I106" s="274"/>
    </row>
    <row r="107" spans="1:35" ht="18.75" customHeight="1">
      <c r="A107" s="274"/>
      <c r="B107" s="274"/>
      <c r="C107" s="274"/>
      <c r="D107" s="274"/>
      <c r="E107" s="3290" t="str">
        <f>IF(项目基本情况!E8="已注销","——","3.房地产抵押价值")</f>
        <v>3.房地产抵押价值</v>
      </c>
      <c r="F107" s="3291"/>
      <c r="G107" s="2354" t="s">
        <v>914</v>
      </c>
      <c r="H107" s="2355">
        <f ca="1">IF(E107="——","——",H101-H103)</f>
        <v>0</v>
      </c>
      <c r="I107" s="274"/>
    </row>
    <row r="108" spans="1:35" ht="18.75" customHeight="1">
      <c r="A108" s="274"/>
      <c r="B108" s="274"/>
      <c r="C108" s="274"/>
      <c r="D108" s="274"/>
      <c r="E108" s="3290"/>
      <c r="F108" s="3291"/>
      <c r="G108" s="2354" t="s">
        <v>99</v>
      </c>
      <c r="H108" s="2243">
        <f ca="1">ROUND(H107*10000/'数据-汇总表'!E3,0)</f>
        <v>0</v>
      </c>
      <c r="I108" s="274"/>
    </row>
    <row r="109" spans="1:35" ht="18.75" customHeight="1">
      <c r="A109" s="274"/>
      <c r="B109" s="274"/>
      <c r="C109" s="274"/>
      <c r="D109" s="274"/>
      <c r="E109" s="3290" t="str">
        <f>IF(项目基本情况!E8="已注销及未注销","4.抵押担保权已注销时的房地产抵押价值",IF(项目基本情况!E8="已注销","3.抵押担保权已注销时的房地产抵押价值","——"))</f>
        <v>——</v>
      </c>
      <c r="F109" s="3291"/>
      <c r="G109" s="2354" t="s">
        <v>914</v>
      </c>
      <c r="H109" s="2370" t="str">
        <f>IF(E109="——","——",H101-H105-H106)</f>
        <v>——</v>
      </c>
      <c r="I109" s="274"/>
    </row>
    <row r="110" spans="1:35" ht="18.75" customHeight="1">
      <c r="A110" s="274"/>
      <c r="B110" s="274"/>
      <c r="C110" s="274"/>
      <c r="D110" s="274"/>
      <c r="E110" s="3290"/>
      <c r="F110" s="3291"/>
      <c r="G110" s="2354" t="s">
        <v>99</v>
      </c>
      <c r="H110" s="2243" t="str">
        <f>IF(H109="——","——",ROUND(H109*10000/'数据-汇总表'!E3,0))</f>
        <v>——</v>
      </c>
      <c r="I110" s="274"/>
    </row>
    <row r="111" spans="1:35" ht="18.75" customHeight="1">
      <c r="A111" s="274"/>
      <c r="B111" s="274"/>
      <c r="C111" s="274"/>
      <c r="D111" s="274"/>
      <c r="E111" s="3292" t="str">
        <f>IF(项目基本情况!E9="抵押净值",IF(OR(项目基本情况!E8="已注销",项目基本情况!E8="房地产抵押价值"),"4.抵押净值","5.抵押净值"),"——")</f>
        <v>4.抵押净值</v>
      </c>
      <c r="F111" s="3261"/>
      <c r="G111" s="2354" t="s">
        <v>914</v>
      </c>
      <c r="H111" s="2355">
        <f ca="1">IF(E111="——","——",N59)</f>
        <v>0</v>
      </c>
      <c r="I111" s="274"/>
    </row>
    <row r="112" spans="1:35" ht="18.75" customHeight="1" thickBot="1">
      <c r="A112" s="274"/>
      <c r="B112" s="274"/>
      <c r="C112" s="274"/>
      <c r="D112" s="274"/>
      <c r="E112" s="3293"/>
      <c r="F112" s="3294"/>
      <c r="G112" s="2371" t="s">
        <v>99</v>
      </c>
      <c r="H112" s="2372">
        <f ca="1">IF(E111="——","——",N61)</f>
        <v>0</v>
      </c>
      <c r="I112" s="274"/>
    </row>
    <row r="113" spans="1:27" ht="18.75" customHeight="1">
      <c r="A113" s="274"/>
      <c r="B113" s="274"/>
      <c r="C113" s="274"/>
      <c r="D113" s="274"/>
      <c r="E113" s="3277" t="s">
        <v>920</v>
      </c>
      <c r="F113" s="3277"/>
      <c r="G113" s="3277"/>
      <c r="H113" s="3277"/>
      <c r="I113" s="274"/>
    </row>
    <row r="114" spans="1:27" ht="3.75" customHeight="1">
      <c r="A114" s="1778"/>
      <c r="B114" s="1778"/>
      <c r="C114" s="1778"/>
      <c r="D114" s="1778"/>
      <c r="E114" s="2253"/>
      <c r="F114" s="2253"/>
      <c r="G114" s="2253"/>
      <c r="H114" s="2253"/>
      <c r="I114" s="1778"/>
    </row>
    <row r="115" spans="1:27" ht="18.75" customHeight="1">
      <c r="A115" s="3278" t="s">
        <v>922</v>
      </c>
      <c r="B115" s="3279"/>
      <c r="C115" s="3279"/>
      <c r="D115" s="3279"/>
      <c r="E115" s="3279"/>
      <c r="F115" s="3279"/>
      <c r="G115" s="3279"/>
      <c r="H115" s="3279"/>
      <c r="I115" s="3280"/>
    </row>
    <row r="116" spans="1:27" ht="27" customHeight="1">
      <c r="A116" s="3265" t="s">
        <v>923</v>
      </c>
      <c r="B116" s="3307" t="s">
        <v>924</v>
      </c>
      <c r="C116" s="3307" t="s">
        <v>925</v>
      </c>
      <c r="D116" s="3281" t="s">
        <v>926</v>
      </c>
      <c r="E116" s="3282"/>
      <c r="F116" s="3283" t="s">
        <v>927</v>
      </c>
      <c r="G116" s="3283"/>
      <c r="H116" s="3265" t="s">
        <v>928</v>
      </c>
      <c r="I116" s="3265"/>
    </row>
    <row r="117" spans="1:27" ht="18.75" customHeight="1">
      <c r="A117" s="3265"/>
      <c r="B117" s="3308"/>
      <c r="C117" s="3308"/>
      <c r="D117" s="3065" t="s">
        <v>929</v>
      </c>
      <c r="E117" s="3065" t="s">
        <v>749</v>
      </c>
      <c r="F117" s="3065" t="s">
        <v>929</v>
      </c>
      <c r="G117" s="3065" t="s">
        <v>749</v>
      </c>
      <c r="H117" s="3065" t="s">
        <v>929</v>
      </c>
      <c r="I117" s="3065" t="s">
        <v>749</v>
      </c>
    </row>
    <row r="118" spans="1:27" ht="24.75" customHeight="1">
      <c r="A118" s="2373" t="str">
        <f>项目基本情况!S2</f>
        <v>北京市顺义区北小营镇顺义新城第30街区30-01-02地块R2二类居住用地出让国有建设用地使用权及在建建筑物房地产</v>
      </c>
      <c r="B118" s="3065">
        <f>M18</f>
        <v>0</v>
      </c>
      <c r="C118" s="3065">
        <f>M19</f>
        <v>0</v>
      </c>
      <c r="D118" s="3065">
        <f ca="1">ROUND(IF(D32="总价",C34,E118*B118/10000),0)</f>
        <v>0</v>
      </c>
      <c r="E118" s="3065" t="e">
        <f ca="1">ROUND(IF(C33="自定义",IF(D32="楼面单价",C34,D118*10000/B118),I118-G118),0)</f>
        <v>#DIV/0!</v>
      </c>
      <c r="F118" s="3065">
        <f ca="1">ROUND(IF(D32="总价",C35,G118*B118/10000),0)</f>
        <v>0</v>
      </c>
      <c r="G118" s="3065" t="e">
        <f ca="1">ROUND(IF(D32="楼面单价",C35,F118*10000/B118),0)</f>
        <v>#DIV/0!</v>
      </c>
      <c r="H118" s="3065">
        <f ca="1">ROUND(IF(D32="总价",C32,I118*B118/10000),0)</f>
        <v>0</v>
      </c>
      <c r="I118" s="3065" t="e">
        <f ca="1">ROUND(IF(D32="楼面单价",C32,H118*10000/B118),0)</f>
        <v>#DIV/0!</v>
      </c>
    </row>
    <row r="119" spans="1:27" ht="18.75" customHeight="1">
      <c r="A119" s="3265" t="s">
        <v>930</v>
      </c>
      <c r="B119" s="3265"/>
      <c r="C119" s="3265"/>
      <c r="D119" s="3266" t="str">
        <f ca="1">NUMBERSTRING(INT(D118*10000),2)&amp;"元整"</f>
        <v>零元整</v>
      </c>
      <c r="E119" s="3268"/>
      <c r="F119" s="3266" t="str">
        <f ca="1">NUMBERSTRING(INT(F118*10000),2)&amp;"元整"</f>
        <v>零元整</v>
      </c>
      <c r="G119" s="3268"/>
      <c r="H119" s="3266" t="str">
        <f ca="1">NUMBERSTRING(INT(H118*10000),2)&amp;"元整"</f>
        <v>零元整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269" t="s">
        <v>930</v>
      </c>
      <c r="B121" s="3270"/>
      <c r="C121" s="3271"/>
      <c r="D121" s="3266" t="str">
        <f>IF(D120=0,"零元整",NUMBERSTRING(INT(D120*10000),2)&amp;"元整")</f>
        <v>零元整</v>
      </c>
      <c r="E121" s="3267"/>
      <c r="F121" s="3267"/>
      <c r="G121" s="3267"/>
      <c r="H121" s="3267"/>
      <c r="I121" s="3268"/>
      <c r="AA121" s="232"/>
    </row>
    <row r="122" spans="1:27" ht="18.75" customHeight="1">
      <c r="A122" s="3261" t="str">
        <f>IF(项目基本情况!B9="房地产市场价值","",MID(E107,3,LEN(E107)-2))</f>
        <v>房地产抵押价值</v>
      </c>
      <c r="B122" s="3261"/>
      <c r="C122" s="3261"/>
      <c r="D122" s="3262">
        <f ca="1">H107</f>
        <v>0</v>
      </c>
      <c r="E122" s="3263"/>
      <c r="F122" s="3263"/>
      <c r="G122" s="3263"/>
      <c r="H122" s="3263"/>
      <c r="I122" s="3264"/>
      <c r="AA122" s="232"/>
    </row>
    <row r="123" spans="1:27" ht="18.75" customHeight="1">
      <c r="A123" s="3265" t="s">
        <v>930</v>
      </c>
      <c r="B123" s="3265"/>
      <c r="C123" s="3265"/>
      <c r="D123" s="3266" t="str">
        <f ca="1">NUMBERSTRING(INT(D122*10000),2)&amp;"元整"</f>
        <v>零元整</v>
      </c>
      <c r="E123" s="3267"/>
      <c r="F123" s="3267"/>
      <c r="G123" s="3267"/>
      <c r="H123" s="3267"/>
      <c r="I123" s="3268"/>
      <c r="AA123" s="232"/>
    </row>
    <row r="124" spans="1:27" ht="18.75" customHeight="1">
      <c r="A124" s="3261" t="str">
        <f>IF(项目基本情况!B9="房地产市场价值","",MID(E109,3,LEN(E109)-2))</f>
        <v/>
      </c>
      <c r="B124" s="3261"/>
      <c r="C124" s="3261"/>
      <c r="D124" s="3262" t="str">
        <f>H109</f>
        <v>——</v>
      </c>
      <c r="E124" s="3263"/>
      <c r="F124" s="3263"/>
      <c r="G124" s="3263"/>
      <c r="H124" s="3263"/>
      <c r="I124" s="3264"/>
      <c r="AA124" s="232"/>
    </row>
    <row r="125" spans="1:27" ht="18.75" customHeight="1">
      <c r="A125" s="3265" t="s">
        <v>930</v>
      </c>
      <c r="B125" s="3265"/>
      <c r="C125" s="3265"/>
      <c r="D125" s="3266" t="e">
        <f>NUMBERSTRING(INT(D124*10000),2)&amp;"元整"</f>
        <v>#VALUE!</v>
      </c>
      <c r="E125" s="3267"/>
      <c r="F125" s="3267"/>
      <c r="G125" s="3267"/>
      <c r="H125" s="3267"/>
      <c r="I125" s="3268"/>
      <c r="AA125" s="232"/>
    </row>
    <row r="126" spans="1:27" ht="18.75" customHeight="1">
      <c r="A126" s="3261" t="str">
        <f>IF(项目基本情况!B9="房地产市场价值","",MID(E111,3,LEN(E111)-2))</f>
        <v>抵押净值</v>
      </c>
      <c r="B126" s="3261"/>
      <c r="C126" s="3261"/>
      <c r="D126" s="3262">
        <f ca="1">H111</f>
        <v>0</v>
      </c>
      <c r="E126" s="3263"/>
      <c r="F126" s="3263"/>
      <c r="G126" s="3263"/>
      <c r="H126" s="3263"/>
      <c r="I126" s="3264"/>
      <c r="AA126" s="232"/>
    </row>
    <row r="127" spans="1:27" ht="18.75" customHeight="1">
      <c r="A127" s="3265" t="s">
        <v>930</v>
      </c>
      <c r="B127" s="3265"/>
      <c r="C127" s="3265"/>
      <c r="D127" s="3266" t="str">
        <f ca="1">NUMBERSTRING(INT(D126*10000),2)&amp;"元整"</f>
        <v>零元整</v>
      </c>
      <c r="E127" s="3267"/>
      <c r="F127" s="3267"/>
      <c r="G127" s="3267"/>
      <c r="H127" s="3267"/>
      <c r="I127" s="3268"/>
      <c r="AA127" s="232"/>
    </row>
    <row r="128" spans="1:27" ht="21.75" customHeight="1">
      <c r="A128" s="3298" t="s">
        <v>113</v>
      </c>
      <c r="B128" s="3298"/>
      <c r="C128" s="3298"/>
      <c r="D128" s="3298"/>
      <c r="E128" s="3298"/>
      <c r="F128" s="3298"/>
      <c r="G128" s="3298"/>
      <c r="H128" s="3298"/>
      <c r="I128" s="3298"/>
      <c r="AA128" s="232"/>
    </row>
    <row r="129" spans="1:35" ht="21.75" customHeight="1">
      <c r="A129" s="2384" t="s">
        <v>931</v>
      </c>
      <c r="B129" s="2385"/>
      <c r="C129" s="2386" t="s">
        <v>932</v>
      </c>
      <c r="D129" s="2387"/>
      <c r="E129" s="2387"/>
      <c r="F129" s="2387"/>
      <c r="G129" s="2387"/>
      <c r="H129" s="2388"/>
      <c r="I129" s="2401"/>
      <c r="AA129" s="232"/>
    </row>
    <row r="130" spans="1:35" ht="21.75" customHeight="1">
      <c r="A130" s="2389">
        <v>1</v>
      </c>
      <c r="B130" s="2390"/>
      <c r="C130" s="2390"/>
      <c r="D130" s="340"/>
      <c r="E130" s="340"/>
      <c r="F130" s="340"/>
      <c r="G130" s="340"/>
      <c r="H130" s="323"/>
      <c r="I130" s="2402"/>
      <c r="AA130" s="232"/>
    </row>
    <row r="131" spans="1:35" ht="21.75" customHeight="1">
      <c r="A131" s="2389">
        <v>2</v>
      </c>
      <c r="B131" s="2390"/>
      <c r="C131" s="2390"/>
      <c r="D131" s="340"/>
      <c r="E131" s="340"/>
      <c r="F131" s="340"/>
      <c r="G131" s="340"/>
      <c r="H131" s="323"/>
      <c r="I131" s="2402"/>
      <c r="AA131" s="232"/>
    </row>
    <row r="132" spans="1:35" ht="21.75" customHeight="1">
      <c r="A132" s="2389">
        <v>3</v>
      </c>
      <c r="B132" s="2390"/>
      <c r="C132" s="2390"/>
      <c r="D132" s="340"/>
      <c r="E132" s="340"/>
      <c r="F132" s="340"/>
      <c r="G132" s="340"/>
      <c r="H132" s="323"/>
      <c r="I132" s="2402"/>
      <c r="AA132" s="232"/>
    </row>
    <row r="133" spans="1:35" ht="21.75" customHeight="1">
      <c r="A133" s="2391"/>
      <c r="B133" s="2392"/>
      <c r="C133" s="2392"/>
      <c r="D133" s="2393"/>
      <c r="E133" s="2393"/>
      <c r="F133" s="2393"/>
      <c r="G133" s="2393"/>
      <c r="H133" s="2394"/>
      <c r="I133" s="2403"/>
    </row>
    <row r="134" spans="1:35" ht="21.75" customHeight="1">
      <c r="A134" s="2390"/>
      <c r="B134" s="2390"/>
      <c r="C134" s="2390"/>
      <c r="D134" s="340"/>
      <c r="E134" s="340"/>
      <c r="F134" s="340"/>
      <c r="G134" s="340"/>
      <c r="H134" s="323"/>
      <c r="I134" s="232"/>
    </row>
    <row r="135" spans="1:35" ht="21.75" customHeight="1">
      <c r="A135" s="232"/>
      <c r="B135" s="232"/>
      <c r="C135" s="232"/>
      <c r="D135" s="232"/>
      <c r="E135" s="232"/>
      <c r="F135" s="2395" t="s">
        <v>933</v>
      </c>
      <c r="G135" s="2396"/>
      <c r="H135" s="2396"/>
      <c r="I135" s="2404" t="s">
        <v>934</v>
      </c>
    </row>
    <row r="136" spans="1:35" ht="21.75" customHeight="1">
      <c r="A136" s="232"/>
      <c r="B136" s="2397"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6"/>
      <c r="C138" s="2396"/>
      <c r="D138" s="2396"/>
      <c r="E138" s="2396"/>
      <c r="F138" s="2396"/>
      <c r="G138" s="2396"/>
      <c r="H138" s="2396"/>
      <c r="I138" s="2404" t="s">
        <v>936</v>
      </c>
    </row>
    <row r="139" spans="1:35" ht="21.75" customHeight="1">
      <c r="A139" s="232"/>
      <c r="B139" s="2397" t="s">
        <v>937</v>
      </c>
      <c r="C139" s="232"/>
      <c r="D139" s="232"/>
      <c r="E139" s="232"/>
      <c r="F139" s="232"/>
      <c r="G139" s="232"/>
      <c r="H139" s="232"/>
      <c r="I139" s="232"/>
    </row>
    <row r="140" spans="1:35" ht="21.75" customHeight="1">
      <c r="A140" s="232"/>
      <c r="B140" s="2397"/>
      <c r="C140" s="232"/>
      <c r="D140" s="232"/>
      <c r="E140" s="232"/>
      <c r="F140" s="232"/>
      <c r="G140" s="232"/>
      <c r="H140" s="232"/>
      <c r="I140" s="232"/>
    </row>
    <row r="141" spans="1:35" ht="21.75" customHeight="1">
      <c r="A141" s="232"/>
      <c r="B141" s="2396"/>
      <c r="C141" s="2396"/>
      <c r="D141" s="2396"/>
      <c r="E141" s="2396"/>
      <c r="F141" s="2396"/>
      <c r="G141" s="2396"/>
      <c r="H141" s="2396"/>
      <c r="I141" s="2404" t="s">
        <v>936</v>
      </c>
    </row>
    <row r="142" spans="1:35" ht="21.75" customHeight="1">
      <c r="A142" s="232"/>
      <c r="B142" s="2397"/>
      <c r="C142" s="2398"/>
      <c r="D142" s="2399"/>
      <c r="E142" s="2399"/>
      <c r="F142" s="2400"/>
      <c r="G142" s="232"/>
      <c r="H142" s="232"/>
      <c r="I142" s="232"/>
    </row>
    <row r="143" spans="1:35" s="231" customFormat="1" ht="21.75" customHeight="1">
      <c r="A143" s="232"/>
      <c r="B143" s="2397"/>
      <c r="C143" s="2398"/>
      <c r="D143" s="2399"/>
      <c r="E143" s="2399"/>
      <c r="F143" s="2400"/>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0"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0"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0"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0"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0"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0"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0"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0"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0"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0"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0"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0"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0"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0"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0"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0"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0"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0"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0"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0"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0"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0"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0"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0"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0"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0"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0"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0"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0"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0"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0"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0"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0"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0"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0"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0"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0"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0"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0"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0"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0"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0"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0"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0"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0"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0"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0"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0"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0"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0"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0"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0"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0"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0"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0"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0"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0"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0"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0"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0"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0"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0"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0"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0"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0"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0"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0"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0"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0"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0"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0"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0"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0"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0"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0"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0"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0"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0"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0"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0"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0"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0"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0"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0"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0"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0"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0"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0"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0"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0"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0"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0"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0"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0"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0"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0"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0"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0"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0"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0"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0"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0"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0"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0"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5"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G7" sqref="G7"/>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0" t="s">
        <v>464</v>
      </c>
      <c r="C1" s="2091" t="s">
        <v>1492</v>
      </c>
      <c r="D1" s="146"/>
      <c r="E1" s="146"/>
      <c r="F1" s="146"/>
      <c r="G1" s="2092">
        <f>MATCH(B1,'数据-取费表'!A6:A16,0)+5</f>
        <v>8</v>
      </c>
      <c r="H1" s="1943" t="str">
        <f>IF(ISERROR(FIND("住宅",B1)),"非住宅","住宅")</f>
        <v>非住宅</v>
      </c>
    </row>
    <row r="2" spans="1:8" s="136" customFormat="1" ht="18" customHeight="1">
      <c r="A2" s="148" t="s">
        <v>941</v>
      </c>
      <c r="B2" s="149">
        <f ca="1">ROUND(IF(D2="——",C52/10000,C52/10000-E2),0)</f>
        <v>0</v>
      </c>
      <c r="C2" s="147" t="s">
        <v>1397</v>
      </c>
      <c r="D2" s="2093" t="s">
        <v>124</v>
      </c>
      <c r="E2" s="2094" t="e">
        <f ca="1">SUMIF(INDIRECT("'"&amp;G2&amp;"'"&amp;"!A:A"),"承租人权益价值",INDIRECT("'"&amp;G2&amp;"'"&amp;"!c:c"))</f>
        <v>#REF!</v>
      </c>
      <c r="F2" s="2095" t="s">
        <v>1397</v>
      </c>
      <c r="G2" s="2096"/>
    </row>
    <row r="3" spans="1:8" s="136" customFormat="1" ht="18" customHeight="1">
      <c r="A3" s="151" t="s">
        <v>942</v>
      </c>
      <c r="B3" s="152" t="e">
        <f ca="1">ROUND(B2*10000/(IF(B1="",'数据-汇总表'!E3,INDIRECT("'数据-取费表'!k"&amp;$G$1))),0)</f>
        <v>#DIV/0!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0</v>
      </c>
      <c r="D5" s="158" t="s">
        <v>1402</v>
      </c>
      <c r="E5" s="159" t="s">
        <v>1403</v>
      </c>
      <c r="F5" s="159" t="s">
        <v>841</v>
      </c>
      <c r="G5" s="160"/>
    </row>
    <row r="6" spans="1:8" s="138" customFormat="1" ht="13.5" customHeight="1">
      <c r="A6" s="161" t="s">
        <v>1404</v>
      </c>
      <c r="B6" s="162" t="s">
        <v>1405</v>
      </c>
      <c r="C6" s="163">
        <f ca="1">ROUND('土地比较法-住宅、综合'!B61*成本法仓!D10,0)</f>
        <v>0</v>
      </c>
      <c r="D6" s="164"/>
      <c r="E6" s="165"/>
      <c r="F6" s="165"/>
      <c r="G6" s="166"/>
    </row>
    <row r="7" spans="1:8" s="138" customFormat="1" ht="13.5" customHeight="1">
      <c r="A7" s="161" t="s">
        <v>1406</v>
      </c>
      <c r="B7" s="162" t="s">
        <v>1407</v>
      </c>
      <c r="C7" s="167">
        <f ca="1">ROUND(C6*F7,0)</f>
        <v>0</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0</v>
      </c>
      <c r="D8" s="169"/>
      <c r="E8" s="167"/>
      <c r="F8" s="168"/>
      <c r="G8" s="2097" t="s">
        <v>3034</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0</v>
      </c>
      <c r="E19" s="158">
        <f>'数据-取费表'!B31</f>
        <v>200</v>
      </c>
      <c r="F19" s="180"/>
      <c r="G19" s="2097" t="s">
        <v>1433</v>
      </c>
    </row>
    <row r="20" spans="1:7" s="138" customFormat="1" ht="13.5" customHeight="1">
      <c r="A20" s="156" t="s">
        <v>1434</v>
      </c>
      <c r="B20" s="157" t="s">
        <v>1435</v>
      </c>
      <c r="C20" s="181">
        <f ca="1">ROUND((C5+C19)*F20,0)</f>
        <v>0</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0</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0</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0</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0</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0</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0</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0</v>
      </c>
      <c r="D34" s="164"/>
      <c r="E34" s="167"/>
      <c r="F34" s="210"/>
      <c r="G34" s="166"/>
    </row>
    <row r="35" spans="1:7" ht="13.5" customHeight="1">
      <c r="A35" s="189" t="s">
        <v>1406</v>
      </c>
      <c r="B35" s="162" t="s">
        <v>1465</v>
      </c>
      <c r="C35" s="167">
        <f ca="1">ROUND(C34*F35,0)</f>
        <v>0</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0</v>
      </c>
      <c r="D37" s="164">
        <f ca="1">D19</f>
        <v>0</v>
      </c>
      <c r="E37" s="202">
        <f>'数据-取费表'!B35</f>
        <v>200</v>
      </c>
      <c r="F37" s="211"/>
      <c r="G37" s="213"/>
    </row>
    <row r="38" spans="1:7" ht="13.5" customHeight="1">
      <c r="A38" s="189" t="s">
        <v>1471</v>
      </c>
      <c r="B38" s="162" t="s">
        <v>878</v>
      </c>
      <c r="C38" s="167">
        <f ca="1">ROUND(C34*F38,0)</f>
        <v>0</v>
      </c>
      <c r="D38" s="167"/>
      <c r="E38" s="167"/>
      <c r="F38" s="211">
        <f>'数据-取费表'!B36</f>
        <v>1.4999999999999999E-2</v>
      </c>
      <c r="G38" s="166" t="s">
        <v>1466</v>
      </c>
    </row>
    <row r="39" spans="1:7" s="138" customFormat="1" ht="13.5" customHeight="1">
      <c r="A39" s="156" t="s">
        <v>1431</v>
      </c>
      <c r="B39" s="157" t="s">
        <v>1435</v>
      </c>
      <c r="C39" s="181">
        <f ca="1">ROUND(C33*F20,0)</f>
        <v>0</v>
      </c>
      <c r="D39" s="181"/>
      <c r="E39" s="181"/>
      <c r="F39" s="2098">
        <f>F20</f>
        <v>0.02</v>
      </c>
      <c r="G39" s="186" t="s">
        <v>1472</v>
      </c>
    </row>
    <row r="40" spans="1:7" s="138" customFormat="1" ht="13.5" customHeight="1">
      <c r="A40" s="156" t="s">
        <v>1434</v>
      </c>
      <c r="B40" s="157" t="s">
        <v>1438</v>
      </c>
      <c r="C40" s="184">
        <f>F21</f>
        <v>0.02</v>
      </c>
      <c r="D40" s="185" t="s">
        <v>1473</v>
      </c>
      <c r="E40" s="181"/>
      <c r="F40" s="2098">
        <f>F21</f>
        <v>0.02</v>
      </c>
      <c r="G40" s="186" t="s">
        <v>1474</v>
      </c>
    </row>
    <row r="41" spans="1:7" s="138" customFormat="1" ht="13.5" customHeight="1">
      <c r="A41" s="156" t="s">
        <v>1437</v>
      </c>
      <c r="B41" s="157" t="s">
        <v>1442</v>
      </c>
      <c r="C41" s="181">
        <f ca="1">ROUND(SUM(C42:C43),0)</f>
        <v>0</v>
      </c>
      <c r="D41" s="184">
        <f>C44</f>
        <v>1E-3</v>
      </c>
      <c r="E41" s="185" t="s">
        <v>1473</v>
      </c>
      <c r="F41" s="2099">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0</v>
      </c>
      <c r="D42" s="191"/>
      <c r="E42" s="191"/>
      <c r="F42" s="192"/>
      <c r="G42" s="3312" t="s">
        <v>1495</v>
      </c>
    </row>
    <row r="43" spans="1:7" ht="13.5" customHeight="1">
      <c r="A43" s="189" t="s">
        <v>1406</v>
      </c>
      <c r="B43" s="162" t="s">
        <v>1445</v>
      </c>
      <c r="C43" s="191">
        <f ca="1">ROUND(IF('数据-取费表'!B22&lt;=1,C39*F22*'数据-取费表'!B20/2,C39*(POWER((1+F22),'数据-取费表'!B20/2)-1)),0)</f>
        <v>0</v>
      </c>
      <c r="D43" s="191"/>
      <c r="E43" s="191"/>
      <c r="F43" s="192"/>
      <c r="G43" s="3313"/>
    </row>
    <row r="44" spans="1:7" ht="13.5" customHeight="1">
      <c r="A44" s="189" t="s">
        <v>1408</v>
      </c>
      <c r="B44" s="162" t="s">
        <v>1447</v>
      </c>
      <c r="C44" s="191">
        <f>ROUND(IF('数据-取费表'!B22&lt;=1,C40*F22*'数据-取费表'!B20/2,C40*(POWER((1+F22),'数据-取费表'!B20/2)-1)),4)</f>
        <v>1E-3</v>
      </c>
      <c r="D44" s="191"/>
      <c r="E44" s="191"/>
      <c r="F44" s="192"/>
      <c r="G44" s="3314"/>
    </row>
    <row r="45" spans="1:7" s="138" customFormat="1" ht="13.5" customHeight="1">
      <c r="A45" s="156" t="s">
        <v>1441</v>
      </c>
      <c r="B45" s="197" t="s">
        <v>1452</v>
      </c>
      <c r="C45" s="198">
        <f ca="1">C46</f>
        <v>0</v>
      </c>
      <c r="D45" s="184">
        <f ca="1">C47</f>
        <v>2E-3</v>
      </c>
      <c r="E45" s="185" t="s">
        <v>1473</v>
      </c>
      <c r="F45" s="2100">
        <f ca="1">F27</f>
        <v>0.1</v>
      </c>
      <c r="G45" s="200" t="s">
        <v>1476</v>
      </c>
    </row>
    <row r="46" spans="1:7" s="138" customFormat="1" ht="13.5" customHeight="1">
      <c r="A46" s="189" t="s">
        <v>1404</v>
      </c>
      <c r="B46" s="201" t="s">
        <v>1477</v>
      </c>
      <c r="C46" s="202">
        <f ca="1">ROUND((C33+C39)*F27,0)</f>
        <v>0</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099">
        <f>F30</f>
        <v>5.5E-2</v>
      </c>
      <c r="G48" s="186" t="s">
        <v>1479</v>
      </c>
    </row>
    <row r="49" spans="1:7" ht="16.5" customHeight="1">
      <c r="A49" s="156" t="s">
        <v>1456</v>
      </c>
      <c r="B49" s="157" t="s">
        <v>1496</v>
      </c>
      <c r="C49" s="181">
        <f ca="1">ROUND((C33+C39+C41+C45)/(1-C40-D41-D45-C48),0)</f>
        <v>0</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0</v>
      </c>
      <c r="D51" s="181"/>
      <c r="E51" s="181"/>
      <c r="F51" s="216"/>
      <c r="G51" s="186" t="s">
        <v>1487</v>
      </c>
    </row>
    <row r="52" spans="1:7" s="137" customFormat="1" ht="15.75">
      <c r="A52" s="217" t="s">
        <v>1488</v>
      </c>
      <c r="B52" s="218"/>
      <c r="C52" s="219">
        <f ca="1">C31+C51</f>
        <v>0</v>
      </c>
      <c r="D52" s="218"/>
      <c r="E52" s="218"/>
      <c r="F52" s="218"/>
      <c r="G52" s="220"/>
    </row>
    <row r="55" spans="1:7" ht="15">
      <c r="B55" s="221" t="s">
        <v>1489</v>
      </c>
      <c r="C55" s="222"/>
    </row>
    <row r="56" spans="1:7">
      <c r="B56" s="223" t="s">
        <v>1490</v>
      </c>
      <c r="C56" s="225" t="e">
        <f ca="1">1-C57</f>
        <v>#DIV/0!</v>
      </c>
    </row>
    <row r="57" spans="1:7">
      <c r="B57" s="223" t="s">
        <v>1491</v>
      </c>
      <c r="C57" s="224" t="e">
        <f ca="1">ROUND(C51/C52,3)</f>
        <v>#DIV/0!</v>
      </c>
    </row>
  </sheetData>
  <sheetProtection password="CEE9" sheet="1" objects="1" scenarios="1" formatCells="0"/>
  <mergeCells count="1">
    <mergeCell ref="G42:G44"/>
  </mergeCells>
  <phoneticPr fontId="21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G7" sqref="G7"/>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5"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3" customFormat="1" ht="21">
      <c r="A1" s="1606" t="s">
        <v>1610</v>
      </c>
      <c r="B1" s="1080"/>
      <c r="C1" s="1607" t="s">
        <v>464</v>
      </c>
      <c r="D1" s="1608" t="s">
        <v>124</v>
      </c>
      <c r="E1" s="1609" t="s">
        <v>1611</v>
      </c>
      <c r="F1" s="1610">
        <f ca="1">J53</f>
        <v>45.29</v>
      </c>
      <c r="G1" s="1611">
        <f>MATCH(C1,'数据-取费表'!A6:A16,0)+5</f>
        <v>8</v>
      </c>
      <c r="H1" s="1612"/>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spans="1:37" ht="18" customHeight="1">
      <c r="A2" s="1446" t="s">
        <v>1612</v>
      </c>
      <c r="B2" s="1613">
        <f ca="1">ROUND(D2/10000,0)</f>
        <v>0</v>
      </c>
      <c r="C2" s="1614" t="s">
        <v>1613</v>
      </c>
      <c r="D2" s="1615">
        <f ca="1">C40+J29+L46</f>
        <v>0</v>
      </c>
      <c r="E2" s="1616" t="s">
        <v>1802</v>
      </c>
      <c r="F2" s="1617"/>
      <c r="G2" s="1618"/>
      <c r="H2" s="1619"/>
      <c r="I2" s="1619"/>
      <c r="J2" s="1619"/>
      <c r="K2" s="1773"/>
      <c r="L2" s="1619"/>
      <c r="M2" s="1619"/>
    </row>
    <row r="3" spans="1:37" ht="18" customHeight="1">
      <c r="A3" s="1620" t="s">
        <v>1614</v>
      </c>
      <c r="B3" s="1621">
        <f ca="1">IF(ISERROR(D2/F43),0,ROUND(D2/F43,0))</f>
        <v>0</v>
      </c>
      <c r="C3" s="1614" t="s">
        <v>1615</v>
      </c>
      <c r="D3" s="1614"/>
      <c r="E3" s="1616"/>
      <c r="F3" s="1617"/>
      <c r="G3" s="1618"/>
      <c r="H3" s="1622" t="s">
        <v>1616</v>
      </c>
      <c r="I3" s="1774"/>
      <c r="J3" s="1774"/>
      <c r="K3" s="1775"/>
      <c r="L3" s="1774"/>
      <c r="M3" s="1774"/>
    </row>
    <row r="4" spans="1:37" ht="18" customHeight="1">
      <c r="A4" s="1623" t="s">
        <v>1617</v>
      </c>
      <c r="B4" s="1624" t="s">
        <v>1618</v>
      </c>
      <c r="C4" s="1624" t="s">
        <v>1619</v>
      </c>
      <c r="D4" s="1624" t="s">
        <v>1620</v>
      </c>
      <c r="E4" s="1625" t="s">
        <v>1621</v>
      </c>
      <c r="F4" s="1626"/>
      <c r="G4" s="730"/>
      <c r="H4" s="1623" t="s">
        <v>1617</v>
      </c>
      <c r="I4" s="1624" t="s">
        <v>1618</v>
      </c>
      <c r="J4" s="1624" t="s">
        <v>1619</v>
      </c>
      <c r="K4" s="1624" t="s">
        <v>1620</v>
      </c>
      <c r="L4" s="1625" t="s">
        <v>1621</v>
      </c>
      <c r="M4" s="1626"/>
    </row>
    <row r="5" spans="1:37" ht="18" customHeight="1">
      <c r="A5" s="1627">
        <v>1</v>
      </c>
      <c r="B5" s="1628" t="s">
        <v>1622</v>
      </c>
      <c r="C5" s="1629">
        <f ca="1">C6+C10+C12</f>
        <v>0</v>
      </c>
      <c r="D5" s="1630" t="s">
        <v>1623</v>
      </c>
      <c r="E5" s="1631"/>
      <c r="F5" s="1632"/>
      <c r="G5" s="730"/>
      <c r="H5" s="1627">
        <v>1</v>
      </c>
      <c r="I5" s="1628" t="s">
        <v>1622</v>
      </c>
      <c r="J5" s="1629">
        <f ca="1">J6+J10+J12</f>
        <v>0</v>
      </c>
      <c r="K5" s="1630" t="s">
        <v>1623</v>
      </c>
      <c r="L5" s="1631"/>
      <c r="M5" s="1632"/>
    </row>
    <row r="6" spans="1:37" ht="18" customHeight="1">
      <c r="A6" s="1633" t="s">
        <v>846</v>
      </c>
      <c r="B6" s="3381" t="s">
        <v>1624</v>
      </c>
      <c r="C6" s="1634">
        <f ca="1">ROUND(F6*F8*F7*(1-F9),0)</f>
        <v>0</v>
      </c>
      <c r="D6" s="1635" t="s">
        <v>1803</v>
      </c>
      <c r="E6" s="1636" t="s">
        <v>1626</v>
      </c>
      <c r="F6" s="1637">
        <f ca="1">INDIRECT("'数据-取费表'!u"&amp;$G$1)</f>
        <v>1</v>
      </c>
      <c r="G6" s="730"/>
      <c r="H6" s="1633" t="s">
        <v>846</v>
      </c>
      <c r="I6" s="3381" t="s">
        <v>1624</v>
      </c>
      <c r="J6" s="1707">
        <f ca="1">ROUND(M6*M8*M7*(1-M9),0)</f>
        <v>0</v>
      </c>
      <c r="K6" s="1776" t="s">
        <v>1804</v>
      </c>
      <c r="L6" s="1636" t="s">
        <v>1626</v>
      </c>
      <c r="M6" s="1637">
        <f ca="1">INDIRECT("'数据-取费表'!z"&amp;$G$1)</f>
        <v>0</v>
      </c>
    </row>
    <row r="7" spans="1:37" ht="18" customHeight="1">
      <c r="A7" s="1638"/>
      <c r="B7" s="3382"/>
      <c r="C7" s="1639"/>
      <c r="D7" s="1640"/>
      <c r="E7" s="1641" t="s">
        <v>1628</v>
      </c>
      <c r="F7" s="1637">
        <f ca="1">IF(INDIRECT("'数据-取费表'!ah"&amp;$G$1)="",INDIRECT("'数据-取费表'!k"&amp;$G$1),INDIRECT("'数据-取费表'!ah"&amp;$G$1))</f>
        <v>0</v>
      </c>
      <c r="G7" s="730"/>
      <c r="H7" s="1642"/>
      <c r="I7" s="3382"/>
      <c r="J7" s="1643"/>
      <c r="K7" s="1640"/>
      <c r="L7" s="1636" t="s">
        <v>1628</v>
      </c>
      <c r="M7" s="1637">
        <f ca="1">F7</f>
        <v>0</v>
      </c>
    </row>
    <row r="8" spans="1:37" ht="18" customHeight="1">
      <c r="A8" s="1642"/>
      <c r="B8" s="3382"/>
      <c r="C8" s="1643"/>
      <c r="D8" s="1640"/>
      <c r="E8" s="1636" t="s">
        <v>1629</v>
      </c>
      <c r="F8" s="1637">
        <f ca="1">INDIRECT("'数据-取费表'!ai"&amp;$G$1)</f>
        <v>365</v>
      </c>
      <c r="G8" s="730"/>
      <c r="H8" s="1642"/>
      <c r="I8" s="3382"/>
      <c r="J8" s="1643"/>
      <c r="K8" s="1640"/>
      <c r="L8" s="1636" t="s">
        <v>1629</v>
      </c>
      <c r="M8" s="1637">
        <f ca="1">INDIRECT("'数据-取费表'!ai"&amp;$G$1)</f>
        <v>365</v>
      </c>
    </row>
    <row r="9" spans="1:37" ht="18" customHeight="1">
      <c r="A9" s="1642"/>
      <c r="B9" s="3383"/>
      <c r="C9" s="1643"/>
      <c r="D9" s="1640"/>
      <c r="E9" s="1636" t="s">
        <v>1630</v>
      </c>
      <c r="F9" s="1644">
        <f ca="1">INDIRECT("'数据-取费表'!w"&amp;$G$1)</f>
        <v>0.1</v>
      </c>
      <c r="G9" s="730"/>
      <c r="H9" s="1642"/>
      <c r="I9" s="3383"/>
      <c r="J9" s="1643"/>
      <c r="K9" s="1640"/>
      <c r="L9" s="1647" t="s">
        <v>1630</v>
      </c>
      <c r="M9" s="1652">
        <f ca="1">INDIRECT("'数据-取费表'!ab"&amp;$G$1)</f>
        <v>0</v>
      </c>
    </row>
    <row r="10" spans="1:37" ht="18" customHeight="1">
      <c r="A10" s="1633" t="s">
        <v>850</v>
      </c>
      <c r="B10" s="1645" t="s">
        <v>1631</v>
      </c>
      <c r="C10" s="284">
        <f ca="1">ROUND(IF(F10="押一",C6/12*F11,IF(F10="押二",C6/12*2*F11,IF(F10="押三",C6/12*3*F11,C11*F11))),0)</f>
        <v>0</v>
      </c>
      <c r="D10" s="1646" t="s">
        <v>1632</v>
      </c>
      <c r="E10" s="1647" t="s">
        <v>1633</v>
      </c>
      <c r="F10" s="1648" t="s">
        <v>1634</v>
      </c>
      <c r="G10" s="730"/>
      <c r="H10" s="1633" t="s">
        <v>850</v>
      </c>
      <c r="I10" s="1645" t="s">
        <v>1631</v>
      </c>
      <c r="J10" s="1707">
        <f ca="1">ROUND(IF(M10="押一",J6/12*M11,IF(M10="押二",J6/12*2*M11,IF(M10="押三",J6/12*3*M11,J11*M11))),0)</f>
        <v>0</v>
      </c>
      <c r="K10" s="1777" t="s">
        <v>1805</v>
      </c>
      <c r="L10" s="1647" t="s">
        <v>1633</v>
      </c>
      <c r="M10" s="1648"/>
    </row>
    <row r="11" spans="1:37" ht="18" customHeight="1">
      <c r="A11" s="1649"/>
      <c r="B11" s="1650" t="s">
        <v>1806</v>
      </c>
      <c r="C11" s="1651"/>
      <c r="D11" s="1640"/>
      <c r="E11" s="1647" t="s">
        <v>1637</v>
      </c>
      <c r="F11" s="1652">
        <f ca="1">'数据-取费表'!B39</f>
        <v>1.4999999999999999E-2</v>
      </c>
      <c r="G11" s="730"/>
      <c r="H11" s="1653"/>
      <c r="I11" s="1650" t="s">
        <v>1807</v>
      </c>
      <c r="J11" s="1651"/>
      <c r="K11" s="1778"/>
      <c r="L11" s="1647" t="s">
        <v>1637</v>
      </c>
      <c r="M11" s="1779">
        <f ca="1">'数据-取费表'!B39</f>
        <v>1.4999999999999999E-2</v>
      </c>
    </row>
    <row r="12" spans="1:37" ht="18" customHeight="1">
      <c r="A12" s="1654" t="s">
        <v>898</v>
      </c>
      <c r="B12" s="1655" t="s">
        <v>1638</v>
      </c>
      <c r="C12" s="1656"/>
      <c r="D12" s="1657"/>
      <c r="E12" s="1658"/>
      <c r="F12" s="1659"/>
      <c r="G12" s="730"/>
      <c r="H12" s="1654" t="s">
        <v>898</v>
      </c>
      <c r="I12" s="1655" t="s">
        <v>1638</v>
      </c>
      <c r="J12" s="1656"/>
      <c r="K12" s="1780"/>
      <c r="L12" s="1658"/>
      <c r="M12" s="1781"/>
    </row>
    <row r="13" spans="1:37" ht="18" customHeight="1">
      <c r="A13" s="1660">
        <v>2</v>
      </c>
      <c r="B13" s="1661" t="s">
        <v>1639</v>
      </c>
      <c r="C13" s="1662">
        <f ca="1">ROUND(C29*F13,0)</f>
        <v>0</v>
      </c>
      <c r="D13" s="1663" t="s">
        <v>1640</v>
      </c>
      <c r="E13" s="1663" t="s">
        <v>1641</v>
      </c>
      <c r="F13" s="1664">
        <f ca="1">INDIRECT("'数据-取费表'!y"&amp;$G$1)</f>
        <v>1</v>
      </c>
      <c r="G13" s="730"/>
      <c r="H13" s="1660">
        <v>2</v>
      </c>
      <c r="I13" s="1661" t="s">
        <v>1639</v>
      </c>
      <c r="J13" s="1782">
        <f ca="1">ROUND(J14*J15,0)</f>
        <v>0</v>
      </c>
      <c r="K13" s="1685" t="s">
        <v>1640</v>
      </c>
      <c r="L13" s="1783"/>
      <c r="M13" s="1784"/>
    </row>
    <row r="14" spans="1:37" ht="18" customHeight="1">
      <c r="A14" s="1665" t="s">
        <v>869</v>
      </c>
      <c r="B14" s="1636" t="s">
        <v>1642</v>
      </c>
      <c r="C14" s="1666">
        <f ca="1">ROUND(INDIRECT("'数据-取费表'!l"&amp;$G$1)*F43+'数据-取费表'!L14*INDIRECT("'数据-取费表'!S"&amp;$G$1),0)</f>
        <v>0</v>
      </c>
      <c r="D14" s="1667" t="s">
        <v>1643</v>
      </c>
      <c r="E14" s="1668"/>
      <c r="F14" s="1669"/>
      <c r="G14" s="730"/>
      <c r="H14" s="1665" t="s">
        <v>846</v>
      </c>
      <c r="I14" s="1636" t="s">
        <v>1644</v>
      </c>
      <c r="J14" s="285">
        <f ca="1">C29</f>
        <v>0</v>
      </c>
      <c r="K14" s="1785"/>
      <c r="L14" s="1786"/>
      <c r="M14" s="1787"/>
    </row>
    <row r="15" spans="1:37" s="1604" customFormat="1" ht="18" customHeight="1">
      <c r="A15" s="1665" t="s">
        <v>873</v>
      </c>
      <c r="B15" s="1636" t="s">
        <v>1512</v>
      </c>
      <c r="C15" s="285">
        <f ca="1">ROUND(C14*F15,0)</f>
        <v>0</v>
      </c>
      <c r="D15" s="1670" t="s">
        <v>1645</v>
      </c>
      <c r="E15" s="1670" t="s">
        <v>1646</v>
      </c>
      <c r="F15" s="1671">
        <f>'数据-取费表'!B33</f>
        <v>0.03</v>
      </c>
      <c r="G15" s="1672"/>
      <c r="H15" s="1673" t="s">
        <v>850</v>
      </c>
      <c r="I15" s="1658" t="s">
        <v>1641</v>
      </c>
      <c r="J15" s="1781">
        <f ca="1">INDIRECT("'数据-取费表'!ad"&amp;$G$1)</f>
        <v>0</v>
      </c>
      <c r="K15" s="1788"/>
      <c r="L15" s="1789"/>
      <c r="M15" s="1790"/>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665" t="s">
        <v>877</v>
      </c>
      <c r="B16" s="1636" t="s">
        <v>1515</v>
      </c>
      <c r="C16" s="285">
        <f ca="1">ROUND(INDIRECT("'数据-取费表'!l"&amp;$G$1)*F43*F16,0)</f>
        <v>0</v>
      </c>
      <c r="D16" s="1636" t="s">
        <v>1645</v>
      </c>
      <c r="E16" s="1636" t="s">
        <v>1646</v>
      </c>
      <c r="F16" s="1674">
        <f ca="1">IF(INDIRECT("'数据-取费表'!c"&amp;$G$1)="住宅",'数据-取费表'!B34,0)</f>
        <v>0</v>
      </c>
      <c r="G16" s="730"/>
      <c r="H16" s="1660" t="s">
        <v>1647</v>
      </c>
      <c r="I16" s="1661" t="s">
        <v>1648</v>
      </c>
      <c r="J16" s="1662">
        <f ca="1">ROUND(J17+J22+J23+J24,0)</f>
        <v>0</v>
      </c>
      <c r="K16" s="1685" t="s">
        <v>1649</v>
      </c>
      <c r="L16" s="1686"/>
      <c r="M16" s="1632"/>
    </row>
    <row r="17" spans="1:37" s="1604" customFormat="1" ht="18" customHeight="1">
      <c r="A17" s="1665" t="s">
        <v>1650</v>
      </c>
      <c r="B17" s="1636" t="s">
        <v>1651</v>
      </c>
      <c r="C17" s="285">
        <f ca="1">ROUND(F17*(F43+INDIRECT("'数据-取费表'!S"&amp;$G$1)),0)</f>
        <v>0</v>
      </c>
      <c r="D17" s="1636" t="s">
        <v>1652</v>
      </c>
      <c r="E17" s="1636" t="s">
        <v>1653</v>
      </c>
      <c r="F17" s="1675">
        <f>'数据-取费表'!B35</f>
        <v>200</v>
      </c>
      <c r="G17" s="1672"/>
      <c r="H17" s="1665" t="s">
        <v>846</v>
      </c>
      <c r="I17" s="1636" t="s">
        <v>1654</v>
      </c>
      <c r="J17" s="1688">
        <f ca="1">ROUND(IF(AND(项目基本情况!B11="自然人",项目基本情况!B10="北京市"),J6*M17/(1+'数据-取费表'!C42),J18+J19+J20),0)</f>
        <v>0</v>
      </c>
      <c r="K17" s="1667" t="s">
        <v>1655</v>
      </c>
      <c r="L17" s="1689" t="s">
        <v>1656</v>
      </c>
      <c r="M17" s="1690" t="str">
        <f>IF(项目基本情况!B11="企业","",IF('数据-取费表'!B10="住宅",IF(M6*M7*M8/12/(1+'数据-取费表'!F30)&gt;100000,4%,2.5%),IF(M6*M7*M8/12/(1+'数据-取费表'!F30)&gt;100000,12%,7%)))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04" customFormat="1" ht="18" customHeight="1">
      <c r="A18" s="1665" t="s">
        <v>1657</v>
      </c>
      <c r="B18" s="1636" t="s">
        <v>1521</v>
      </c>
      <c r="C18" s="285">
        <f ca="1">ROUND(C14*F18,0)</f>
        <v>0</v>
      </c>
      <c r="D18" s="1636" t="s">
        <v>1645</v>
      </c>
      <c r="E18" s="1636" t="s">
        <v>1646</v>
      </c>
      <c r="F18" s="1674">
        <f>'数据-取费表'!B36</f>
        <v>1.4999999999999999E-2</v>
      </c>
      <c r="G18" s="1672"/>
      <c r="H18" s="1665" t="s">
        <v>869</v>
      </c>
      <c r="I18" s="1636" t="s">
        <v>1658</v>
      </c>
      <c r="J18" s="285">
        <f ca="1">ROUND(J6*M18/(1+'数据-取费表'!C42),0)</f>
        <v>0</v>
      </c>
      <c r="K18" s="1689" t="s">
        <v>1659</v>
      </c>
      <c r="L18" s="1636" t="s">
        <v>1646</v>
      </c>
      <c r="M18" s="1674">
        <f>'数据-取费表'!B41</f>
        <v>5.5E-2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665" t="s">
        <v>846</v>
      </c>
      <c r="B19" s="1636" t="s">
        <v>1660</v>
      </c>
      <c r="C19" s="285">
        <f ca="1">SUM(C14:C18)</f>
        <v>0</v>
      </c>
      <c r="D19" s="1676" t="s">
        <v>1661</v>
      </c>
      <c r="E19" s="287"/>
      <c r="F19" s="1675"/>
      <c r="G19" s="730"/>
      <c r="H19" s="1665" t="s">
        <v>873</v>
      </c>
      <c r="I19" s="1636" t="s">
        <v>1662</v>
      </c>
      <c r="J19" s="285">
        <f ca="1">IF(K19="按租金收入计税",ROUND(J6*M19/(1+'数据-取费表'!C42),0),ROUND(C29*M19*0.7,0))</f>
        <v>0</v>
      </c>
      <c r="K19" s="1692" t="s">
        <v>1663</v>
      </c>
      <c r="L19" s="1636" t="s">
        <v>1646</v>
      </c>
      <c r="M19" s="1674">
        <f>IF(K19="按租金收入计税",'数据-取费表'!B51,'数据-取费表'!B50)</f>
        <v>1.2E-2</v>
      </c>
    </row>
    <row r="20" spans="1:37" s="1604" customFormat="1" ht="18" customHeight="1">
      <c r="A20" s="1665" t="s">
        <v>850</v>
      </c>
      <c r="B20" s="1636" t="s">
        <v>1664</v>
      </c>
      <c r="C20" s="285">
        <f ca="1">ROUND(C19*F20,0)</f>
        <v>0</v>
      </c>
      <c r="D20" s="1677" t="s">
        <v>1665</v>
      </c>
      <c r="E20" s="1636" t="s">
        <v>1646</v>
      </c>
      <c r="F20" s="1674">
        <f>'数据-取费表'!B37</f>
        <v>0.02</v>
      </c>
      <c r="G20" s="1672"/>
      <c r="H20" s="1665" t="s">
        <v>877</v>
      </c>
      <c r="I20" s="1635" t="s">
        <v>1666</v>
      </c>
      <c r="J20" s="1694">
        <f ca="1">ROUND(M20*M21,0)</f>
        <v>0</v>
      </c>
      <c r="K20" s="1695" t="s">
        <v>1667</v>
      </c>
      <c r="L20" s="1636" t="s">
        <v>1668</v>
      </c>
      <c r="M20" s="1679">
        <f>'数据-取费表'!B52</f>
        <v>1.5</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04" customFormat="1" ht="18" customHeight="1">
      <c r="A21" s="1665" t="s">
        <v>898</v>
      </c>
      <c r="B21" s="1636" t="s">
        <v>1669</v>
      </c>
      <c r="C21" s="285" t="s">
        <v>124</v>
      </c>
      <c r="D21" s="1677" t="s">
        <v>1670</v>
      </c>
      <c r="E21" s="1636" t="s">
        <v>1671</v>
      </c>
      <c r="F21" s="1674">
        <f>'数据-取费表'!B38</f>
        <v>0.02</v>
      </c>
      <c r="G21" s="1672"/>
      <c r="H21" s="1678"/>
      <c r="I21" s="1791"/>
      <c r="J21" s="1698"/>
      <c r="K21" s="1699"/>
      <c r="L21" s="1636" t="s">
        <v>1672</v>
      </c>
      <c r="M21" s="1637">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665" t="s">
        <v>901</v>
      </c>
      <c r="B22" s="1636" t="s">
        <v>1673</v>
      </c>
      <c r="C22" s="285"/>
      <c r="D22" s="1676" t="str">
        <f>IF(F23&lt;=1,"单利计息。","复利计息。")&amp;"建造成本、管理费用、销售费用产生的利息。"</f>
        <v>复利计息。建造成本、管理费用、销售费用产生的利息。</v>
      </c>
      <c r="E22" s="287"/>
      <c r="F22" s="1675"/>
      <c r="G22" s="730"/>
      <c r="H22" s="1665" t="s">
        <v>850</v>
      </c>
      <c r="I22" s="1636" t="s">
        <v>1674</v>
      </c>
      <c r="J22" s="285">
        <f ca="1">ROUND(J14*M22,0)</f>
        <v>0</v>
      </c>
      <c r="K22" s="1689" t="s">
        <v>1675</v>
      </c>
      <c r="L22" s="1636" t="s">
        <v>1646</v>
      </c>
      <c r="M22" s="1701">
        <f ca="1">INDIRECT("'数据-取费表'!Ak"&amp;$G$1)</f>
        <v>8.0000000000000002E-3</v>
      </c>
    </row>
    <row r="23" spans="1:37" s="1604" customFormat="1" ht="18" customHeight="1">
      <c r="A23" s="1665" t="s">
        <v>869</v>
      </c>
      <c r="B23" s="1636" t="s">
        <v>1676</v>
      </c>
      <c r="C23" s="285">
        <f ca="1">IF('数据-取费表'!B22&lt;=1,ROUND(C19*F24*F23/2,0)+ROUND(C20*F24*F23/2,0),ROUND(C19*(POWER((1+F24),F23/2)-1),0)+ROUND(C20*(POWER((1+F24),F23/2)-1),0))</f>
        <v>0</v>
      </c>
      <c r="D23" s="233" t="str">
        <f>IF(F23&lt;=1,"(建造成本+管理费用)×利率×(建设周期÷2)","(建造成本+管理费用)×((1+利率)^(建设周期÷2)-1)")</f>
        <v>(建造成本+管理费用)×((1+利率)^(建设周期÷2)-1)</v>
      </c>
      <c r="E23" s="1636" t="s">
        <v>1677</v>
      </c>
      <c r="F23" s="1679">
        <f>'数据-取费表'!B20</f>
        <v>3</v>
      </c>
      <c r="G23" s="1672"/>
      <c r="H23" s="1665" t="s">
        <v>898</v>
      </c>
      <c r="I23" s="1636" t="s">
        <v>1678</v>
      </c>
      <c r="J23" s="285">
        <f ca="1">ROUND(J13*M23,0)</f>
        <v>0</v>
      </c>
      <c r="K23" s="1689" t="s">
        <v>1679</v>
      </c>
      <c r="L23" s="1636" t="s">
        <v>1646</v>
      </c>
      <c r="M23" s="1702">
        <f ca="1">INDIRECT("'数据-取费表'!Al"&amp;$G$1)</f>
        <v>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04" customFormat="1" ht="18" customHeight="1">
      <c r="A24" s="1665" t="s">
        <v>873</v>
      </c>
      <c r="B24" s="1636" t="s">
        <v>1680</v>
      </c>
      <c r="C24" s="285">
        <f>ROUND(IF('数据-取费表'!B22&lt;=1,F21*F24*F23/2,F21*(POWER((1+F24),F23/2)-1)),4)</f>
        <v>1E-3</v>
      </c>
      <c r="D24" s="233" t="str">
        <f>IF(F23&lt;=1,"销售费用×利率×(建设周期÷2)","销售费用×((1+利率)^(建设周期÷2)-1)")</f>
        <v>销售费用×((1+利率)^(建设周期÷2)-1)</v>
      </c>
      <c r="E24" s="1636" t="s">
        <v>1681</v>
      </c>
      <c r="F24" s="1680">
        <f>'数据-取费表'!B40</f>
        <v>3.4500000000000003E-2</v>
      </c>
      <c r="G24" s="1672"/>
      <c r="H24" s="1673" t="s">
        <v>901</v>
      </c>
      <c r="I24" s="1658" t="s">
        <v>1664</v>
      </c>
      <c r="J24" s="1681">
        <f ca="1">ROUND(J5*M24,0)</f>
        <v>0</v>
      </c>
      <c r="K24" s="1682" t="s">
        <v>1682</v>
      </c>
      <c r="L24" s="1658" t="s">
        <v>1646</v>
      </c>
      <c r="M24" s="1659">
        <f ca="1">INDIRECT("'数据-取费表'!Am"&amp;$G$1)</f>
        <v>8.0000000000000002E-3</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665" t="s">
        <v>905</v>
      </c>
      <c r="B25" s="1636" t="s">
        <v>1683</v>
      </c>
      <c r="C25" s="285"/>
      <c r="D25" s="1676" t="s">
        <v>1684</v>
      </c>
      <c r="E25" s="287"/>
      <c r="F25" s="1675"/>
      <c r="G25" s="730"/>
      <c r="H25" s="1660" t="s">
        <v>1685</v>
      </c>
      <c r="I25" s="1703" t="s">
        <v>1686</v>
      </c>
      <c r="J25" s="1662">
        <f ca="1">J5-J16</f>
        <v>0</v>
      </c>
      <c r="K25" s="1704" t="s">
        <v>1687</v>
      </c>
      <c r="L25" s="1705"/>
      <c r="M25" s="1706"/>
    </row>
    <row r="26" spans="1:37" ht="18" customHeight="1">
      <c r="A26" s="1665" t="s">
        <v>869</v>
      </c>
      <c r="B26" s="1636" t="s">
        <v>1688</v>
      </c>
      <c r="C26" s="285">
        <f ca="1">ROUND((C19+C20)*F26,0)</f>
        <v>0</v>
      </c>
      <c r="D26" s="1677" t="s">
        <v>1689</v>
      </c>
      <c r="E26" s="1647" t="s">
        <v>1690</v>
      </c>
      <c r="F26" s="1644">
        <f ca="1">INDIRECT("'数据-取费表'!q"&amp;$G$1)</f>
        <v>0.1</v>
      </c>
      <c r="G26" s="730"/>
      <c r="H26" s="1627" t="s">
        <v>1691</v>
      </c>
      <c r="I26" s="1628" t="s">
        <v>1692</v>
      </c>
      <c r="J26" s="1707">
        <f ca="1">IF(J5&lt;&gt;0,ROUND(J25*(1-((1+M28)/(1+M26))^M27)/(M26-M28),0),0)</f>
        <v>0</v>
      </c>
      <c r="K26" s="1695" t="s">
        <v>1693</v>
      </c>
      <c r="L26" s="1636" t="s">
        <v>1694</v>
      </c>
      <c r="M26" s="1644">
        <f ca="1">INDIRECT("'数据-取费表'!I"&amp;$G$1)</f>
        <v>0.05</v>
      </c>
    </row>
    <row r="27" spans="1:37" ht="18" customHeight="1">
      <c r="A27" s="1665" t="s">
        <v>873</v>
      </c>
      <c r="B27" s="1636" t="s">
        <v>1695</v>
      </c>
      <c r="C27" s="285">
        <f ca="1">ROUND(F21*F26,4)</f>
        <v>2E-3</v>
      </c>
      <c r="D27" s="1677" t="s">
        <v>1696</v>
      </c>
      <c r="E27" s="1670"/>
      <c r="F27" s="1671"/>
      <c r="G27" s="730"/>
      <c r="H27" s="1642"/>
      <c r="I27" s="1709"/>
      <c r="J27" s="1643"/>
      <c r="K27" s="1710" t="s">
        <v>1697</v>
      </c>
      <c r="L27" s="1636" t="s">
        <v>1698</v>
      </c>
      <c r="M27" s="1711">
        <f ca="1">INDIRECT("'数据-取费表'!ag"&amp;$G$1)</f>
        <v>0</v>
      </c>
    </row>
    <row r="28" spans="1:37" s="1604" customFormat="1" ht="18" customHeight="1">
      <c r="A28" s="1665" t="s">
        <v>906</v>
      </c>
      <c r="B28" s="1636" t="s">
        <v>1699</v>
      </c>
      <c r="C28" s="285">
        <f>ROUND(F28/(1+'数据-取费表'!C42),4)</f>
        <v>5.2400000000000002E-2</v>
      </c>
      <c r="D28" s="1677" t="s">
        <v>1700</v>
      </c>
      <c r="E28" s="1636" t="s">
        <v>1646</v>
      </c>
      <c r="F28" s="1674">
        <f>'数据-取费表'!B41</f>
        <v>5.5E-2</v>
      </c>
      <c r="G28" s="1672"/>
      <c r="H28" s="1649"/>
      <c r="I28" s="1712"/>
      <c r="J28" s="1662"/>
      <c r="K28" s="1699"/>
      <c r="L28" s="1636" t="s">
        <v>1701</v>
      </c>
      <c r="M28" s="164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04" customFormat="1" ht="18" customHeight="1">
      <c r="A29" s="1673" t="s">
        <v>1546</v>
      </c>
      <c r="B29" s="1658" t="s">
        <v>1702</v>
      </c>
      <c r="C29" s="1681">
        <f ca="1">ROUND((C19+C20+C23+C26)/(1-F21-C24-C27-C28),0)</f>
        <v>0</v>
      </c>
      <c r="D29" s="1682"/>
      <c r="E29" s="1658"/>
      <c r="F29" s="1683"/>
      <c r="G29" s="1672"/>
      <c r="H29" s="1684" t="s">
        <v>1703</v>
      </c>
      <c r="I29" s="1713" t="s">
        <v>1704</v>
      </c>
      <c r="J29" s="1714">
        <f ca="1">ROUND(J26/(1+F40)^F41,0)</f>
        <v>0</v>
      </c>
      <c r="K29" s="1715" t="s">
        <v>1705</v>
      </c>
      <c r="L29" s="1716"/>
      <c r="M29" s="1717">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660" t="s">
        <v>1647</v>
      </c>
      <c r="B30" s="1661" t="s">
        <v>1648</v>
      </c>
      <c r="C30" s="1662">
        <f ca="1">ROUND(C31+C36+C37+C38,0)</f>
        <v>0</v>
      </c>
      <c r="D30" s="1685" t="s">
        <v>1649</v>
      </c>
      <c r="E30" s="1686"/>
      <c r="F30" s="1632"/>
      <c r="G30" s="730"/>
      <c r="H30" s="1687"/>
      <c r="I30" s="1792"/>
      <c r="J30" s="1793"/>
      <c r="K30" s="274"/>
      <c r="L30" s="1794"/>
      <c r="M30" s="1795"/>
    </row>
    <row r="31" spans="1:37" ht="18" customHeight="1">
      <c r="A31" s="1665" t="s">
        <v>846</v>
      </c>
      <c r="B31" s="1636" t="s">
        <v>1654</v>
      </c>
      <c r="C31" s="1688">
        <f ca="1">ROUND(IF(AND(项目基本情况!B11="自然人",项目基本情况!B10="北京市"),C6*F31/(1+'数据-取费表'!C42),C32+C33+C34),0)</f>
        <v>0</v>
      </c>
      <c r="D31" s="1667" t="s">
        <v>1655</v>
      </c>
      <c r="E31" s="1689" t="s">
        <v>1656</v>
      </c>
      <c r="F31" s="1690" t="str">
        <f>IF(项目基本情况!B11="企业","——",IF('数据-取费表'!B10="住宅",IF(F6*F7*F8/12/(1+'数据-取费表'!F30)&gt;100000,4%,2.5%),IF(F6*F7*F8/12/(1+'数据-取费表'!F30)&gt;100000,12%,7%)))</f>
        <v>——</v>
      </c>
      <c r="G31" s="730"/>
      <c r="H31" s="1691" t="s">
        <v>1706</v>
      </c>
      <c r="I31" s="1792"/>
      <c r="J31" s="1793"/>
      <c r="K31" s="274"/>
      <c r="L31" s="1794"/>
      <c r="M31" s="1795"/>
    </row>
    <row r="32" spans="1:37" ht="18" customHeight="1">
      <c r="A32" s="1665" t="s">
        <v>869</v>
      </c>
      <c r="B32" s="1636" t="s">
        <v>1658</v>
      </c>
      <c r="C32" s="285">
        <f ca="1">IF(项目基本情况!B11="自然人","——",ROUND(C6*F32/(1+'数据-取费表'!C42),0))</f>
        <v>0</v>
      </c>
      <c r="D32" s="1689" t="s">
        <v>1659</v>
      </c>
      <c r="E32" s="1636" t="s">
        <v>1646</v>
      </c>
      <c r="F32" s="1680">
        <f>'数据-取费表'!B41</f>
        <v>5.5E-2</v>
      </c>
      <c r="G32" s="730"/>
      <c r="H32" s="1687"/>
      <c r="I32" s="1792"/>
      <c r="J32" s="1793"/>
      <c r="K32" s="274"/>
      <c r="L32" s="1794"/>
      <c r="M32" s="1795"/>
    </row>
    <row r="33" spans="1:18" ht="18" customHeight="1">
      <c r="A33" s="1665" t="s">
        <v>873</v>
      </c>
      <c r="B33" s="1636" t="s">
        <v>1662</v>
      </c>
      <c r="C33" s="285">
        <f ca="1">IF(项目基本情况!B11="自然人","——",IF(D33="按租金收入计税",ROUND(C6*F33/(1+'数据-取费表'!C42),0),IF(D33="按房产原值计税",ROUND(C29*F33*0.7,0),INDIRECT("'数据-取费表'!Aj"&amp;$G$1))))</f>
        <v>0</v>
      </c>
      <c r="D33" s="1692" t="s">
        <v>1707</v>
      </c>
      <c r="E33" s="1636" t="s">
        <v>1646</v>
      </c>
      <c r="F33" s="1674">
        <f>IF(D33="按票据","——",IF(D33="按租金收入计税",'数据-取费表'!B51,'数据-取费表'!B50))</f>
        <v>0.12</v>
      </c>
      <c r="G33" s="730"/>
      <c r="H33" s="1693"/>
      <c r="I33" s="1792"/>
      <c r="J33" s="1793"/>
      <c r="K33" s="1796"/>
      <c r="L33" s="1693"/>
      <c r="M33" s="1693"/>
    </row>
    <row r="34" spans="1:18" ht="18" customHeight="1">
      <c r="A34" s="1633" t="s">
        <v>877</v>
      </c>
      <c r="B34" s="1635" t="s">
        <v>1666</v>
      </c>
      <c r="C34" s="1694">
        <f ca="1">IF(项目基本情况!B11="自然人","——",ROUND(F34*F35,))</f>
        <v>0</v>
      </c>
      <c r="D34" s="1695" t="s">
        <v>1667</v>
      </c>
      <c r="E34" s="1636" t="s">
        <v>1668</v>
      </c>
      <c r="F34" s="1679">
        <f>'数据-取费表'!B52</f>
        <v>1.5</v>
      </c>
      <c r="G34" s="730"/>
      <c r="H34" s="1687"/>
      <c r="I34" s="1792"/>
      <c r="J34" s="1793"/>
      <c r="K34" s="1797"/>
      <c r="L34" s="1798"/>
      <c r="M34" s="1798"/>
    </row>
    <row r="35" spans="1:18" ht="18" customHeight="1">
      <c r="A35" s="1696"/>
      <c r="B35" s="1697"/>
      <c r="C35" s="1698"/>
      <c r="D35" s="1699"/>
      <c r="E35" s="1636" t="s">
        <v>1672</v>
      </c>
      <c r="F35" s="1637">
        <f ca="1">INDIRECT("'数据-取费表'!r"&amp;$G$1)</f>
        <v>0</v>
      </c>
      <c r="G35" s="730"/>
      <c r="H35" s="1687"/>
      <c r="I35" s="1792"/>
      <c r="J35" s="1793"/>
      <c r="K35" s="1796"/>
      <c r="L35" s="1693"/>
      <c r="M35" s="1693"/>
    </row>
    <row r="36" spans="1:18" ht="18" customHeight="1">
      <c r="A36" s="1700" t="s">
        <v>850</v>
      </c>
      <c r="B36" s="1636" t="s">
        <v>1674</v>
      </c>
      <c r="C36" s="285">
        <f ca="1">ROUND(C29*F36,0)</f>
        <v>0</v>
      </c>
      <c r="D36" s="1689" t="s">
        <v>1708</v>
      </c>
      <c r="E36" s="1636" t="s">
        <v>1646</v>
      </c>
      <c r="F36" s="1701">
        <f ca="1">INDIRECT("'数据-取费表'!Ak"&amp;$G$1)</f>
        <v>8.0000000000000002E-3</v>
      </c>
      <c r="G36" s="730"/>
      <c r="H36" s="1693"/>
      <c r="I36" s="1792"/>
      <c r="J36" s="1793"/>
      <c r="K36" s="1799"/>
      <c r="L36" s="1693"/>
      <c r="M36" s="1693"/>
    </row>
    <row r="37" spans="1:18" ht="18" customHeight="1">
      <c r="A37" s="1665" t="s">
        <v>898</v>
      </c>
      <c r="B37" s="1636" t="s">
        <v>1678</v>
      </c>
      <c r="C37" s="285">
        <f ca="1">ROUND(C13*F37,0)</f>
        <v>0</v>
      </c>
      <c r="D37" s="1689" t="s">
        <v>1679</v>
      </c>
      <c r="E37" s="1636" t="s">
        <v>1646</v>
      </c>
      <c r="F37" s="1702">
        <f ca="1">INDIRECT("'数据-取费表'!Al"&amp;$G$1)</f>
        <v>1E-3</v>
      </c>
      <c r="G37" s="730"/>
      <c r="H37" s="1693"/>
      <c r="I37" s="1792"/>
      <c r="J37" s="1793"/>
      <c r="K37" s="1799"/>
      <c r="L37" s="1693"/>
      <c r="M37" s="1693"/>
    </row>
    <row r="38" spans="1:18" ht="18" customHeight="1">
      <c r="A38" s="1673" t="s">
        <v>901</v>
      </c>
      <c r="B38" s="1658" t="s">
        <v>1664</v>
      </c>
      <c r="C38" s="1681">
        <f ca="1">ROUND(C5*F38,1)</f>
        <v>0</v>
      </c>
      <c r="D38" s="1682" t="s">
        <v>1682</v>
      </c>
      <c r="E38" s="1658" t="s">
        <v>1646</v>
      </c>
      <c r="F38" s="1659">
        <f ca="1">INDIRECT("'数据-取费表'!Am"&amp;$G$1)</f>
        <v>8.0000000000000002E-3</v>
      </c>
      <c r="G38" s="730"/>
      <c r="H38" s="1693"/>
      <c r="I38" s="1792"/>
      <c r="J38" s="1793"/>
      <c r="K38" s="1794"/>
      <c r="L38" s="1693"/>
      <c r="M38" s="1693"/>
    </row>
    <row r="39" spans="1:18" ht="24.6" customHeight="1">
      <c r="A39" s="1660" t="s">
        <v>1685</v>
      </c>
      <c r="B39" s="1703" t="s">
        <v>1686</v>
      </c>
      <c r="C39" s="1662">
        <f ca="1">C5-C30</f>
        <v>0</v>
      </c>
      <c r="D39" s="1704" t="s">
        <v>1687</v>
      </c>
      <c r="E39" s="1705"/>
      <c r="F39" s="1706"/>
      <c r="G39" s="730"/>
      <c r="H39" s="1693"/>
      <c r="I39" s="1792"/>
      <c r="J39" s="1793"/>
      <c r="K39" s="1794"/>
      <c r="L39" s="1693"/>
      <c r="M39" s="1693"/>
    </row>
    <row r="40" spans="1:18" ht="18" customHeight="1">
      <c r="A40" s="1627" t="s">
        <v>1691</v>
      </c>
      <c r="B40" s="1628" t="s">
        <v>1709</v>
      </c>
      <c r="C40" s="1707">
        <f ca="1">ROUND(C39*(1-((1+F42)/(1+F40))^F41)/(F40-F42),0)</f>
        <v>0</v>
      </c>
      <c r="D40" s="1695" t="s">
        <v>1693</v>
      </c>
      <c r="E40" s="1636" t="s">
        <v>1694</v>
      </c>
      <c r="F40" s="1644">
        <f ca="1">INDIRECT("'数据-取费表'!I"&amp;$G$1)</f>
        <v>0.05</v>
      </c>
      <c r="G40" s="730"/>
      <c r="H40" s="1708"/>
      <c r="I40" s="1792"/>
      <c r="J40" s="1793"/>
      <c r="K40" s="1794"/>
      <c r="L40" s="1708"/>
      <c r="M40" s="1708"/>
    </row>
    <row r="41" spans="1:18" ht="18" customHeight="1">
      <c r="A41" s="1642"/>
      <c r="B41" s="1709"/>
      <c r="C41" s="1643"/>
      <c r="D41" s="1710" t="s">
        <v>1697</v>
      </c>
      <c r="E41" s="1636" t="s">
        <v>1698</v>
      </c>
      <c r="F41" s="1711">
        <f ca="1">IF(INDIRECT("'数据-取费表'!af"&amp;$G$1)=0,INDIRECT("'数据-取费表'!ae"&amp;$G$1),INDIRECT("'数据-取费表'!af"&amp;$G$1))</f>
        <v>45.29</v>
      </c>
      <c r="G41" s="730"/>
      <c r="H41" s="274"/>
      <c r="I41" s="1792"/>
      <c r="J41" s="1793"/>
      <c r="K41" s="1799"/>
      <c r="L41" s="274"/>
      <c r="M41" s="274"/>
    </row>
    <row r="42" spans="1:18" ht="18" customHeight="1">
      <c r="A42" s="1649"/>
      <c r="B42" s="1712"/>
      <c r="C42" s="1662"/>
      <c r="D42" s="1699"/>
      <c r="E42" s="1636" t="s">
        <v>1701</v>
      </c>
      <c r="F42" s="1644">
        <f ca="1">INDIRECT("'数据-取费表'!v"&amp;$G$1)</f>
        <v>1.4999999999999999E-2</v>
      </c>
      <c r="G42" s="730"/>
      <c r="H42" s="274"/>
      <c r="I42" s="1792"/>
      <c r="J42" s="1793"/>
      <c r="K42" s="1799"/>
      <c r="L42" s="274"/>
      <c r="M42" s="274"/>
    </row>
    <row r="43" spans="1:18" ht="18" customHeight="1">
      <c r="A43" s="1684" t="s">
        <v>1703</v>
      </c>
      <c r="B43" s="1713" t="s">
        <v>1710</v>
      </c>
      <c r="C43" s="1714" t="e">
        <f ca="1">ROUND(C40/F43,0)</f>
        <v>#DIV/0!</v>
      </c>
      <c r="D43" s="1715" t="s">
        <v>1711</v>
      </c>
      <c r="E43" s="1716" t="s">
        <v>1712</v>
      </c>
      <c r="F43" s="1717">
        <f ca="1">INDIRECT("'数据-取费表'!k"&amp;$G$1)</f>
        <v>0</v>
      </c>
      <c r="G43" s="730"/>
      <c r="H43" s="274"/>
      <c r="I43" s="274"/>
      <c r="J43" s="274"/>
      <c r="K43" s="1799"/>
      <c r="L43" s="274"/>
      <c r="M43" s="274"/>
    </row>
    <row r="44" spans="1:18" s="730" customFormat="1" ht="18" customHeight="1">
      <c r="A44" s="1718"/>
      <c r="B44" s="1718"/>
      <c r="C44" s="1719"/>
      <c r="D44" s="1718"/>
      <c r="E44" s="1718"/>
      <c r="F44" s="1718"/>
      <c r="K44" s="1800"/>
    </row>
    <row r="45" spans="1:18" s="730" customFormat="1" ht="18" customHeight="1">
      <c r="A45" s="1718"/>
      <c r="B45" s="1718"/>
      <c r="C45" s="1720">
        <f ca="1">C68-C40</f>
        <v>0</v>
      </c>
      <c r="D45" s="1721" t="s">
        <v>1808</v>
      </c>
      <c r="E45" s="1718"/>
      <c r="F45" s="1718"/>
      <c r="O45" s="1801" t="s">
        <v>1713</v>
      </c>
      <c r="P45" s="1708"/>
      <c r="Q45" s="1708"/>
      <c r="R45" s="1708"/>
    </row>
    <row r="46" spans="1:18" s="730" customFormat="1">
      <c r="A46" s="1722" t="s">
        <v>1714</v>
      </c>
      <c r="C46" s="1723">
        <f ca="1">ROUND(C45/10000,0)</f>
        <v>0</v>
      </c>
      <c r="D46" s="1724" t="str">
        <f>C2</f>
        <v>万元</v>
      </c>
      <c r="I46" s="1802" t="s">
        <v>1715</v>
      </c>
      <c r="J46" s="1803"/>
      <c r="K46" s="1804"/>
      <c r="L46" s="1805">
        <f ca="1">IF(M47="住宅",0,IF(L48&gt;J51,L60,J60))</f>
        <v>0</v>
      </c>
      <c r="O46" s="1806" t="s">
        <v>1716</v>
      </c>
      <c r="P46" s="1807" t="s">
        <v>1717</v>
      </c>
      <c r="Q46" s="1848" t="s">
        <v>1718</v>
      </c>
      <c r="R46" s="1848" t="s">
        <v>1719</v>
      </c>
    </row>
    <row r="47" spans="1:18" s="730" customFormat="1">
      <c r="A47" s="1725" t="s">
        <v>1617</v>
      </c>
      <c r="B47" s="1726" t="s">
        <v>1618</v>
      </c>
      <c r="C47" s="1726" t="s">
        <v>1619</v>
      </c>
      <c r="D47" s="1726" t="s">
        <v>1620</v>
      </c>
      <c r="E47" s="1727" t="s">
        <v>1621</v>
      </c>
      <c r="F47" s="278"/>
      <c r="G47" s="1728"/>
      <c r="I47" s="1808" t="s">
        <v>1720</v>
      </c>
      <c r="J47" s="1809" t="s">
        <v>1565</v>
      </c>
      <c r="K47" s="1810" t="s">
        <v>1721</v>
      </c>
      <c r="L47" s="1811">
        <f ca="1">INDIRECT("'数据-取费表'!d"&amp;$G$1)</f>
        <v>50</v>
      </c>
      <c r="M47" s="1812" t="str">
        <f>IF(ISNUMBER(FIND("住宅",C1)),"住宅","非住宅")</f>
        <v>非住宅</v>
      </c>
      <c r="O47" s="1813" t="s">
        <v>1410</v>
      </c>
      <c r="P47" s="1814" t="s">
        <v>1722</v>
      </c>
      <c r="Q47" s="1849">
        <f ca="1">C40+J29</f>
        <v>0</v>
      </c>
      <c r="R47" s="1849" t="s">
        <v>1723</v>
      </c>
    </row>
    <row r="48" spans="1:18" s="730" customFormat="1" ht="27.75">
      <c r="A48" s="1729" t="s">
        <v>1724</v>
      </c>
      <c r="B48" s="1628" t="s">
        <v>1622</v>
      </c>
      <c r="C48" s="286">
        <f ca="1">C49+C53+C55</f>
        <v>0</v>
      </c>
      <c r="D48" s="1730"/>
      <c r="E48" s="1731"/>
      <c r="F48" s="1732"/>
      <c r="G48" s="1728"/>
      <c r="H48" s="1733"/>
      <c r="I48" s="789" t="s">
        <v>1725</v>
      </c>
      <c r="J48" s="1815" t="s">
        <v>1726</v>
      </c>
      <c r="K48" s="1816" t="s">
        <v>1727</v>
      </c>
      <c r="L48" s="1817">
        <f ca="1">INDIRECT("'数据-取费表'!f"&amp;$G$1)</f>
        <v>45.29</v>
      </c>
      <c r="O48" s="1813" t="s">
        <v>1413</v>
      </c>
      <c r="P48" s="1814" t="s">
        <v>1728</v>
      </c>
      <c r="Q48" s="1849">
        <f ca="1">J60</f>
        <v>0</v>
      </c>
      <c r="R48" s="1849" t="s">
        <v>1729</v>
      </c>
    </row>
    <row r="49" spans="1:18" s="730" customFormat="1">
      <c r="A49" s="1734" t="s">
        <v>1730</v>
      </c>
      <c r="B49" s="1735" t="s">
        <v>1731</v>
      </c>
      <c r="C49" s="1736">
        <f ca="1">ROUND(F49*F51*F50*(1-F52),0)</f>
        <v>0</v>
      </c>
      <c r="D49" s="1737" t="s">
        <v>1809</v>
      </c>
      <c r="E49" s="1738" t="s">
        <v>1732</v>
      </c>
      <c r="F49" s="1739"/>
      <c r="H49" s="1733"/>
      <c r="I49" s="789" t="s">
        <v>1733</v>
      </c>
      <c r="J49" s="1818">
        <v>2023</v>
      </c>
      <c r="K49" s="1816" t="s">
        <v>1734</v>
      </c>
      <c r="L49" s="1819"/>
      <c r="O49" s="1820" t="s">
        <v>1735</v>
      </c>
      <c r="P49" s="1814" t="s">
        <v>1736</v>
      </c>
      <c r="Q49" s="1849">
        <f ca="1">C29</f>
        <v>0</v>
      </c>
      <c r="R49" s="1849" t="s">
        <v>1723</v>
      </c>
    </row>
    <row r="50" spans="1:18" s="730" customFormat="1">
      <c r="A50" s="1740"/>
      <c r="B50" s="248"/>
      <c r="C50" s="1741"/>
      <c r="D50" s="1742"/>
      <c r="E50" s="1743" t="s">
        <v>1628</v>
      </c>
      <c r="F50" s="1744">
        <f ca="1">F7</f>
        <v>0</v>
      </c>
      <c r="H50" s="1733"/>
      <c r="I50" s="789" t="s">
        <v>1737</v>
      </c>
      <c r="J50" s="1821">
        <f>SUMPRODUCT((I63:I65=J47)*(J62:L62=J48)*(J63:L65))</f>
        <v>60</v>
      </c>
      <c r="K50" s="1816" t="s">
        <v>1738</v>
      </c>
      <c r="L50" s="1819"/>
      <c r="M50" s="1822"/>
      <c r="O50" s="1820" t="s">
        <v>1739</v>
      </c>
      <c r="P50" s="1814" t="s">
        <v>1740</v>
      </c>
      <c r="Q50" s="1850">
        <f ca="1">J58</f>
        <v>0.4</v>
      </c>
      <c r="R50" s="1849"/>
    </row>
    <row r="51" spans="1:18" s="730" customFormat="1">
      <c r="A51" s="1745"/>
      <c r="B51" s="248"/>
      <c r="C51" s="1741"/>
      <c r="D51" s="1742"/>
      <c r="E51" s="1746" t="s">
        <v>1629</v>
      </c>
      <c r="F51" s="1637">
        <f ca="1">F8</f>
        <v>365</v>
      </c>
      <c r="I51" s="1823" t="s">
        <v>1741</v>
      </c>
      <c r="J51" s="1817">
        <f>IF(J49="",J50,J49+J50-YEAR('数据-取费表'!B2))</f>
        <v>59</v>
      </c>
      <c r="K51" s="1824" t="s">
        <v>1742</v>
      </c>
      <c r="L51" s="1825">
        <f ca="1">ROUND(-PV(INDIRECT("'数据-取费表'!h"&amp;$G$1),J51,(C39-C13*C76),0),0)</f>
        <v>0</v>
      </c>
      <c r="M51" s="1826"/>
      <c r="O51" s="1820" t="s">
        <v>1743</v>
      </c>
      <c r="P51" s="1814" t="s">
        <v>1744</v>
      </c>
      <c r="Q51" s="1850">
        <f>J52</f>
        <v>7.4999999999999997E-2</v>
      </c>
      <c r="R51" s="1849"/>
    </row>
    <row r="52" spans="1:18" s="730" customFormat="1">
      <c r="A52" s="1745"/>
      <c r="B52" s="248"/>
      <c r="C52" s="1741"/>
      <c r="D52" s="1742"/>
      <c r="E52" s="1746" t="s">
        <v>1630</v>
      </c>
      <c r="F52" s="1747"/>
      <c r="I52" s="1827" t="s">
        <v>1745</v>
      </c>
      <c r="J52" s="1828">
        <v>7.4999999999999997E-2</v>
      </c>
      <c r="K52" s="1827" t="s">
        <v>1746</v>
      </c>
      <c r="L52" s="1828"/>
      <c r="O52" s="1820" t="s">
        <v>1747</v>
      </c>
      <c r="P52" s="1814" t="s">
        <v>1748</v>
      </c>
      <c r="Q52" s="1849">
        <f ca="1">J53</f>
        <v>45.29</v>
      </c>
      <c r="R52" s="1849" t="s">
        <v>1749</v>
      </c>
    </row>
    <row r="53" spans="1:18" s="730" customFormat="1" ht="30.75" customHeight="1">
      <c r="A53" s="1748" t="s">
        <v>1750</v>
      </c>
      <c r="B53" s="1677" t="s">
        <v>1631</v>
      </c>
      <c r="C53" s="284">
        <f ca="1">ROUND(IF(F53="押一",C49/12*F11,IF(F53="押二",C49/12*2*F11,IF(F53="押三",C49/12*3*F11,C54*F11))),0)</f>
        <v>0</v>
      </c>
      <c r="D53" s="1646" t="s">
        <v>1810</v>
      </c>
      <c r="E53" s="1647" t="s">
        <v>1633</v>
      </c>
      <c r="F53" s="1648"/>
      <c r="I53" s="1829" t="s">
        <v>1751</v>
      </c>
      <c r="J53" s="1830">
        <f ca="1">IF(M47="住宅",IF(D1="——",MAX(J51,L48),MAX(J51,L48-'数据-取费表'!B24)),IF(D1="——",MIN(J51,L48),MIN(J51,L48-'数据-取费表'!B24)))</f>
        <v>45.29</v>
      </c>
      <c r="K53" s="3379" t="s">
        <v>1752</v>
      </c>
      <c r="L53" s="3380"/>
      <c r="O53" s="1813" t="s">
        <v>1514</v>
      </c>
      <c r="P53" s="1814" t="s">
        <v>1753</v>
      </c>
      <c r="Q53" s="1849">
        <f ca="1">Q47+Q48</f>
        <v>0</v>
      </c>
      <c r="R53" s="1849" t="s">
        <v>1754</v>
      </c>
    </row>
    <row r="54" spans="1:18" s="730" customFormat="1">
      <c r="A54" s="1734"/>
      <c r="B54" s="1749" t="s">
        <v>1807</v>
      </c>
      <c r="C54" s="1651"/>
      <c r="D54" s="1646"/>
      <c r="E54" s="1750"/>
      <c r="F54" s="1751"/>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2"/>
      <c r="K54" s="1832"/>
      <c r="L54" s="1832"/>
      <c r="O54" s="1801" t="s">
        <v>1755</v>
      </c>
      <c r="P54" s="1614"/>
      <c r="Q54" s="1614"/>
      <c r="R54" s="1614"/>
    </row>
    <row r="55" spans="1:18" s="730" customFormat="1">
      <c r="A55" s="1654" t="s">
        <v>898</v>
      </c>
      <c r="B55" s="1655" t="s">
        <v>1638</v>
      </c>
      <c r="C55" s="1656"/>
      <c r="D55" s="1646"/>
      <c r="E55" s="1750"/>
      <c r="F55" s="1751"/>
      <c r="I55" s="1833" t="s">
        <v>1756</v>
      </c>
      <c r="J55" s="1834">
        <f ca="1">ROUND(IF(J47="钢混",J57/J50,1-(1-2%)*(J50-J57)/J50),3)</f>
        <v>0.22900000000000001</v>
      </c>
      <c r="K55" s="1835" t="s">
        <v>1757</v>
      </c>
      <c r="L55" s="1836"/>
      <c r="O55" s="1806" t="s">
        <v>1716</v>
      </c>
      <c r="P55" s="1807" t="s">
        <v>1717</v>
      </c>
      <c r="Q55" s="1848" t="s">
        <v>1718</v>
      </c>
      <c r="R55" s="1848" t="s">
        <v>1719</v>
      </c>
    </row>
    <row r="56" spans="1:18" s="730" customFormat="1" ht="36" customHeight="1">
      <c r="A56" s="1752">
        <v>2</v>
      </c>
      <c r="B56" s="1753" t="s">
        <v>1639</v>
      </c>
      <c r="C56" s="181">
        <f ca="1">C13</f>
        <v>0</v>
      </c>
      <c r="D56" s="1754"/>
      <c r="E56" s="1755"/>
      <c r="F56" s="1751"/>
      <c r="I56" s="1837" t="s">
        <v>1759</v>
      </c>
      <c r="J56" s="1838" t="s">
        <v>3007</v>
      </c>
      <c r="K56" s="789" t="s">
        <v>1760</v>
      </c>
      <c r="L56" s="1817" t="str">
        <f ca="1">IF(L48&lt;J51,"——",L48-J51)</f>
        <v>——</v>
      </c>
      <c r="O56" s="1813" t="s">
        <v>1410</v>
      </c>
      <c r="P56" s="1814" t="s">
        <v>1722</v>
      </c>
      <c r="Q56" s="1849">
        <f ca="1">C40+J29</f>
        <v>0</v>
      </c>
      <c r="R56" s="1849" t="s">
        <v>1723</v>
      </c>
    </row>
    <row r="57" spans="1:18" s="730" customFormat="1" ht="24">
      <c r="A57" s="1756"/>
      <c r="B57" s="1757" t="s">
        <v>1702</v>
      </c>
      <c r="C57" s="191">
        <f ca="1">C29</f>
        <v>0</v>
      </c>
      <c r="D57" s="1758"/>
      <c r="E57" s="1759"/>
      <c r="F57" s="1760"/>
      <c r="I57" s="1839" t="s">
        <v>1761</v>
      </c>
      <c r="J57" s="1840">
        <f ca="1">IF(OR(M47="住宅",J51&lt;L48,J56="是"),"——",J51-L48)</f>
        <v>13.71</v>
      </c>
      <c r="K57" s="789" t="s">
        <v>1811</v>
      </c>
      <c r="L57" s="1817" t="str">
        <f ca="1">IF(L48&lt;J51,"——",IF(L55="比较法",L49,IF(L55="基准地价",L50,L51)))</f>
        <v>——</v>
      </c>
      <c r="O57" s="1813" t="s">
        <v>1413</v>
      </c>
      <c r="P57" s="1814" t="s">
        <v>1763</v>
      </c>
      <c r="Q57" s="1849">
        <f ca="1">L60</f>
        <v>0</v>
      </c>
      <c r="R57" s="1849" t="s">
        <v>1764</v>
      </c>
    </row>
    <row r="58" spans="1:18" s="730" customFormat="1" ht="24">
      <c r="A58" s="1761" t="s">
        <v>1647</v>
      </c>
      <c r="B58" s="1753" t="s">
        <v>1648</v>
      </c>
      <c r="C58" s="284">
        <f ca="1">ROUND(C59+C64+C65+C66,0)</f>
        <v>0</v>
      </c>
      <c r="D58" s="1762" t="s">
        <v>1649</v>
      </c>
      <c r="E58" s="1763"/>
      <c r="F58" s="1732"/>
      <c r="I58" s="1839" t="s">
        <v>1765</v>
      </c>
      <c r="J58" s="1841">
        <f ca="1">IF(J55&lt;0.4,0.4,J55)</f>
        <v>0.4</v>
      </c>
      <c r="K58" s="1824" t="s">
        <v>1812</v>
      </c>
      <c r="L58" s="1817" t="e">
        <f ca="1">ROUND(POWER(1+L52,L47-L48)*(POWER(1+L52,L48)-1)/(POWER(1+L52,L47)-1),4)</f>
        <v>#DIV/0!</v>
      </c>
      <c r="O58" s="1820" t="s">
        <v>1735</v>
      </c>
      <c r="P58" s="1814" t="s">
        <v>1767</v>
      </c>
      <c r="Q58" s="1849">
        <f>IF(L55="比较法",L49,IF(L55="基准地价",L50,0))</f>
        <v>0</v>
      </c>
      <c r="R58" s="1849" t="s">
        <v>1723</v>
      </c>
    </row>
    <row r="59" spans="1:18" s="730" customFormat="1" ht="24">
      <c r="A59" s="1665" t="s">
        <v>846</v>
      </c>
      <c r="B59" s="1757" t="s">
        <v>1654</v>
      </c>
      <c r="C59" s="1688">
        <f ca="1">ROUND(IF(AND(项目基本情况!B11="自然人",项目基本情况!B10="北京市"),C49*F59/(1+'数据-取费表'!C42),C60+C61+C62),0)</f>
        <v>0</v>
      </c>
      <c r="D59" s="1764" t="s">
        <v>1655</v>
      </c>
      <c r="E59" s="1765" t="s">
        <v>1656</v>
      </c>
      <c r="F59" s="1690" t="str">
        <f>IF(项目基本情况!B11="企业","——",IF('数据-取费表'!B10="住宅",IF(F49*F50*F51/12/(1+'数据-取费表'!F30)&gt;100000,4%,2.5%),IF(F49*F50*F51/12/(1+'数据-取费表'!F30)&gt;100000,12%,7%)))</f>
        <v>——</v>
      </c>
      <c r="I59" s="1839" t="s">
        <v>1768</v>
      </c>
      <c r="J59" s="1840">
        <f ca="1">IF(OR(M47="住宅",J51&lt;L48,J56="是"),"——",ROUND(C29*J58,0))</f>
        <v>0</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7" t="e">
        <f ca="1">ROUND(IF(D1="在建（套用方法）",M59,IF(D1="土地（套用方法）",N59,POWER(1+L52,L47-J51)*(POWER(1+L52,J51)-1)/(POWER(1+L52,L47)-1))),4)</f>
        <v>#DIV/0!</v>
      </c>
      <c r="M59" s="1614" t="e">
        <f ca="1">ROUND(POWER(1+L52,L47-(J51+'数据-取费表'!B24))*(POWER(1+L52,(J51+'数据-取费表'!B24))-1)/(POWER(1+L52,L47)-1),4)</f>
        <v>#DIV/0!</v>
      </c>
      <c r="N59" s="1614" t="e">
        <f ca="1">ROUND(POWER(1+L52,L47-(J51+'数据-取费表'!B20))*(POWER(1+L52,(J51+'数据-取费表'!B20))-1)/(POWER(1+L52,L47)-1),4)</f>
        <v>#DIV/0!</v>
      </c>
      <c r="O59" s="1820" t="s">
        <v>1739</v>
      </c>
      <c r="P59" s="1814" t="s">
        <v>1769</v>
      </c>
      <c r="Q59" s="1850">
        <f>L52</f>
        <v>0</v>
      </c>
      <c r="R59" s="1849"/>
    </row>
    <row r="60" spans="1:18" s="730" customFormat="1" ht="15.75">
      <c r="A60" s="1665" t="s">
        <v>869</v>
      </c>
      <c r="B60" s="1757" t="s">
        <v>1658</v>
      </c>
      <c r="C60" s="285">
        <f ca="1">IF(项目基本情况!B11="自然人","——",ROUND(C48*F60/(1+'数据-取费表'!C42),0))</f>
        <v>0</v>
      </c>
      <c r="D60" s="1765" t="s">
        <v>1659</v>
      </c>
      <c r="E60" s="1757" t="s">
        <v>1646</v>
      </c>
      <c r="F60" s="1680">
        <f t="shared" ref="F60:F66" si="0">F32</f>
        <v>5.5E-2</v>
      </c>
      <c r="I60" s="1842" t="s">
        <v>1770</v>
      </c>
      <c r="J60" s="1843">
        <f ca="1">IF(OR(M47="住宅",J51&lt;L48,J56="是"),"0",ROUND(J59/(1+J52)^J53,0))</f>
        <v>0</v>
      </c>
      <c r="K60" s="1844" t="s">
        <v>1771</v>
      </c>
      <c r="L60" s="1843">
        <f ca="1">IF(OR(M47="住宅",L48&lt;J51),0,ROUND(L57*(L58/L59-1),0))</f>
        <v>0</v>
      </c>
      <c r="O60" s="1820" t="s">
        <v>1743</v>
      </c>
      <c r="P60" s="1814" t="s">
        <v>1772</v>
      </c>
      <c r="Q60" s="1849" t="e">
        <f ca="1">L58</f>
        <v>#DIV/0!</v>
      </c>
      <c r="R60" s="1849" t="s">
        <v>1773</v>
      </c>
    </row>
    <row r="61" spans="1:18" s="730" customFormat="1">
      <c r="A61" s="1665" t="s">
        <v>873</v>
      </c>
      <c r="B61" s="1757" t="s">
        <v>1662</v>
      </c>
      <c r="C61" s="285">
        <f ca="1">IF(项目基本情况!B11="自然人","——",IF(D61="按租金收入计税",ROUND(C49*F61/(1+'数据-取费表'!C42),0),IF(D61="按房产原值计税",ROUND(C57*F61*0.7,0),INDIRECT("'数据-取费表'!Aj"&amp;$G$1))))</f>
        <v>0</v>
      </c>
      <c r="D61" s="1692" t="s">
        <v>1663</v>
      </c>
      <c r="E61" s="1757" t="s">
        <v>1646</v>
      </c>
      <c r="F61" s="1674">
        <f t="shared" si="0"/>
        <v>0.12</v>
      </c>
      <c r="I61" s="1708"/>
      <c r="J61" s="1708"/>
      <c r="K61" s="1708"/>
      <c r="L61" s="1708"/>
      <c r="O61" s="1820" t="s">
        <v>1747</v>
      </c>
      <c r="P61" s="1814" t="str">
        <f>K59</f>
        <v>建筑物剩余耐用年限下的土地年期修正系数Kn</v>
      </c>
      <c r="Q61" s="1849" t="e">
        <f ca="1">L59</f>
        <v>#DIV/0!</v>
      </c>
      <c r="R61" s="1849" t="s">
        <v>1774</v>
      </c>
    </row>
    <row r="62" spans="1:18" s="730" customFormat="1">
      <c r="A62" s="1665" t="s">
        <v>877</v>
      </c>
      <c r="B62" s="1766" t="s">
        <v>1666</v>
      </c>
      <c r="C62" s="1694">
        <f ca="1">IF(项目基本情况!B11="自然人","——",ROUND(F62*F63,0))</f>
        <v>0</v>
      </c>
      <c r="D62" s="1767" t="s">
        <v>1667</v>
      </c>
      <c r="E62" s="1757" t="s">
        <v>1668</v>
      </c>
      <c r="F62" s="1679">
        <f t="shared" si="0"/>
        <v>1.5</v>
      </c>
      <c r="I62" s="1845" t="s">
        <v>1775</v>
      </c>
      <c r="J62" s="988" t="s">
        <v>1776</v>
      </c>
      <c r="K62" s="988" t="s">
        <v>1777</v>
      </c>
      <c r="L62" s="988" t="s">
        <v>1778</v>
      </c>
      <c r="M62" s="1846" t="s">
        <v>1779</v>
      </c>
      <c r="O62" s="1813" t="s">
        <v>1514</v>
      </c>
      <c r="P62" s="1814" t="s">
        <v>1753</v>
      </c>
      <c r="Q62" s="1849">
        <f ca="1">Q56+Q57</f>
        <v>0</v>
      </c>
      <c r="R62" s="1849" t="s">
        <v>1754</v>
      </c>
    </row>
    <row r="63" spans="1:18" s="730" customFormat="1">
      <c r="A63" s="1678"/>
      <c r="B63" s="1768"/>
      <c r="C63" s="1698"/>
      <c r="D63" s="1769"/>
      <c r="E63" s="1757" t="s">
        <v>1672</v>
      </c>
      <c r="F63" s="1637">
        <f t="shared" ca="1" si="0"/>
        <v>0</v>
      </c>
      <c r="I63" s="1845" t="s">
        <v>1780</v>
      </c>
      <c r="J63" s="988">
        <v>70</v>
      </c>
      <c r="K63" s="988">
        <v>50</v>
      </c>
      <c r="L63" s="988">
        <v>80</v>
      </c>
      <c r="M63" s="1847">
        <v>0.02</v>
      </c>
      <c r="O63" s="1801" t="s">
        <v>1781</v>
      </c>
      <c r="P63" s="1614"/>
      <c r="Q63" s="1614"/>
      <c r="R63" s="1614"/>
    </row>
    <row r="64" spans="1:18" s="730" customFormat="1">
      <c r="A64" s="1665" t="s">
        <v>850</v>
      </c>
      <c r="B64" s="1757" t="s">
        <v>1674</v>
      </c>
      <c r="C64" s="285">
        <f ca="1">ROUND(C57*F64,0)</f>
        <v>0</v>
      </c>
      <c r="D64" s="1765" t="s">
        <v>1708</v>
      </c>
      <c r="E64" s="1757" t="s">
        <v>1646</v>
      </c>
      <c r="F64" s="1701">
        <f t="shared" ca="1" si="0"/>
        <v>8.0000000000000002E-3</v>
      </c>
      <c r="I64" s="1845" t="s">
        <v>1782</v>
      </c>
      <c r="J64" s="988">
        <v>50</v>
      </c>
      <c r="K64" s="988">
        <v>35</v>
      </c>
      <c r="L64" s="988">
        <v>60</v>
      </c>
      <c r="M64" s="1846">
        <v>0</v>
      </c>
      <c r="O64" s="1806" t="s">
        <v>1716</v>
      </c>
      <c r="P64" s="1807" t="s">
        <v>1717</v>
      </c>
      <c r="Q64" s="1848" t="s">
        <v>1718</v>
      </c>
      <c r="R64" s="1848" t="s">
        <v>1719</v>
      </c>
    </row>
    <row r="65" spans="1:18" s="730" customFormat="1">
      <c r="A65" s="1665" t="s">
        <v>898</v>
      </c>
      <c r="B65" s="1757" t="s">
        <v>1678</v>
      </c>
      <c r="C65" s="285">
        <f ca="1">ROUND(C56*F65,0)</f>
        <v>0</v>
      </c>
      <c r="D65" s="1765" t="s">
        <v>1679</v>
      </c>
      <c r="E65" s="1757" t="s">
        <v>1646</v>
      </c>
      <c r="F65" s="1702">
        <f t="shared" ca="1" si="0"/>
        <v>1E-3</v>
      </c>
      <c r="I65" s="1845" t="s">
        <v>1783</v>
      </c>
      <c r="J65" s="988">
        <v>40</v>
      </c>
      <c r="K65" s="988">
        <v>30</v>
      </c>
      <c r="L65" s="988">
        <v>50</v>
      </c>
      <c r="M65" s="1847">
        <v>0.02</v>
      </c>
      <c r="O65" s="1813" t="s">
        <v>1410</v>
      </c>
      <c r="P65" s="1814" t="s">
        <v>1722</v>
      </c>
      <c r="Q65" s="1849">
        <f ca="1">C40+J29</f>
        <v>0</v>
      </c>
      <c r="R65" s="1849" t="s">
        <v>1723</v>
      </c>
    </row>
    <row r="66" spans="1:18" s="730" customFormat="1" ht="15.75">
      <c r="A66" s="1665" t="s">
        <v>901</v>
      </c>
      <c r="B66" s="1757" t="s">
        <v>1664</v>
      </c>
      <c r="C66" s="285">
        <f ca="1">ROUND(C48*F66,0)</f>
        <v>0</v>
      </c>
      <c r="D66" s="1765" t="s">
        <v>1682</v>
      </c>
      <c r="E66" s="1757" t="s">
        <v>1646</v>
      </c>
      <c r="F66" s="1644">
        <f t="shared" ca="1" si="0"/>
        <v>8.0000000000000002E-3</v>
      </c>
      <c r="O66" s="1813" t="s">
        <v>1413</v>
      </c>
      <c r="P66" s="1814" t="s">
        <v>1763</v>
      </c>
      <c r="Q66" s="1849">
        <f ca="1">L60</f>
        <v>0</v>
      </c>
      <c r="R66" s="1849" t="s">
        <v>1764</v>
      </c>
    </row>
    <row r="67" spans="1:18" s="730" customFormat="1" ht="15.75">
      <c r="A67" s="1752" t="s">
        <v>1685</v>
      </c>
      <c r="B67" s="1851" t="s">
        <v>1686</v>
      </c>
      <c r="C67" s="284">
        <f ca="1">C48-C58</f>
        <v>0</v>
      </c>
      <c r="D67" s="1764" t="s">
        <v>1687</v>
      </c>
      <c r="E67" s="1852"/>
      <c r="F67" s="1853"/>
      <c r="O67" s="1820" t="s">
        <v>1735</v>
      </c>
      <c r="P67" s="1814" t="s">
        <v>1767</v>
      </c>
      <c r="Q67" s="1873">
        <f ca="1">L51</f>
        <v>0</v>
      </c>
      <c r="R67" s="1849" t="s">
        <v>1784</v>
      </c>
    </row>
    <row r="68" spans="1:18" s="730" customFormat="1" ht="15.75">
      <c r="A68" s="1854" t="s">
        <v>1691</v>
      </c>
      <c r="B68" s="1855" t="s">
        <v>1709</v>
      </c>
      <c r="C68" s="1707">
        <f ca="1">ROUND(C67*(1-((1+F70)/(1+F68))^F69)/(F68-F70),0)</f>
        <v>0</v>
      </c>
      <c r="D68" s="1767" t="s">
        <v>1693</v>
      </c>
      <c r="E68" s="1757" t="s">
        <v>1694</v>
      </c>
      <c r="F68" s="1644">
        <f ca="1">F40</f>
        <v>0.05</v>
      </c>
      <c r="O68" s="1820" t="s">
        <v>1739</v>
      </c>
      <c r="P68" s="1872" t="s">
        <v>1785</v>
      </c>
      <c r="Q68" s="1849">
        <f ca="1">ROUND(Q69-Q70*Q71,0)</f>
        <v>0</v>
      </c>
      <c r="R68" s="1849" t="s">
        <v>1786</v>
      </c>
    </row>
    <row r="69" spans="1:18" s="730" customFormat="1">
      <c r="A69" s="1856"/>
      <c r="B69" s="1857"/>
      <c r="C69" s="1643"/>
      <c r="D69" s="1858" t="s">
        <v>1697</v>
      </c>
      <c r="E69" s="1757" t="s">
        <v>1698</v>
      </c>
      <c r="F69" s="1711">
        <f ca="1">F41</f>
        <v>45.29</v>
      </c>
      <c r="O69" s="1820" t="s">
        <v>1787</v>
      </c>
      <c r="P69" s="1872" t="s">
        <v>1788</v>
      </c>
      <c r="Q69" s="1849">
        <f ca="1">C39</f>
        <v>0</v>
      </c>
      <c r="R69" s="1849" t="s">
        <v>1723</v>
      </c>
    </row>
    <row r="70" spans="1:18" s="730" customFormat="1">
      <c r="A70" s="1859"/>
      <c r="B70" s="1860"/>
      <c r="C70" s="1662"/>
      <c r="D70" s="1769"/>
      <c r="E70" s="1757" t="s">
        <v>1701</v>
      </c>
      <c r="F70" s="1747">
        <f ca="1">F42</f>
        <v>1.4999999999999999E-2</v>
      </c>
      <c r="O70" s="1820" t="s">
        <v>1789</v>
      </c>
      <c r="P70" s="1872" t="s">
        <v>1790</v>
      </c>
      <c r="Q70" s="1849">
        <f ca="1">C13</f>
        <v>0</v>
      </c>
      <c r="R70" s="1849" t="s">
        <v>1723</v>
      </c>
    </row>
    <row r="71" spans="1:18" s="730" customFormat="1">
      <c r="A71" s="1861" t="s">
        <v>1703</v>
      </c>
      <c r="B71" s="1862" t="s">
        <v>1710</v>
      </c>
      <c r="C71" s="1714" t="e">
        <f ca="1">ROUND(C68/F71,0)</f>
        <v>#DIV/0!</v>
      </c>
      <c r="D71" s="1863" t="s">
        <v>1711</v>
      </c>
      <c r="E71" s="1864" t="s">
        <v>1712</v>
      </c>
      <c r="F71" s="1717">
        <f ca="1">F43</f>
        <v>0</v>
      </c>
      <c r="O71" s="1820" t="s">
        <v>1791</v>
      </c>
      <c r="P71" s="1872" t="s">
        <v>1792</v>
      </c>
      <c r="Q71" s="1850">
        <f ca="1">C76</f>
        <v>7.4999999999999997E-2</v>
      </c>
      <c r="R71" s="1849"/>
    </row>
    <row r="72" spans="1:18" s="730" customFormat="1">
      <c r="B72" s="315"/>
      <c r="C72" s="315"/>
      <c r="O72" s="1820" t="s">
        <v>1743</v>
      </c>
      <c r="P72" s="1814" t="s">
        <v>1769</v>
      </c>
      <c r="Q72" s="1850">
        <f>L52</f>
        <v>0</v>
      </c>
      <c r="R72" s="1849"/>
    </row>
    <row r="73" spans="1:18" ht="15.75">
      <c r="A73" s="730"/>
      <c r="B73" s="315"/>
      <c r="C73" s="315"/>
      <c r="D73" s="730"/>
      <c r="E73" s="730"/>
      <c r="F73" s="730"/>
      <c r="O73" s="1820" t="s">
        <v>1747</v>
      </c>
      <c r="P73" s="1814" t="s">
        <v>1772</v>
      </c>
      <c r="Q73" s="1849" t="e">
        <f ca="1">L58</f>
        <v>#DIV/0!</v>
      </c>
      <c r="R73" s="1849" t="s">
        <v>1773</v>
      </c>
    </row>
    <row r="74" spans="1:18">
      <c r="A74" s="730"/>
      <c r="B74" s="223" t="s">
        <v>1793</v>
      </c>
      <c r="C74" s="1865"/>
      <c r="D74" s="730"/>
      <c r="E74" s="730"/>
      <c r="F74" s="730"/>
      <c r="O74" s="1820" t="s">
        <v>1794</v>
      </c>
      <c r="P74" s="1814" t="str">
        <f>K59</f>
        <v>建筑物剩余耐用年限下的土地年期修正系数Kn</v>
      </c>
      <c r="Q74" s="1849" t="e">
        <f ca="1">L59</f>
        <v>#DIV/0!</v>
      </c>
      <c r="R74" s="1849" t="s">
        <v>1774</v>
      </c>
    </row>
    <row r="75" spans="1:18">
      <c r="A75" s="730"/>
      <c r="B75" s="1866" t="s">
        <v>1795</v>
      </c>
      <c r="C75" s="1867">
        <f ca="1">ROUND(C13*C76,0)</f>
        <v>0</v>
      </c>
      <c r="D75" s="730"/>
      <c r="E75" s="730"/>
      <c r="F75" s="730"/>
      <c r="K75" s="1800"/>
      <c r="L75" s="730"/>
      <c r="O75" s="1813" t="s">
        <v>1514</v>
      </c>
      <c r="P75" s="1814" t="s">
        <v>1753</v>
      </c>
      <c r="Q75" s="1849">
        <f ca="1">Q65+Q66</f>
        <v>0</v>
      </c>
      <c r="R75" s="1849" t="s">
        <v>1754</v>
      </c>
    </row>
    <row r="76" spans="1:18">
      <c r="B76" s="557" t="s">
        <v>1796</v>
      </c>
      <c r="C76" s="1868">
        <f ca="1">INDIRECT("'数据-取费表'!j"&amp;$G$1)</f>
        <v>7.4999999999999997E-2</v>
      </c>
      <c r="I76" s="730"/>
      <c r="J76" s="730"/>
      <c r="K76" s="1800"/>
      <c r="L76" s="730"/>
    </row>
    <row r="77" spans="1:18">
      <c r="B77" s="1869" t="s">
        <v>1797</v>
      </c>
      <c r="C77" s="1870"/>
      <c r="I77" s="730"/>
      <c r="J77" s="730"/>
      <c r="K77" s="1800"/>
      <c r="L77" s="730"/>
    </row>
    <row r="78" spans="1:18">
      <c r="B78" s="221" t="s">
        <v>1798</v>
      </c>
      <c r="C78" s="1871"/>
    </row>
    <row r="79" spans="1:18">
      <c r="B79" s="1866" t="s">
        <v>1799</v>
      </c>
      <c r="C79" s="224" t="e">
        <f ca="1">1-C80</f>
        <v>#DIV/0!</v>
      </c>
    </row>
    <row r="80" spans="1:18">
      <c r="B80" s="1866" t="s">
        <v>1800</v>
      </c>
      <c r="C80" s="224" t="e">
        <f ca="1">ROUND(C75/C39,3)</f>
        <v>#DIV/0!</v>
      </c>
    </row>
    <row r="81" spans="2:3">
      <c r="B81" s="221" t="s">
        <v>1801</v>
      </c>
      <c r="C81" s="191"/>
    </row>
    <row r="82" spans="2:3">
      <c r="B82" s="223" t="s">
        <v>1490</v>
      </c>
      <c r="C82" s="225" t="e">
        <f ca="1">1-C83</f>
        <v>#DIV/0!</v>
      </c>
    </row>
    <row r="83" spans="2:3">
      <c r="B83" s="223" t="s">
        <v>1491</v>
      </c>
      <c r="C83" s="224"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6" customWidth="1"/>
    <col min="2" max="2" width="8.875" style="1436"/>
    <col min="3" max="5" width="12.875" style="1436" customWidth="1"/>
    <col min="6" max="6" width="47.5" style="1436" customWidth="1"/>
    <col min="7" max="7" width="13" style="1437" customWidth="1"/>
    <col min="8" max="8" width="8.875" style="1437"/>
    <col min="9" max="9" width="8.875" style="1438"/>
    <col min="10" max="10" width="5.75" style="1439" customWidth="1"/>
    <col min="11" max="11" width="11.75" style="1439" customWidth="1"/>
    <col min="12" max="13" width="10.75" style="1439" customWidth="1"/>
    <col min="14" max="14" width="10" style="1439" customWidth="1"/>
    <col min="15" max="16" width="10.5" style="1439" customWidth="1"/>
    <col min="17" max="17" width="10" style="1439" customWidth="1"/>
    <col min="18" max="18" width="10.125" style="1439" customWidth="1"/>
    <col min="19" max="19" width="10" style="1439" customWidth="1"/>
    <col min="20" max="20" width="26.125" style="1439" customWidth="1"/>
    <col min="21" max="21" width="8.875" style="1439"/>
    <col min="22" max="22" width="8.875" style="1438"/>
    <col min="23" max="256" width="8.875" style="1436"/>
    <col min="257" max="257" width="9.5" style="1436" customWidth="1"/>
    <col min="258" max="258" width="8.875" style="1436"/>
    <col min="259" max="261" width="12.875" style="1436" customWidth="1"/>
    <col min="262" max="262" width="47.5" style="1436" customWidth="1"/>
    <col min="263" max="263" width="13" style="1436" customWidth="1"/>
    <col min="264" max="265" width="8.875" style="1436"/>
    <col min="266" max="266" width="5.75" style="1436" customWidth="1"/>
    <col min="267" max="267" width="11.75" style="1436" customWidth="1"/>
    <col min="268" max="269" width="10.75" style="1436" customWidth="1"/>
    <col min="270" max="270" width="10" style="1436" customWidth="1"/>
    <col min="271" max="272" width="10.5" style="1436" customWidth="1"/>
    <col min="273" max="273" width="10" style="1436" customWidth="1"/>
    <col min="274" max="274" width="10.125" style="1436" customWidth="1"/>
    <col min="275" max="275" width="10" style="1436" customWidth="1"/>
    <col min="276" max="276" width="26.125" style="1436" customWidth="1"/>
    <col min="277" max="512" width="8.875" style="1436"/>
    <col min="513" max="513" width="9.5" style="1436" customWidth="1"/>
    <col min="514" max="514" width="8.875" style="1436"/>
    <col min="515" max="517" width="12.875" style="1436" customWidth="1"/>
    <col min="518" max="518" width="47.5" style="1436" customWidth="1"/>
    <col min="519" max="519" width="13" style="1436" customWidth="1"/>
    <col min="520" max="521" width="8.875" style="1436"/>
    <col min="522" max="522" width="5.75" style="1436" customWidth="1"/>
    <col min="523" max="523" width="11.75" style="1436" customWidth="1"/>
    <col min="524" max="525" width="10.75" style="1436" customWidth="1"/>
    <col min="526" max="526" width="10" style="1436" customWidth="1"/>
    <col min="527" max="528" width="10.5" style="1436" customWidth="1"/>
    <col min="529" max="529" width="10" style="1436" customWidth="1"/>
    <col min="530" max="530" width="10.125" style="1436" customWidth="1"/>
    <col min="531" max="531" width="10" style="1436" customWidth="1"/>
    <col min="532" max="532" width="26.125" style="1436" customWidth="1"/>
    <col min="533" max="768" width="8.875" style="1436"/>
    <col min="769" max="769" width="9.5" style="1436" customWidth="1"/>
    <col min="770" max="770" width="8.875" style="1436"/>
    <col min="771" max="773" width="12.875" style="1436" customWidth="1"/>
    <col min="774" max="774" width="47.5" style="1436" customWidth="1"/>
    <col min="775" max="775" width="13" style="1436" customWidth="1"/>
    <col min="776" max="777" width="8.875" style="1436"/>
    <col min="778" max="778" width="5.75" style="1436" customWidth="1"/>
    <col min="779" max="779" width="11.75" style="1436" customWidth="1"/>
    <col min="780" max="781" width="10.75" style="1436" customWidth="1"/>
    <col min="782" max="782" width="10" style="1436" customWidth="1"/>
    <col min="783" max="784" width="10.5" style="1436" customWidth="1"/>
    <col min="785" max="785" width="10" style="1436" customWidth="1"/>
    <col min="786" max="786" width="10.125" style="1436" customWidth="1"/>
    <col min="787" max="787" width="10" style="1436" customWidth="1"/>
    <col min="788" max="788" width="26.125" style="1436" customWidth="1"/>
    <col min="789" max="1024" width="8.875" style="1436"/>
    <col min="1025" max="1025" width="9.5" style="1436" customWidth="1"/>
    <col min="1026" max="1026" width="8.875" style="1436"/>
    <col min="1027" max="1029" width="12.875" style="1436" customWidth="1"/>
    <col min="1030" max="1030" width="47.5" style="1436" customWidth="1"/>
    <col min="1031" max="1031" width="13" style="1436" customWidth="1"/>
    <col min="1032" max="1033" width="8.875" style="1436"/>
    <col min="1034" max="1034" width="5.75" style="1436" customWidth="1"/>
    <col min="1035" max="1035" width="11.75" style="1436" customWidth="1"/>
    <col min="1036" max="1037" width="10.75" style="1436" customWidth="1"/>
    <col min="1038" max="1038" width="10" style="1436" customWidth="1"/>
    <col min="1039" max="1040" width="10.5" style="1436" customWidth="1"/>
    <col min="1041" max="1041" width="10" style="1436" customWidth="1"/>
    <col min="1042" max="1042" width="10.125" style="1436" customWidth="1"/>
    <col min="1043" max="1043" width="10" style="1436" customWidth="1"/>
    <col min="1044" max="1044" width="26.125" style="1436" customWidth="1"/>
    <col min="1045" max="1280" width="8.875" style="1436"/>
    <col min="1281" max="1281" width="9.5" style="1436" customWidth="1"/>
    <col min="1282" max="1282" width="8.875" style="1436"/>
    <col min="1283" max="1285" width="12.875" style="1436" customWidth="1"/>
    <col min="1286" max="1286" width="47.5" style="1436" customWidth="1"/>
    <col min="1287" max="1287" width="13" style="1436" customWidth="1"/>
    <col min="1288" max="1289" width="8.875" style="1436"/>
    <col min="1290" max="1290" width="5.75" style="1436" customWidth="1"/>
    <col min="1291" max="1291" width="11.75" style="1436" customWidth="1"/>
    <col min="1292" max="1293" width="10.75" style="1436" customWidth="1"/>
    <col min="1294" max="1294" width="10" style="1436" customWidth="1"/>
    <col min="1295" max="1296" width="10.5" style="1436" customWidth="1"/>
    <col min="1297" max="1297" width="10" style="1436" customWidth="1"/>
    <col min="1298" max="1298" width="10.125" style="1436" customWidth="1"/>
    <col min="1299" max="1299" width="10" style="1436" customWidth="1"/>
    <col min="1300" max="1300" width="26.125" style="1436" customWidth="1"/>
    <col min="1301" max="1536" width="8.875" style="1436"/>
    <col min="1537" max="1537" width="9.5" style="1436" customWidth="1"/>
    <col min="1538" max="1538" width="8.875" style="1436"/>
    <col min="1539" max="1541" width="12.875" style="1436" customWidth="1"/>
    <col min="1542" max="1542" width="47.5" style="1436" customWidth="1"/>
    <col min="1543" max="1543" width="13" style="1436" customWidth="1"/>
    <col min="1544" max="1545" width="8.875" style="1436"/>
    <col min="1546" max="1546" width="5.75" style="1436" customWidth="1"/>
    <col min="1547" max="1547" width="11.75" style="1436" customWidth="1"/>
    <col min="1548" max="1549" width="10.75" style="1436" customWidth="1"/>
    <col min="1550" max="1550" width="10" style="1436" customWidth="1"/>
    <col min="1551" max="1552" width="10.5" style="1436" customWidth="1"/>
    <col min="1553" max="1553" width="10" style="1436" customWidth="1"/>
    <col min="1554" max="1554" width="10.125" style="1436" customWidth="1"/>
    <col min="1555" max="1555" width="10" style="1436" customWidth="1"/>
    <col min="1556" max="1556" width="26.125" style="1436" customWidth="1"/>
    <col min="1557" max="1792" width="8.875" style="1436"/>
    <col min="1793" max="1793" width="9.5" style="1436" customWidth="1"/>
    <col min="1794" max="1794" width="8.875" style="1436"/>
    <col min="1795" max="1797" width="12.875" style="1436" customWidth="1"/>
    <col min="1798" max="1798" width="47.5" style="1436" customWidth="1"/>
    <col min="1799" max="1799" width="13" style="1436" customWidth="1"/>
    <col min="1800" max="1801" width="8.875" style="1436"/>
    <col min="1802" max="1802" width="5.75" style="1436" customWidth="1"/>
    <col min="1803" max="1803" width="11.75" style="1436" customWidth="1"/>
    <col min="1804" max="1805" width="10.75" style="1436" customWidth="1"/>
    <col min="1806" max="1806" width="10" style="1436" customWidth="1"/>
    <col min="1807" max="1808" width="10.5" style="1436" customWidth="1"/>
    <col min="1809" max="1809" width="10" style="1436" customWidth="1"/>
    <col min="1810" max="1810" width="10.125" style="1436" customWidth="1"/>
    <col min="1811" max="1811" width="10" style="1436" customWidth="1"/>
    <col min="1812" max="1812" width="26.125" style="1436" customWidth="1"/>
    <col min="1813" max="2048" width="8.875" style="1436"/>
    <col min="2049" max="2049" width="9.5" style="1436" customWidth="1"/>
    <col min="2050" max="2050" width="8.875" style="1436"/>
    <col min="2051" max="2053" width="12.875" style="1436" customWidth="1"/>
    <col min="2054" max="2054" width="47.5" style="1436" customWidth="1"/>
    <col min="2055" max="2055" width="13" style="1436" customWidth="1"/>
    <col min="2056" max="2057" width="8.875" style="1436"/>
    <col min="2058" max="2058" width="5.75" style="1436" customWidth="1"/>
    <col min="2059" max="2059" width="11.75" style="1436" customWidth="1"/>
    <col min="2060" max="2061" width="10.75" style="1436" customWidth="1"/>
    <col min="2062" max="2062" width="10" style="1436" customWidth="1"/>
    <col min="2063" max="2064" width="10.5" style="1436" customWidth="1"/>
    <col min="2065" max="2065" width="10" style="1436" customWidth="1"/>
    <col min="2066" max="2066" width="10.125" style="1436" customWidth="1"/>
    <col min="2067" max="2067" width="10" style="1436" customWidth="1"/>
    <col min="2068" max="2068" width="26.125" style="1436" customWidth="1"/>
    <col min="2069" max="2304" width="8.875" style="1436"/>
    <col min="2305" max="2305" width="9.5" style="1436" customWidth="1"/>
    <col min="2306" max="2306" width="8.875" style="1436"/>
    <col min="2307" max="2309" width="12.875" style="1436" customWidth="1"/>
    <col min="2310" max="2310" width="47.5" style="1436" customWidth="1"/>
    <col min="2311" max="2311" width="13" style="1436" customWidth="1"/>
    <col min="2312" max="2313" width="8.875" style="1436"/>
    <col min="2314" max="2314" width="5.75" style="1436" customWidth="1"/>
    <col min="2315" max="2315" width="11.75" style="1436" customWidth="1"/>
    <col min="2316" max="2317" width="10.75" style="1436" customWidth="1"/>
    <col min="2318" max="2318" width="10" style="1436" customWidth="1"/>
    <col min="2319" max="2320" width="10.5" style="1436" customWidth="1"/>
    <col min="2321" max="2321" width="10" style="1436" customWidth="1"/>
    <col min="2322" max="2322" width="10.125" style="1436" customWidth="1"/>
    <col min="2323" max="2323" width="10" style="1436" customWidth="1"/>
    <col min="2324" max="2324" width="26.125" style="1436" customWidth="1"/>
    <col min="2325" max="2560" width="8.875" style="1436"/>
    <col min="2561" max="2561" width="9.5" style="1436" customWidth="1"/>
    <col min="2562" max="2562" width="8.875" style="1436"/>
    <col min="2563" max="2565" width="12.875" style="1436" customWidth="1"/>
    <col min="2566" max="2566" width="47.5" style="1436" customWidth="1"/>
    <col min="2567" max="2567" width="13" style="1436" customWidth="1"/>
    <col min="2568" max="2569" width="8.875" style="1436"/>
    <col min="2570" max="2570" width="5.75" style="1436" customWidth="1"/>
    <col min="2571" max="2571" width="11.75" style="1436" customWidth="1"/>
    <col min="2572" max="2573" width="10.75" style="1436" customWidth="1"/>
    <col min="2574" max="2574" width="10" style="1436" customWidth="1"/>
    <col min="2575" max="2576" width="10.5" style="1436" customWidth="1"/>
    <col min="2577" max="2577" width="10" style="1436" customWidth="1"/>
    <col min="2578" max="2578" width="10.125" style="1436" customWidth="1"/>
    <col min="2579" max="2579" width="10" style="1436" customWidth="1"/>
    <col min="2580" max="2580" width="26.125" style="1436" customWidth="1"/>
    <col min="2581" max="2816" width="8.875" style="1436"/>
    <col min="2817" max="2817" width="9.5" style="1436" customWidth="1"/>
    <col min="2818" max="2818" width="8.875" style="1436"/>
    <col min="2819" max="2821" width="12.875" style="1436" customWidth="1"/>
    <col min="2822" max="2822" width="47.5" style="1436" customWidth="1"/>
    <col min="2823" max="2823" width="13" style="1436" customWidth="1"/>
    <col min="2824" max="2825" width="8.875" style="1436"/>
    <col min="2826" max="2826" width="5.75" style="1436" customWidth="1"/>
    <col min="2827" max="2827" width="11.75" style="1436" customWidth="1"/>
    <col min="2828" max="2829" width="10.75" style="1436" customWidth="1"/>
    <col min="2830" max="2830" width="10" style="1436" customWidth="1"/>
    <col min="2831" max="2832" width="10.5" style="1436" customWidth="1"/>
    <col min="2833" max="2833" width="10" style="1436" customWidth="1"/>
    <col min="2834" max="2834" width="10.125" style="1436" customWidth="1"/>
    <col min="2835" max="2835" width="10" style="1436" customWidth="1"/>
    <col min="2836" max="2836" width="26.125" style="1436" customWidth="1"/>
    <col min="2837" max="3072" width="8.875" style="1436"/>
    <col min="3073" max="3073" width="9.5" style="1436" customWidth="1"/>
    <col min="3074" max="3074" width="8.875" style="1436"/>
    <col min="3075" max="3077" width="12.875" style="1436" customWidth="1"/>
    <col min="3078" max="3078" width="47.5" style="1436" customWidth="1"/>
    <col min="3079" max="3079" width="13" style="1436" customWidth="1"/>
    <col min="3080" max="3081" width="8.875" style="1436"/>
    <col min="3082" max="3082" width="5.75" style="1436" customWidth="1"/>
    <col min="3083" max="3083" width="11.75" style="1436" customWidth="1"/>
    <col min="3084" max="3085" width="10.75" style="1436" customWidth="1"/>
    <col min="3086" max="3086" width="10" style="1436" customWidth="1"/>
    <col min="3087" max="3088" width="10.5" style="1436" customWidth="1"/>
    <col min="3089" max="3089" width="10" style="1436" customWidth="1"/>
    <col min="3090" max="3090" width="10.125" style="1436" customWidth="1"/>
    <col min="3091" max="3091" width="10" style="1436" customWidth="1"/>
    <col min="3092" max="3092" width="26.125" style="1436" customWidth="1"/>
    <col min="3093" max="3328" width="8.875" style="1436"/>
    <col min="3329" max="3329" width="9.5" style="1436" customWidth="1"/>
    <col min="3330" max="3330" width="8.875" style="1436"/>
    <col min="3331" max="3333" width="12.875" style="1436" customWidth="1"/>
    <col min="3334" max="3334" width="47.5" style="1436" customWidth="1"/>
    <col min="3335" max="3335" width="13" style="1436" customWidth="1"/>
    <col min="3336" max="3337" width="8.875" style="1436"/>
    <col min="3338" max="3338" width="5.75" style="1436" customWidth="1"/>
    <col min="3339" max="3339" width="11.75" style="1436" customWidth="1"/>
    <col min="3340" max="3341" width="10.75" style="1436" customWidth="1"/>
    <col min="3342" max="3342" width="10" style="1436" customWidth="1"/>
    <col min="3343" max="3344" width="10.5" style="1436" customWidth="1"/>
    <col min="3345" max="3345" width="10" style="1436" customWidth="1"/>
    <col min="3346" max="3346" width="10.125" style="1436" customWidth="1"/>
    <col min="3347" max="3347" width="10" style="1436" customWidth="1"/>
    <col min="3348" max="3348" width="26.125" style="1436" customWidth="1"/>
    <col min="3349" max="3584" width="8.875" style="1436"/>
    <col min="3585" max="3585" width="9.5" style="1436" customWidth="1"/>
    <col min="3586" max="3586" width="8.875" style="1436"/>
    <col min="3587" max="3589" width="12.875" style="1436" customWidth="1"/>
    <col min="3590" max="3590" width="47.5" style="1436" customWidth="1"/>
    <col min="3591" max="3591" width="13" style="1436" customWidth="1"/>
    <col min="3592" max="3593" width="8.875" style="1436"/>
    <col min="3594" max="3594" width="5.75" style="1436" customWidth="1"/>
    <col min="3595" max="3595" width="11.75" style="1436" customWidth="1"/>
    <col min="3596" max="3597" width="10.75" style="1436" customWidth="1"/>
    <col min="3598" max="3598" width="10" style="1436" customWidth="1"/>
    <col min="3599" max="3600" width="10.5" style="1436" customWidth="1"/>
    <col min="3601" max="3601" width="10" style="1436" customWidth="1"/>
    <col min="3602" max="3602" width="10.125" style="1436" customWidth="1"/>
    <col min="3603" max="3603" width="10" style="1436" customWidth="1"/>
    <col min="3604" max="3604" width="26.125" style="1436" customWidth="1"/>
    <col min="3605" max="3840" width="8.875" style="1436"/>
    <col min="3841" max="3841" width="9.5" style="1436" customWidth="1"/>
    <col min="3842" max="3842" width="8.875" style="1436"/>
    <col min="3843" max="3845" width="12.875" style="1436" customWidth="1"/>
    <col min="3846" max="3846" width="47.5" style="1436" customWidth="1"/>
    <col min="3847" max="3847" width="13" style="1436" customWidth="1"/>
    <col min="3848" max="3849" width="8.875" style="1436"/>
    <col min="3850" max="3850" width="5.75" style="1436" customWidth="1"/>
    <col min="3851" max="3851" width="11.75" style="1436" customWidth="1"/>
    <col min="3852" max="3853" width="10.75" style="1436" customWidth="1"/>
    <col min="3854" max="3854" width="10" style="1436" customWidth="1"/>
    <col min="3855" max="3856" width="10.5" style="1436" customWidth="1"/>
    <col min="3857" max="3857" width="10" style="1436" customWidth="1"/>
    <col min="3858" max="3858" width="10.125" style="1436" customWidth="1"/>
    <col min="3859" max="3859" width="10" style="1436" customWidth="1"/>
    <col min="3860" max="3860" width="26.125" style="1436" customWidth="1"/>
    <col min="3861" max="4096" width="8.875" style="1436"/>
    <col min="4097" max="4097" width="9.5" style="1436" customWidth="1"/>
    <col min="4098" max="4098" width="8.875" style="1436"/>
    <col min="4099" max="4101" width="12.875" style="1436" customWidth="1"/>
    <col min="4102" max="4102" width="47.5" style="1436" customWidth="1"/>
    <col min="4103" max="4103" width="13" style="1436" customWidth="1"/>
    <col min="4104" max="4105" width="8.875" style="1436"/>
    <col min="4106" max="4106" width="5.75" style="1436" customWidth="1"/>
    <col min="4107" max="4107" width="11.75" style="1436" customWidth="1"/>
    <col min="4108" max="4109" width="10.75" style="1436" customWidth="1"/>
    <col min="4110" max="4110" width="10" style="1436" customWidth="1"/>
    <col min="4111" max="4112" width="10.5" style="1436" customWidth="1"/>
    <col min="4113" max="4113" width="10" style="1436" customWidth="1"/>
    <col min="4114" max="4114" width="10.125" style="1436" customWidth="1"/>
    <col min="4115" max="4115" width="10" style="1436" customWidth="1"/>
    <col min="4116" max="4116" width="26.125" style="1436" customWidth="1"/>
    <col min="4117" max="4352" width="8.875" style="1436"/>
    <col min="4353" max="4353" width="9.5" style="1436" customWidth="1"/>
    <col min="4354" max="4354" width="8.875" style="1436"/>
    <col min="4355" max="4357" width="12.875" style="1436" customWidth="1"/>
    <col min="4358" max="4358" width="47.5" style="1436" customWidth="1"/>
    <col min="4359" max="4359" width="13" style="1436" customWidth="1"/>
    <col min="4360" max="4361" width="8.875" style="1436"/>
    <col min="4362" max="4362" width="5.75" style="1436" customWidth="1"/>
    <col min="4363" max="4363" width="11.75" style="1436" customWidth="1"/>
    <col min="4364" max="4365" width="10.75" style="1436" customWidth="1"/>
    <col min="4366" max="4366" width="10" style="1436" customWidth="1"/>
    <col min="4367" max="4368" width="10.5" style="1436" customWidth="1"/>
    <col min="4369" max="4369" width="10" style="1436" customWidth="1"/>
    <col min="4370" max="4370" width="10.125" style="1436" customWidth="1"/>
    <col min="4371" max="4371" width="10" style="1436" customWidth="1"/>
    <col min="4372" max="4372" width="26.125" style="1436" customWidth="1"/>
    <col min="4373" max="4608" width="8.875" style="1436"/>
    <col min="4609" max="4609" width="9.5" style="1436" customWidth="1"/>
    <col min="4610" max="4610" width="8.875" style="1436"/>
    <col min="4611" max="4613" width="12.875" style="1436" customWidth="1"/>
    <col min="4614" max="4614" width="47.5" style="1436" customWidth="1"/>
    <col min="4615" max="4615" width="13" style="1436" customWidth="1"/>
    <col min="4616" max="4617" width="8.875" style="1436"/>
    <col min="4618" max="4618" width="5.75" style="1436" customWidth="1"/>
    <col min="4619" max="4619" width="11.75" style="1436" customWidth="1"/>
    <col min="4620" max="4621" width="10.75" style="1436" customWidth="1"/>
    <col min="4622" max="4622" width="10" style="1436" customWidth="1"/>
    <col min="4623" max="4624" width="10.5" style="1436" customWidth="1"/>
    <col min="4625" max="4625" width="10" style="1436" customWidth="1"/>
    <col min="4626" max="4626" width="10.125" style="1436" customWidth="1"/>
    <col min="4627" max="4627" width="10" style="1436" customWidth="1"/>
    <col min="4628" max="4628" width="26.125" style="1436" customWidth="1"/>
    <col min="4629" max="4864" width="8.875" style="1436"/>
    <col min="4865" max="4865" width="9.5" style="1436" customWidth="1"/>
    <col min="4866" max="4866" width="8.875" style="1436"/>
    <col min="4867" max="4869" width="12.875" style="1436" customWidth="1"/>
    <col min="4870" max="4870" width="47.5" style="1436" customWidth="1"/>
    <col min="4871" max="4871" width="13" style="1436" customWidth="1"/>
    <col min="4872" max="4873" width="8.875" style="1436"/>
    <col min="4874" max="4874" width="5.75" style="1436" customWidth="1"/>
    <col min="4875" max="4875" width="11.75" style="1436" customWidth="1"/>
    <col min="4876" max="4877" width="10.75" style="1436" customWidth="1"/>
    <col min="4878" max="4878" width="10" style="1436" customWidth="1"/>
    <col min="4879" max="4880" width="10.5" style="1436" customWidth="1"/>
    <col min="4881" max="4881" width="10" style="1436" customWidth="1"/>
    <col min="4882" max="4882" width="10.125" style="1436" customWidth="1"/>
    <col min="4883" max="4883" width="10" style="1436" customWidth="1"/>
    <col min="4884" max="4884" width="26.125" style="1436" customWidth="1"/>
    <col min="4885" max="5120" width="8.875" style="1436"/>
    <col min="5121" max="5121" width="9.5" style="1436" customWidth="1"/>
    <col min="5122" max="5122" width="8.875" style="1436"/>
    <col min="5123" max="5125" width="12.875" style="1436" customWidth="1"/>
    <col min="5126" max="5126" width="47.5" style="1436" customWidth="1"/>
    <col min="5127" max="5127" width="13" style="1436" customWidth="1"/>
    <col min="5128" max="5129" width="8.875" style="1436"/>
    <col min="5130" max="5130" width="5.75" style="1436" customWidth="1"/>
    <col min="5131" max="5131" width="11.75" style="1436" customWidth="1"/>
    <col min="5132" max="5133" width="10.75" style="1436" customWidth="1"/>
    <col min="5134" max="5134" width="10" style="1436" customWidth="1"/>
    <col min="5135" max="5136" width="10.5" style="1436" customWidth="1"/>
    <col min="5137" max="5137" width="10" style="1436" customWidth="1"/>
    <col min="5138" max="5138" width="10.125" style="1436" customWidth="1"/>
    <col min="5139" max="5139" width="10" style="1436" customWidth="1"/>
    <col min="5140" max="5140" width="26.125" style="1436" customWidth="1"/>
    <col min="5141" max="5376" width="8.875" style="1436"/>
    <col min="5377" max="5377" width="9.5" style="1436" customWidth="1"/>
    <col min="5378" max="5378" width="8.875" style="1436"/>
    <col min="5379" max="5381" width="12.875" style="1436" customWidth="1"/>
    <col min="5382" max="5382" width="47.5" style="1436" customWidth="1"/>
    <col min="5383" max="5383" width="13" style="1436" customWidth="1"/>
    <col min="5384" max="5385" width="8.875" style="1436"/>
    <col min="5386" max="5386" width="5.75" style="1436" customWidth="1"/>
    <col min="5387" max="5387" width="11.75" style="1436" customWidth="1"/>
    <col min="5388" max="5389" width="10.75" style="1436" customWidth="1"/>
    <col min="5390" max="5390" width="10" style="1436" customWidth="1"/>
    <col min="5391" max="5392" width="10.5" style="1436" customWidth="1"/>
    <col min="5393" max="5393" width="10" style="1436" customWidth="1"/>
    <col min="5394" max="5394" width="10.125" style="1436" customWidth="1"/>
    <col min="5395" max="5395" width="10" style="1436" customWidth="1"/>
    <col min="5396" max="5396" width="26.125" style="1436" customWidth="1"/>
    <col min="5397" max="5632" width="8.875" style="1436"/>
    <col min="5633" max="5633" width="9.5" style="1436" customWidth="1"/>
    <col min="5634" max="5634" width="8.875" style="1436"/>
    <col min="5635" max="5637" width="12.875" style="1436" customWidth="1"/>
    <col min="5638" max="5638" width="47.5" style="1436" customWidth="1"/>
    <col min="5639" max="5639" width="13" style="1436" customWidth="1"/>
    <col min="5640" max="5641" width="8.875" style="1436"/>
    <col min="5642" max="5642" width="5.75" style="1436" customWidth="1"/>
    <col min="5643" max="5643" width="11.75" style="1436" customWidth="1"/>
    <col min="5644" max="5645" width="10.75" style="1436" customWidth="1"/>
    <col min="5646" max="5646" width="10" style="1436" customWidth="1"/>
    <col min="5647" max="5648" width="10.5" style="1436" customWidth="1"/>
    <col min="5649" max="5649" width="10" style="1436" customWidth="1"/>
    <col min="5650" max="5650" width="10.125" style="1436" customWidth="1"/>
    <col min="5651" max="5651" width="10" style="1436" customWidth="1"/>
    <col min="5652" max="5652" width="26.125" style="1436" customWidth="1"/>
    <col min="5653" max="5888" width="8.875" style="1436"/>
    <col min="5889" max="5889" width="9.5" style="1436" customWidth="1"/>
    <col min="5890" max="5890" width="8.875" style="1436"/>
    <col min="5891" max="5893" width="12.875" style="1436" customWidth="1"/>
    <col min="5894" max="5894" width="47.5" style="1436" customWidth="1"/>
    <col min="5895" max="5895" width="13" style="1436" customWidth="1"/>
    <col min="5896" max="5897" width="8.875" style="1436"/>
    <col min="5898" max="5898" width="5.75" style="1436" customWidth="1"/>
    <col min="5899" max="5899" width="11.75" style="1436" customWidth="1"/>
    <col min="5900" max="5901" width="10.75" style="1436" customWidth="1"/>
    <col min="5902" max="5902" width="10" style="1436" customWidth="1"/>
    <col min="5903" max="5904" width="10.5" style="1436" customWidth="1"/>
    <col min="5905" max="5905" width="10" style="1436" customWidth="1"/>
    <col min="5906" max="5906" width="10.125" style="1436" customWidth="1"/>
    <col min="5907" max="5907" width="10" style="1436" customWidth="1"/>
    <col min="5908" max="5908" width="26.125" style="1436" customWidth="1"/>
    <col min="5909" max="6144" width="8.875" style="1436"/>
    <col min="6145" max="6145" width="9.5" style="1436" customWidth="1"/>
    <col min="6146" max="6146" width="8.875" style="1436"/>
    <col min="6147" max="6149" width="12.875" style="1436" customWidth="1"/>
    <col min="6150" max="6150" width="47.5" style="1436" customWidth="1"/>
    <col min="6151" max="6151" width="13" style="1436" customWidth="1"/>
    <col min="6152" max="6153" width="8.875" style="1436"/>
    <col min="6154" max="6154" width="5.75" style="1436" customWidth="1"/>
    <col min="6155" max="6155" width="11.75" style="1436" customWidth="1"/>
    <col min="6156" max="6157" width="10.75" style="1436" customWidth="1"/>
    <col min="6158" max="6158" width="10" style="1436" customWidth="1"/>
    <col min="6159" max="6160" width="10.5" style="1436" customWidth="1"/>
    <col min="6161" max="6161" width="10" style="1436" customWidth="1"/>
    <col min="6162" max="6162" width="10.125" style="1436" customWidth="1"/>
    <col min="6163" max="6163" width="10" style="1436" customWidth="1"/>
    <col min="6164" max="6164" width="26.125" style="1436" customWidth="1"/>
    <col min="6165" max="6400" width="8.875" style="1436"/>
    <col min="6401" max="6401" width="9.5" style="1436" customWidth="1"/>
    <col min="6402" max="6402" width="8.875" style="1436"/>
    <col min="6403" max="6405" width="12.875" style="1436" customWidth="1"/>
    <col min="6406" max="6406" width="47.5" style="1436" customWidth="1"/>
    <col min="6407" max="6407" width="13" style="1436" customWidth="1"/>
    <col min="6408" max="6409" width="8.875" style="1436"/>
    <col min="6410" max="6410" width="5.75" style="1436" customWidth="1"/>
    <col min="6411" max="6411" width="11.75" style="1436" customWidth="1"/>
    <col min="6412" max="6413" width="10.75" style="1436" customWidth="1"/>
    <col min="6414" max="6414" width="10" style="1436" customWidth="1"/>
    <col min="6415" max="6416" width="10.5" style="1436" customWidth="1"/>
    <col min="6417" max="6417" width="10" style="1436" customWidth="1"/>
    <col min="6418" max="6418" width="10.125" style="1436" customWidth="1"/>
    <col min="6419" max="6419" width="10" style="1436" customWidth="1"/>
    <col min="6420" max="6420" width="26.125" style="1436" customWidth="1"/>
    <col min="6421" max="6656" width="8.875" style="1436"/>
    <col min="6657" max="6657" width="9.5" style="1436" customWidth="1"/>
    <col min="6658" max="6658" width="8.875" style="1436"/>
    <col min="6659" max="6661" width="12.875" style="1436" customWidth="1"/>
    <col min="6662" max="6662" width="47.5" style="1436" customWidth="1"/>
    <col min="6663" max="6663" width="13" style="1436" customWidth="1"/>
    <col min="6664" max="6665" width="8.875" style="1436"/>
    <col min="6666" max="6666" width="5.75" style="1436" customWidth="1"/>
    <col min="6667" max="6667" width="11.75" style="1436" customWidth="1"/>
    <col min="6668" max="6669" width="10.75" style="1436" customWidth="1"/>
    <col min="6670" max="6670" width="10" style="1436" customWidth="1"/>
    <col min="6671" max="6672" width="10.5" style="1436" customWidth="1"/>
    <col min="6673" max="6673" width="10" style="1436" customWidth="1"/>
    <col min="6674" max="6674" width="10.125" style="1436" customWidth="1"/>
    <col min="6675" max="6675" width="10" style="1436" customWidth="1"/>
    <col min="6676" max="6676" width="26.125" style="1436" customWidth="1"/>
    <col min="6677" max="6912" width="8.875" style="1436"/>
    <col min="6913" max="6913" width="9.5" style="1436" customWidth="1"/>
    <col min="6914" max="6914" width="8.875" style="1436"/>
    <col min="6915" max="6917" width="12.875" style="1436" customWidth="1"/>
    <col min="6918" max="6918" width="47.5" style="1436" customWidth="1"/>
    <col min="6919" max="6919" width="13" style="1436" customWidth="1"/>
    <col min="6920" max="6921" width="8.875" style="1436"/>
    <col min="6922" max="6922" width="5.75" style="1436" customWidth="1"/>
    <col min="6923" max="6923" width="11.75" style="1436" customWidth="1"/>
    <col min="6924" max="6925" width="10.75" style="1436" customWidth="1"/>
    <col min="6926" max="6926" width="10" style="1436" customWidth="1"/>
    <col min="6927" max="6928" width="10.5" style="1436" customWidth="1"/>
    <col min="6929" max="6929" width="10" style="1436" customWidth="1"/>
    <col min="6930" max="6930" width="10.125" style="1436" customWidth="1"/>
    <col min="6931" max="6931" width="10" style="1436" customWidth="1"/>
    <col min="6932" max="6932" width="26.125" style="1436" customWidth="1"/>
    <col min="6933" max="7168" width="8.875" style="1436"/>
    <col min="7169" max="7169" width="9.5" style="1436" customWidth="1"/>
    <col min="7170" max="7170" width="8.875" style="1436"/>
    <col min="7171" max="7173" width="12.875" style="1436" customWidth="1"/>
    <col min="7174" max="7174" width="47.5" style="1436" customWidth="1"/>
    <col min="7175" max="7175" width="13" style="1436" customWidth="1"/>
    <col min="7176" max="7177" width="8.875" style="1436"/>
    <col min="7178" max="7178" width="5.75" style="1436" customWidth="1"/>
    <col min="7179" max="7179" width="11.75" style="1436" customWidth="1"/>
    <col min="7180" max="7181" width="10.75" style="1436" customWidth="1"/>
    <col min="7182" max="7182" width="10" style="1436" customWidth="1"/>
    <col min="7183" max="7184" width="10.5" style="1436" customWidth="1"/>
    <col min="7185" max="7185" width="10" style="1436" customWidth="1"/>
    <col min="7186" max="7186" width="10.125" style="1436" customWidth="1"/>
    <col min="7187" max="7187" width="10" style="1436" customWidth="1"/>
    <col min="7188" max="7188" width="26.125" style="1436" customWidth="1"/>
    <col min="7189" max="7424" width="8.875" style="1436"/>
    <col min="7425" max="7425" width="9.5" style="1436" customWidth="1"/>
    <col min="7426" max="7426" width="8.875" style="1436"/>
    <col min="7427" max="7429" width="12.875" style="1436" customWidth="1"/>
    <col min="7430" max="7430" width="47.5" style="1436" customWidth="1"/>
    <col min="7431" max="7431" width="13" style="1436" customWidth="1"/>
    <col min="7432" max="7433" width="8.875" style="1436"/>
    <col min="7434" max="7434" width="5.75" style="1436" customWidth="1"/>
    <col min="7435" max="7435" width="11.75" style="1436" customWidth="1"/>
    <col min="7436" max="7437" width="10.75" style="1436" customWidth="1"/>
    <col min="7438" max="7438" width="10" style="1436" customWidth="1"/>
    <col min="7439" max="7440" width="10.5" style="1436" customWidth="1"/>
    <col min="7441" max="7441" width="10" style="1436" customWidth="1"/>
    <col min="7442" max="7442" width="10.125" style="1436" customWidth="1"/>
    <col min="7443" max="7443" width="10" style="1436" customWidth="1"/>
    <col min="7444" max="7444" width="26.125" style="1436" customWidth="1"/>
    <col min="7445" max="7680" width="8.875" style="1436"/>
    <col min="7681" max="7681" width="9.5" style="1436" customWidth="1"/>
    <col min="7682" max="7682" width="8.875" style="1436"/>
    <col min="7683" max="7685" width="12.875" style="1436" customWidth="1"/>
    <col min="7686" max="7686" width="47.5" style="1436" customWidth="1"/>
    <col min="7687" max="7687" width="13" style="1436" customWidth="1"/>
    <col min="7688" max="7689" width="8.875" style="1436"/>
    <col min="7690" max="7690" width="5.75" style="1436" customWidth="1"/>
    <col min="7691" max="7691" width="11.75" style="1436" customWidth="1"/>
    <col min="7692" max="7693" width="10.75" style="1436" customWidth="1"/>
    <col min="7694" max="7694" width="10" style="1436" customWidth="1"/>
    <col min="7695" max="7696" width="10.5" style="1436" customWidth="1"/>
    <col min="7697" max="7697" width="10" style="1436" customWidth="1"/>
    <col min="7698" max="7698" width="10.125" style="1436" customWidth="1"/>
    <col min="7699" max="7699" width="10" style="1436" customWidth="1"/>
    <col min="7700" max="7700" width="26.125" style="1436" customWidth="1"/>
    <col min="7701" max="7936" width="8.875" style="1436"/>
    <col min="7937" max="7937" width="9.5" style="1436" customWidth="1"/>
    <col min="7938" max="7938" width="8.875" style="1436"/>
    <col min="7939" max="7941" width="12.875" style="1436" customWidth="1"/>
    <col min="7942" max="7942" width="47.5" style="1436" customWidth="1"/>
    <col min="7943" max="7943" width="13" style="1436" customWidth="1"/>
    <col min="7944" max="7945" width="8.875" style="1436"/>
    <col min="7946" max="7946" width="5.75" style="1436" customWidth="1"/>
    <col min="7947" max="7947" width="11.75" style="1436" customWidth="1"/>
    <col min="7948" max="7949" width="10.75" style="1436" customWidth="1"/>
    <col min="7950" max="7950" width="10" style="1436" customWidth="1"/>
    <col min="7951" max="7952" width="10.5" style="1436" customWidth="1"/>
    <col min="7953" max="7953" width="10" style="1436" customWidth="1"/>
    <col min="7954" max="7954" width="10.125" style="1436" customWidth="1"/>
    <col min="7955" max="7955" width="10" style="1436" customWidth="1"/>
    <col min="7956" max="7956" width="26.125" style="1436" customWidth="1"/>
    <col min="7957" max="8192" width="8.875" style="1436"/>
    <col min="8193" max="8193" width="9.5" style="1436" customWidth="1"/>
    <col min="8194" max="8194" width="8.875" style="1436"/>
    <col min="8195" max="8197" width="12.875" style="1436" customWidth="1"/>
    <col min="8198" max="8198" width="47.5" style="1436" customWidth="1"/>
    <col min="8199" max="8199" width="13" style="1436" customWidth="1"/>
    <col min="8200" max="8201" width="8.875" style="1436"/>
    <col min="8202" max="8202" width="5.75" style="1436" customWidth="1"/>
    <col min="8203" max="8203" width="11.75" style="1436" customWidth="1"/>
    <col min="8204" max="8205" width="10.75" style="1436" customWidth="1"/>
    <col min="8206" max="8206" width="10" style="1436" customWidth="1"/>
    <col min="8207" max="8208" width="10.5" style="1436" customWidth="1"/>
    <col min="8209" max="8209" width="10" style="1436" customWidth="1"/>
    <col min="8210" max="8210" width="10.125" style="1436" customWidth="1"/>
    <col min="8211" max="8211" width="10" style="1436" customWidth="1"/>
    <col min="8212" max="8212" width="26.125" style="1436" customWidth="1"/>
    <col min="8213" max="8448" width="8.875" style="1436"/>
    <col min="8449" max="8449" width="9.5" style="1436" customWidth="1"/>
    <col min="8450" max="8450" width="8.875" style="1436"/>
    <col min="8451" max="8453" width="12.875" style="1436" customWidth="1"/>
    <col min="8454" max="8454" width="47.5" style="1436" customWidth="1"/>
    <col min="8455" max="8455" width="13" style="1436" customWidth="1"/>
    <col min="8456" max="8457" width="8.875" style="1436"/>
    <col min="8458" max="8458" width="5.75" style="1436" customWidth="1"/>
    <col min="8459" max="8459" width="11.75" style="1436" customWidth="1"/>
    <col min="8460" max="8461" width="10.75" style="1436" customWidth="1"/>
    <col min="8462" max="8462" width="10" style="1436" customWidth="1"/>
    <col min="8463" max="8464" width="10.5" style="1436" customWidth="1"/>
    <col min="8465" max="8465" width="10" style="1436" customWidth="1"/>
    <col min="8466" max="8466" width="10.125" style="1436" customWidth="1"/>
    <col min="8467" max="8467" width="10" style="1436" customWidth="1"/>
    <col min="8468" max="8468" width="26.125" style="1436" customWidth="1"/>
    <col min="8469" max="8704" width="8.875" style="1436"/>
    <col min="8705" max="8705" width="9.5" style="1436" customWidth="1"/>
    <col min="8706" max="8706" width="8.875" style="1436"/>
    <col min="8707" max="8709" width="12.875" style="1436" customWidth="1"/>
    <col min="8710" max="8710" width="47.5" style="1436" customWidth="1"/>
    <col min="8711" max="8711" width="13" style="1436" customWidth="1"/>
    <col min="8712" max="8713" width="8.875" style="1436"/>
    <col min="8714" max="8714" width="5.75" style="1436" customWidth="1"/>
    <col min="8715" max="8715" width="11.75" style="1436" customWidth="1"/>
    <col min="8716" max="8717" width="10.75" style="1436" customWidth="1"/>
    <col min="8718" max="8718" width="10" style="1436" customWidth="1"/>
    <col min="8719" max="8720" width="10.5" style="1436" customWidth="1"/>
    <col min="8721" max="8721" width="10" style="1436" customWidth="1"/>
    <col min="8722" max="8722" width="10.125" style="1436" customWidth="1"/>
    <col min="8723" max="8723" width="10" style="1436" customWidth="1"/>
    <col min="8724" max="8724" width="26.125" style="1436" customWidth="1"/>
    <col min="8725" max="8960" width="8.875" style="1436"/>
    <col min="8961" max="8961" width="9.5" style="1436" customWidth="1"/>
    <col min="8962" max="8962" width="8.875" style="1436"/>
    <col min="8963" max="8965" width="12.875" style="1436" customWidth="1"/>
    <col min="8966" max="8966" width="47.5" style="1436" customWidth="1"/>
    <col min="8967" max="8967" width="13" style="1436" customWidth="1"/>
    <col min="8968" max="8969" width="8.875" style="1436"/>
    <col min="8970" max="8970" width="5.75" style="1436" customWidth="1"/>
    <col min="8971" max="8971" width="11.75" style="1436" customWidth="1"/>
    <col min="8972" max="8973" width="10.75" style="1436" customWidth="1"/>
    <col min="8974" max="8974" width="10" style="1436" customWidth="1"/>
    <col min="8975" max="8976" width="10.5" style="1436" customWidth="1"/>
    <col min="8977" max="8977" width="10" style="1436" customWidth="1"/>
    <col min="8978" max="8978" width="10.125" style="1436" customWidth="1"/>
    <col min="8979" max="8979" width="10" style="1436" customWidth="1"/>
    <col min="8980" max="8980" width="26.125" style="1436" customWidth="1"/>
    <col min="8981" max="9216" width="8.875" style="1436"/>
    <col min="9217" max="9217" width="9.5" style="1436" customWidth="1"/>
    <col min="9218" max="9218" width="8.875" style="1436"/>
    <col min="9219" max="9221" width="12.875" style="1436" customWidth="1"/>
    <col min="9222" max="9222" width="47.5" style="1436" customWidth="1"/>
    <col min="9223" max="9223" width="13" style="1436" customWidth="1"/>
    <col min="9224" max="9225" width="8.875" style="1436"/>
    <col min="9226" max="9226" width="5.75" style="1436" customWidth="1"/>
    <col min="9227" max="9227" width="11.75" style="1436" customWidth="1"/>
    <col min="9228" max="9229" width="10.75" style="1436" customWidth="1"/>
    <col min="9230" max="9230" width="10" style="1436" customWidth="1"/>
    <col min="9231" max="9232" width="10.5" style="1436" customWidth="1"/>
    <col min="9233" max="9233" width="10" style="1436" customWidth="1"/>
    <col min="9234" max="9234" width="10.125" style="1436" customWidth="1"/>
    <col min="9235" max="9235" width="10" style="1436" customWidth="1"/>
    <col min="9236" max="9236" width="26.125" style="1436" customWidth="1"/>
    <col min="9237" max="9472" width="8.875" style="1436"/>
    <col min="9473" max="9473" width="9.5" style="1436" customWidth="1"/>
    <col min="9474" max="9474" width="8.875" style="1436"/>
    <col min="9475" max="9477" width="12.875" style="1436" customWidth="1"/>
    <col min="9478" max="9478" width="47.5" style="1436" customWidth="1"/>
    <col min="9479" max="9479" width="13" style="1436" customWidth="1"/>
    <col min="9480" max="9481" width="8.875" style="1436"/>
    <col min="9482" max="9482" width="5.75" style="1436" customWidth="1"/>
    <col min="9483" max="9483" width="11.75" style="1436" customWidth="1"/>
    <col min="9484" max="9485" width="10.75" style="1436" customWidth="1"/>
    <col min="9486" max="9486" width="10" style="1436" customWidth="1"/>
    <col min="9487" max="9488" width="10.5" style="1436" customWidth="1"/>
    <col min="9489" max="9489" width="10" style="1436" customWidth="1"/>
    <col min="9490" max="9490" width="10.125" style="1436" customWidth="1"/>
    <col min="9491" max="9491" width="10" style="1436" customWidth="1"/>
    <col min="9492" max="9492" width="26.125" style="1436" customWidth="1"/>
    <col min="9493" max="9728" width="8.875" style="1436"/>
    <col min="9729" max="9729" width="9.5" style="1436" customWidth="1"/>
    <col min="9730" max="9730" width="8.875" style="1436"/>
    <col min="9731" max="9733" width="12.875" style="1436" customWidth="1"/>
    <col min="9734" max="9734" width="47.5" style="1436" customWidth="1"/>
    <col min="9735" max="9735" width="13" style="1436" customWidth="1"/>
    <col min="9736" max="9737" width="8.875" style="1436"/>
    <col min="9738" max="9738" width="5.75" style="1436" customWidth="1"/>
    <col min="9739" max="9739" width="11.75" style="1436" customWidth="1"/>
    <col min="9740" max="9741" width="10.75" style="1436" customWidth="1"/>
    <col min="9742" max="9742" width="10" style="1436" customWidth="1"/>
    <col min="9743" max="9744" width="10.5" style="1436" customWidth="1"/>
    <col min="9745" max="9745" width="10" style="1436" customWidth="1"/>
    <col min="9746" max="9746" width="10.125" style="1436" customWidth="1"/>
    <col min="9747" max="9747" width="10" style="1436" customWidth="1"/>
    <col min="9748" max="9748" width="26.125" style="1436" customWidth="1"/>
    <col min="9749" max="9984" width="8.875" style="1436"/>
    <col min="9985" max="9985" width="9.5" style="1436" customWidth="1"/>
    <col min="9986" max="9986" width="8.875" style="1436"/>
    <col min="9987" max="9989" width="12.875" style="1436" customWidth="1"/>
    <col min="9990" max="9990" width="47.5" style="1436" customWidth="1"/>
    <col min="9991" max="9991" width="13" style="1436" customWidth="1"/>
    <col min="9992" max="9993" width="8.875" style="1436"/>
    <col min="9994" max="9994" width="5.75" style="1436" customWidth="1"/>
    <col min="9995" max="9995" width="11.75" style="1436" customWidth="1"/>
    <col min="9996" max="9997" width="10.75" style="1436" customWidth="1"/>
    <col min="9998" max="9998" width="10" style="1436" customWidth="1"/>
    <col min="9999" max="10000" width="10.5" style="1436" customWidth="1"/>
    <col min="10001" max="10001" width="10" style="1436" customWidth="1"/>
    <col min="10002" max="10002" width="10.125" style="1436" customWidth="1"/>
    <col min="10003" max="10003" width="10" style="1436" customWidth="1"/>
    <col min="10004" max="10004" width="26.125" style="1436" customWidth="1"/>
    <col min="10005" max="10240" width="8.875" style="1436"/>
    <col min="10241" max="10241" width="9.5" style="1436" customWidth="1"/>
    <col min="10242" max="10242" width="8.875" style="1436"/>
    <col min="10243" max="10245" width="12.875" style="1436" customWidth="1"/>
    <col min="10246" max="10246" width="47.5" style="1436" customWidth="1"/>
    <col min="10247" max="10247" width="13" style="1436" customWidth="1"/>
    <col min="10248" max="10249" width="8.875" style="1436"/>
    <col min="10250" max="10250" width="5.75" style="1436" customWidth="1"/>
    <col min="10251" max="10251" width="11.75" style="1436" customWidth="1"/>
    <col min="10252" max="10253" width="10.75" style="1436" customWidth="1"/>
    <col min="10254" max="10254" width="10" style="1436" customWidth="1"/>
    <col min="10255" max="10256" width="10.5" style="1436" customWidth="1"/>
    <col min="10257" max="10257" width="10" style="1436" customWidth="1"/>
    <col min="10258" max="10258" width="10.125" style="1436" customWidth="1"/>
    <col min="10259" max="10259" width="10" style="1436" customWidth="1"/>
    <col min="10260" max="10260" width="26.125" style="1436" customWidth="1"/>
    <col min="10261" max="10496" width="8.875" style="1436"/>
    <col min="10497" max="10497" width="9.5" style="1436" customWidth="1"/>
    <col min="10498" max="10498" width="8.875" style="1436"/>
    <col min="10499" max="10501" width="12.875" style="1436" customWidth="1"/>
    <col min="10502" max="10502" width="47.5" style="1436" customWidth="1"/>
    <col min="10503" max="10503" width="13" style="1436" customWidth="1"/>
    <col min="10504" max="10505" width="8.875" style="1436"/>
    <col min="10506" max="10506" width="5.75" style="1436" customWidth="1"/>
    <col min="10507" max="10507" width="11.75" style="1436" customWidth="1"/>
    <col min="10508" max="10509" width="10.75" style="1436" customWidth="1"/>
    <col min="10510" max="10510" width="10" style="1436" customWidth="1"/>
    <col min="10511" max="10512" width="10.5" style="1436" customWidth="1"/>
    <col min="10513" max="10513" width="10" style="1436" customWidth="1"/>
    <col min="10514" max="10514" width="10.125" style="1436" customWidth="1"/>
    <col min="10515" max="10515" width="10" style="1436" customWidth="1"/>
    <col min="10516" max="10516" width="26.125" style="1436" customWidth="1"/>
    <col min="10517" max="10752" width="8.875" style="1436"/>
    <col min="10753" max="10753" width="9.5" style="1436" customWidth="1"/>
    <col min="10754" max="10754" width="8.875" style="1436"/>
    <col min="10755" max="10757" width="12.875" style="1436" customWidth="1"/>
    <col min="10758" max="10758" width="47.5" style="1436" customWidth="1"/>
    <col min="10759" max="10759" width="13" style="1436" customWidth="1"/>
    <col min="10760" max="10761" width="8.875" style="1436"/>
    <col min="10762" max="10762" width="5.75" style="1436" customWidth="1"/>
    <col min="10763" max="10763" width="11.75" style="1436" customWidth="1"/>
    <col min="10764" max="10765" width="10.75" style="1436" customWidth="1"/>
    <col min="10766" max="10766" width="10" style="1436" customWidth="1"/>
    <col min="10767" max="10768" width="10.5" style="1436" customWidth="1"/>
    <col min="10769" max="10769" width="10" style="1436" customWidth="1"/>
    <col min="10770" max="10770" width="10.125" style="1436" customWidth="1"/>
    <col min="10771" max="10771" width="10" style="1436" customWidth="1"/>
    <col min="10772" max="10772" width="26.125" style="1436" customWidth="1"/>
    <col min="10773" max="11008" width="8.875" style="1436"/>
    <col min="11009" max="11009" width="9.5" style="1436" customWidth="1"/>
    <col min="11010" max="11010" width="8.875" style="1436"/>
    <col min="11011" max="11013" width="12.875" style="1436" customWidth="1"/>
    <col min="11014" max="11014" width="47.5" style="1436" customWidth="1"/>
    <col min="11015" max="11015" width="13" style="1436" customWidth="1"/>
    <col min="11016" max="11017" width="8.875" style="1436"/>
    <col min="11018" max="11018" width="5.75" style="1436" customWidth="1"/>
    <col min="11019" max="11019" width="11.75" style="1436" customWidth="1"/>
    <col min="11020" max="11021" width="10.75" style="1436" customWidth="1"/>
    <col min="11022" max="11022" width="10" style="1436" customWidth="1"/>
    <col min="11023" max="11024" width="10.5" style="1436" customWidth="1"/>
    <col min="11025" max="11025" width="10" style="1436" customWidth="1"/>
    <col min="11026" max="11026" width="10.125" style="1436" customWidth="1"/>
    <col min="11027" max="11027" width="10" style="1436" customWidth="1"/>
    <col min="11028" max="11028" width="26.125" style="1436" customWidth="1"/>
    <col min="11029" max="11264" width="8.875" style="1436"/>
    <col min="11265" max="11265" width="9.5" style="1436" customWidth="1"/>
    <col min="11266" max="11266" width="8.875" style="1436"/>
    <col min="11267" max="11269" width="12.875" style="1436" customWidth="1"/>
    <col min="11270" max="11270" width="47.5" style="1436" customWidth="1"/>
    <col min="11271" max="11271" width="13" style="1436" customWidth="1"/>
    <col min="11272" max="11273" width="8.875" style="1436"/>
    <col min="11274" max="11274" width="5.75" style="1436" customWidth="1"/>
    <col min="11275" max="11275" width="11.75" style="1436" customWidth="1"/>
    <col min="11276" max="11277" width="10.75" style="1436" customWidth="1"/>
    <col min="11278" max="11278" width="10" style="1436" customWidth="1"/>
    <col min="11279" max="11280" width="10.5" style="1436" customWidth="1"/>
    <col min="11281" max="11281" width="10" style="1436" customWidth="1"/>
    <col min="11282" max="11282" width="10.125" style="1436" customWidth="1"/>
    <col min="11283" max="11283" width="10" style="1436" customWidth="1"/>
    <col min="11284" max="11284" width="26.125" style="1436" customWidth="1"/>
    <col min="11285" max="11520" width="8.875" style="1436"/>
    <col min="11521" max="11521" width="9.5" style="1436" customWidth="1"/>
    <col min="11522" max="11522" width="8.875" style="1436"/>
    <col min="11523" max="11525" width="12.875" style="1436" customWidth="1"/>
    <col min="11526" max="11526" width="47.5" style="1436" customWidth="1"/>
    <col min="11527" max="11527" width="13" style="1436" customWidth="1"/>
    <col min="11528" max="11529" width="8.875" style="1436"/>
    <col min="11530" max="11530" width="5.75" style="1436" customWidth="1"/>
    <col min="11531" max="11531" width="11.75" style="1436" customWidth="1"/>
    <col min="11532" max="11533" width="10.75" style="1436" customWidth="1"/>
    <col min="11534" max="11534" width="10" style="1436" customWidth="1"/>
    <col min="11535" max="11536" width="10.5" style="1436" customWidth="1"/>
    <col min="11537" max="11537" width="10" style="1436" customWidth="1"/>
    <col min="11538" max="11538" width="10.125" style="1436" customWidth="1"/>
    <col min="11539" max="11539" width="10" style="1436" customWidth="1"/>
    <col min="11540" max="11540" width="26.125" style="1436" customWidth="1"/>
    <col min="11541" max="11776" width="8.875" style="1436"/>
    <col min="11777" max="11777" width="9.5" style="1436" customWidth="1"/>
    <col min="11778" max="11778" width="8.875" style="1436"/>
    <col min="11779" max="11781" width="12.875" style="1436" customWidth="1"/>
    <col min="11782" max="11782" width="47.5" style="1436" customWidth="1"/>
    <col min="11783" max="11783" width="13" style="1436" customWidth="1"/>
    <col min="11784" max="11785" width="8.875" style="1436"/>
    <col min="11786" max="11786" width="5.75" style="1436" customWidth="1"/>
    <col min="11787" max="11787" width="11.75" style="1436" customWidth="1"/>
    <col min="11788" max="11789" width="10.75" style="1436" customWidth="1"/>
    <col min="11790" max="11790" width="10" style="1436" customWidth="1"/>
    <col min="11791" max="11792" width="10.5" style="1436" customWidth="1"/>
    <col min="11793" max="11793" width="10" style="1436" customWidth="1"/>
    <col min="11794" max="11794" width="10.125" style="1436" customWidth="1"/>
    <col min="11795" max="11795" width="10" style="1436" customWidth="1"/>
    <col min="11796" max="11796" width="26.125" style="1436" customWidth="1"/>
    <col min="11797" max="12032" width="8.875" style="1436"/>
    <col min="12033" max="12033" width="9.5" style="1436" customWidth="1"/>
    <col min="12034" max="12034" width="8.875" style="1436"/>
    <col min="12035" max="12037" width="12.875" style="1436" customWidth="1"/>
    <col min="12038" max="12038" width="47.5" style="1436" customWidth="1"/>
    <col min="12039" max="12039" width="13" style="1436" customWidth="1"/>
    <col min="12040" max="12041" width="8.875" style="1436"/>
    <col min="12042" max="12042" width="5.75" style="1436" customWidth="1"/>
    <col min="12043" max="12043" width="11.75" style="1436" customWidth="1"/>
    <col min="12044" max="12045" width="10.75" style="1436" customWidth="1"/>
    <col min="12046" max="12046" width="10" style="1436" customWidth="1"/>
    <col min="12047" max="12048" width="10.5" style="1436" customWidth="1"/>
    <col min="12049" max="12049" width="10" style="1436" customWidth="1"/>
    <col min="12050" max="12050" width="10.125" style="1436" customWidth="1"/>
    <col min="12051" max="12051" width="10" style="1436" customWidth="1"/>
    <col min="12052" max="12052" width="26.125" style="1436" customWidth="1"/>
    <col min="12053" max="12288" width="8.875" style="1436"/>
    <col min="12289" max="12289" width="9.5" style="1436" customWidth="1"/>
    <col min="12290" max="12290" width="8.875" style="1436"/>
    <col min="12291" max="12293" width="12.875" style="1436" customWidth="1"/>
    <col min="12294" max="12294" width="47.5" style="1436" customWidth="1"/>
    <col min="12295" max="12295" width="13" style="1436" customWidth="1"/>
    <col min="12296" max="12297" width="8.875" style="1436"/>
    <col min="12298" max="12298" width="5.75" style="1436" customWidth="1"/>
    <col min="12299" max="12299" width="11.75" style="1436" customWidth="1"/>
    <col min="12300" max="12301" width="10.75" style="1436" customWidth="1"/>
    <col min="12302" max="12302" width="10" style="1436" customWidth="1"/>
    <col min="12303" max="12304" width="10.5" style="1436" customWidth="1"/>
    <col min="12305" max="12305" width="10" style="1436" customWidth="1"/>
    <col min="12306" max="12306" width="10.125" style="1436" customWidth="1"/>
    <col min="12307" max="12307" width="10" style="1436" customWidth="1"/>
    <col min="12308" max="12308" width="26.125" style="1436" customWidth="1"/>
    <col min="12309" max="12544" width="8.875" style="1436"/>
    <col min="12545" max="12545" width="9.5" style="1436" customWidth="1"/>
    <col min="12546" max="12546" width="8.875" style="1436"/>
    <col min="12547" max="12549" width="12.875" style="1436" customWidth="1"/>
    <col min="12550" max="12550" width="47.5" style="1436" customWidth="1"/>
    <col min="12551" max="12551" width="13" style="1436" customWidth="1"/>
    <col min="12552" max="12553" width="8.875" style="1436"/>
    <col min="12554" max="12554" width="5.75" style="1436" customWidth="1"/>
    <col min="12555" max="12555" width="11.75" style="1436" customWidth="1"/>
    <col min="12556" max="12557" width="10.75" style="1436" customWidth="1"/>
    <col min="12558" max="12558" width="10" style="1436" customWidth="1"/>
    <col min="12559" max="12560" width="10.5" style="1436" customWidth="1"/>
    <col min="12561" max="12561" width="10" style="1436" customWidth="1"/>
    <col min="12562" max="12562" width="10.125" style="1436" customWidth="1"/>
    <col min="12563" max="12563" width="10" style="1436" customWidth="1"/>
    <col min="12564" max="12564" width="26.125" style="1436" customWidth="1"/>
    <col min="12565" max="12800" width="8.875" style="1436"/>
    <col min="12801" max="12801" width="9.5" style="1436" customWidth="1"/>
    <col min="12802" max="12802" width="8.875" style="1436"/>
    <col min="12803" max="12805" width="12.875" style="1436" customWidth="1"/>
    <col min="12806" max="12806" width="47.5" style="1436" customWidth="1"/>
    <col min="12807" max="12807" width="13" style="1436" customWidth="1"/>
    <col min="12808" max="12809" width="8.875" style="1436"/>
    <col min="12810" max="12810" width="5.75" style="1436" customWidth="1"/>
    <col min="12811" max="12811" width="11.75" style="1436" customWidth="1"/>
    <col min="12812" max="12813" width="10.75" style="1436" customWidth="1"/>
    <col min="12814" max="12814" width="10" style="1436" customWidth="1"/>
    <col min="12815" max="12816" width="10.5" style="1436" customWidth="1"/>
    <col min="12817" max="12817" width="10" style="1436" customWidth="1"/>
    <col min="12818" max="12818" width="10.125" style="1436" customWidth="1"/>
    <col min="12819" max="12819" width="10" style="1436" customWidth="1"/>
    <col min="12820" max="12820" width="26.125" style="1436" customWidth="1"/>
    <col min="12821" max="13056" width="8.875" style="1436"/>
    <col min="13057" max="13057" width="9.5" style="1436" customWidth="1"/>
    <col min="13058" max="13058" width="8.875" style="1436"/>
    <col min="13059" max="13061" width="12.875" style="1436" customWidth="1"/>
    <col min="13062" max="13062" width="47.5" style="1436" customWidth="1"/>
    <col min="13063" max="13063" width="13" style="1436" customWidth="1"/>
    <col min="13064" max="13065" width="8.875" style="1436"/>
    <col min="13066" max="13066" width="5.75" style="1436" customWidth="1"/>
    <col min="13067" max="13067" width="11.75" style="1436" customWidth="1"/>
    <col min="13068" max="13069" width="10.75" style="1436" customWidth="1"/>
    <col min="13070" max="13070" width="10" style="1436" customWidth="1"/>
    <col min="13071" max="13072" width="10.5" style="1436" customWidth="1"/>
    <col min="13073" max="13073" width="10" style="1436" customWidth="1"/>
    <col min="13074" max="13074" width="10.125" style="1436" customWidth="1"/>
    <col min="13075" max="13075" width="10" style="1436" customWidth="1"/>
    <col min="13076" max="13076" width="26.125" style="1436" customWidth="1"/>
    <col min="13077" max="13312" width="8.875" style="1436"/>
    <col min="13313" max="13313" width="9.5" style="1436" customWidth="1"/>
    <col min="13314" max="13314" width="8.875" style="1436"/>
    <col min="13315" max="13317" width="12.875" style="1436" customWidth="1"/>
    <col min="13318" max="13318" width="47.5" style="1436" customWidth="1"/>
    <col min="13319" max="13319" width="13" style="1436" customWidth="1"/>
    <col min="13320" max="13321" width="8.875" style="1436"/>
    <col min="13322" max="13322" width="5.75" style="1436" customWidth="1"/>
    <col min="13323" max="13323" width="11.75" style="1436" customWidth="1"/>
    <col min="13324" max="13325" width="10.75" style="1436" customWidth="1"/>
    <col min="13326" max="13326" width="10" style="1436" customWidth="1"/>
    <col min="13327" max="13328" width="10.5" style="1436" customWidth="1"/>
    <col min="13329" max="13329" width="10" style="1436" customWidth="1"/>
    <col min="13330" max="13330" width="10.125" style="1436" customWidth="1"/>
    <col min="13331" max="13331" width="10" style="1436" customWidth="1"/>
    <col min="13332" max="13332" width="26.125" style="1436" customWidth="1"/>
    <col min="13333" max="13568" width="8.875" style="1436"/>
    <col min="13569" max="13569" width="9.5" style="1436" customWidth="1"/>
    <col min="13570" max="13570" width="8.875" style="1436"/>
    <col min="13571" max="13573" width="12.875" style="1436" customWidth="1"/>
    <col min="13574" max="13574" width="47.5" style="1436" customWidth="1"/>
    <col min="13575" max="13575" width="13" style="1436" customWidth="1"/>
    <col min="13576" max="13577" width="8.875" style="1436"/>
    <col min="13578" max="13578" width="5.75" style="1436" customWidth="1"/>
    <col min="13579" max="13579" width="11.75" style="1436" customWidth="1"/>
    <col min="13580" max="13581" width="10.75" style="1436" customWidth="1"/>
    <col min="13582" max="13582" width="10" style="1436" customWidth="1"/>
    <col min="13583" max="13584" width="10.5" style="1436" customWidth="1"/>
    <col min="13585" max="13585" width="10" style="1436" customWidth="1"/>
    <col min="13586" max="13586" width="10.125" style="1436" customWidth="1"/>
    <col min="13587" max="13587" width="10" style="1436" customWidth="1"/>
    <col min="13588" max="13588" width="26.125" style="1436" customWidth="1"/>
    <col min="13589" max="13824" width="8.875" style="1436"/>
    <col min="13825" max="13825" width="9.5" style="1436" customWidth="1"/>
    <col min="13826" max="13826" width="8.875" style="1436"/>
    <col min="13827" max="13829" width="12.875" style="1436" customWidth="1"/>
    <col min="13830" max="13830" width="47.5" style="1436" customWidth="1"/>
    <col min="13831" max="13831" width="13" style="1436" customWidth="1"/>
    <col min="13832" max="13833" width="8.875" style="1436"/>
    <col min="13834" max="13834" width="5.75" style="1436" customWidth="1"/>
    <col min="13835" max="13835" width="11.75" style="1436" customWidth="1"/>
    <col min="13836" max="13837" width="10.75" style="1436" customWidth="1"/>
    <col min="13838" max="13838" width="10" style="1436" customWidth="1"/>
    <col min="13839" max="13840" width="10.5" style="1436" customWidth="1"/>
    <col min="13841" max="13841" width="10" style="1436" customWidth="1"/>
    <col min="13842" max="13842" width="10.125" style="1436" customWidth="1"/>
    <col min="13843" max="13843" width="10" style="1436" customWidth="1"/>
    <col min="13844" max="13844" width="26.125" style="1436" customWidth="1"/>
    <col min="13845" max="14080" width="8.875" style="1436"/>
    <col min="14081" max="14081" width="9.5" style="1436" customWidth="1"/>
    <col min="14082" max="14082" width="8.875" style="1436"/>
    <col min="14083" max="14085" width="12.875" style="1436" customWidth="1"/>
    <col min="14086" max="14086" width="47.5" style="1436" customWidth="1"/>
    <col min="14087" max="14087" width="13" style="1436" customWidth="1"/>
    <col min="14088" max="14089" width="8.875" style="1436"/>
    <col min="14090" max="14090" width="5.75" style="1436" customWidth="1"/>
    <col min="14091" max="14091" width="11.75" style="1436" customWidth="1"/>
    <col min="14092" max="14093" width="10.75" style="1436" customWidth="1"/>
    <col min="14094" max="14094" width="10" style="1436" customWidth="1"/>
    <col min="14095" max="14096" width="10.5" style="1436" customWidth="1"/>
    <col min="14097" max="14097" width="10" style="1436" customWidth="1"/>
    <col min="14098" max="14098" width="10.125" style="1436" customWidth="1"/>
    <col min="14099" max="14099" width="10" style="1436" customWidth="1"/>
    <col min="14100" max="14100" width="26.125" style="1436" customWidth="1"/>
    <col min="14101" max="14336" width="8.875" style="1436"/>
    <col min="14337" max="14337" width="9.5" style="1436" customWidth="1"/>
    <col min="14338" max="14338" width="8.875" style="1436"/>
    <col min="14339" max="14341" width="12.875" style="1436" customWidth="1"/>
    <col min="14342" max="14342" width="47.5" style="1436" customWidth="1"/>
    <col min="14343" max="14343" width="13" style="1436" customWidth="1"/>
    <col min="14344" max="14345" width="8.875" style="1436"/>
    <col min="14346" max="14346" width="5.75" style="1436" customWidth="1"/>
    <col min="14347" max="14347" width="11.75" style="1436" customWidth="1"/>
    <col min="14348" max="14349" width="10.75" style="1436" customWidth="1"/>
    <col min="14350" max="14350" width="10" style="1436" customWidth="1"/>
    <col min="14351" max="14352" width="10.5" style="1436" customWidth="1"/>
    <col min="14353" max="14353" width="10" style="1436" customWidth="1"/>
    <col min="14354" max="14354" width="10.125" style="1436" customWidth="1"/>
    <col min="14355" max="14355" width="10" style="1436" customWidth="1"/>
    <col min="14356" max="14356" width="26.125" style="1436" customWidth="1"/>
    <col min="14357" max="14592" width="8.875" style="1436"/>
    <col min="14593" max="14593" width="9.5" style="1436" customWidth="1"/>
    <col min="14594" max="14594" width="8.875" style="1436"/>
    <col min="14595" max="14597" width="12.875" style="1436" customWidth="1"/>
    <col min="14598" max="14598" width="47.5" style="1436" customWidth="1"/>
    <col min="14599" max="14599" width="13" style="1436" customWidth="1"/>
    <col min="14600" max="14601" width="8.875" style="1436"/>
    <col min="14602" max="14602" width="5.75" style="1436" customWidth="1"/>
    <col min="14603" max="14603" width="11.75" style="1436" customWidth="1"/>
    <col min="14604" max="14605" width="10.75" style="1436" customWidth="1"/>
    <col min="14606" max="14606" width="10" style="1436" customWidth="1"/>
    <col min="14607" max="14608" width="10.5" style="1436" customWidth="1"/>
    <col min="14609" max="14609" width="10" style="1436" customWidth="1"/>
    <col min="14610" max="14610" width="10.125" style="1436" customWidth="1"/>
    <col min="14611" max="14611" width="10" style="1436" customWidth="1"/>
    <col min="14612" max="14612" width="26.125" style="1436" customWidth="1"/>
    <col min="14613" max="14848" width="8.875" style="1436"/>
    <col min="14849" max="14849" width="9.5" style="1436" customWidth="1"/>
    <col min="14850" max="14850" width="8.875" style="1436"/>
    <col min="14851" max="14853" width="12.875" style="1436" customWidth="1"/>
    <col min="14854" max="14854" width="47.5" style="1436" customWidth="1"/>
    <col min="14855" max="14855" width="13" style="1436" customWidth="1"/>
    <col min="14856" max="14857" width="8.875" style="1436"/>
    <col min="14858" max="14858" width="5.75" style="1436" customWidth="1"/>
    <col min="14859" max="14859" width="11.75" style="1436" customWidth="1"/>
    <col min="14860" max="14861" width="10.75" style="1436" customWidth="1"/>
    <col min="14862" max="14862" width="10" style="1436" customWidth="1"/>
    <col min="14863" max="14864" width="10.5" style="1436" customWidth="1"/>
    <col min="14865" max="14865" width="10" style="1436" customWidth="1"/>
    <col min="14866" max="14866" width="10.125" style="1436" customWidth="1"/>
    <col min="14867" max="14867" width="10" style="1436" customWidth="1"/>
    <col min="14868" max="14868" width="26.125" style="1436" customWidth="1"/>
    <col min="14869" max="15104" width="8.875" style="1436"/>
    <col min="15105" max="15105" width="9.5" style="1436" customWidth="1"/>
    <col min="15106" max="15106" width="8.875" style="1436"/>
    <col min="15107" max="15109" width="12.875" style="1436" customWidth="1"/>
    <col min="15110" max="15110" width="47.5" style="1436" customWidth="1"/>
    <col min="15111" max="15111" width="13" style="1436" customWidth="1"/>
    <col min="15112" max="15113" width="8.875" style="1436"/>
    <col min="15114" max="15114" width="5.75" style="1436" customWidth="1"/>
    <col min="15115" max="15115" width="11.75" style="1436" customWidth="1"/>
    <col min="15116" max="15117" width="10.75" style="1436" customWidth="1"/>
    <col min="15118" max="15118" width="10" style="1436" customWidth="1"/>
    <col min="15119" max="15120" width="10.5" style="1436" customWidth="1"/>
    <col min="15121" max="15121" width="10" style="1436" customWidth="1"/>
    <col min="15122" max="15122" width="10.125" style="1436" customWidth="1"/>
    <col min="15123" max="15123" width="10" style="1436" customWidth="1"/>
    <col min="15124" max="15124" width="26.125" style="1436" customWidth="1"/>
    <col min="15125" max="15360" width="8.875" style="1436"/>
    <col min="15361" max="15361" width="9.5" style="1436" customWidth="1"/>
    <col min="15362" max="15362" width="8.875" style="1436"/>
    <col min="15363" max="15365" width="12.875" style="1436" customWidth="1"/>
    <col min="15366" max="15366" width="47.5" style="1436" customWidth="1"/>
    <col min="15367" max="15367" width="13" style="1436" customWidth="1"/>
    <col min="15368" max="15369" width="8.875" style="1436"/>
    <col min="15370" max="15370" width="5.75" style="1436" customWidth="1"/>
    <col min="15371" max="15371" width="11.75" style="1436" customWidth="1"/>
    <col min="15372" max="15373" width="10.75" style="1436" customWidth="1"/>
    <col min="15374" max="15374" width="10" style="1436" customWidth="1"/>
    <col min="15375" max="15376" width="10.5" style="1436" customWidth="1"/>
    <col min="15377" max="15377" width="10" style="1436" customWidth="1"/>
    <col min="15378" max="15378" width="10.125" style="1436" customWidth="1"/>
    <col min="15379" max="15379" width="10" style="1436" customWidth="1"/>
    <col min="15380" max="15380" width="26.125" style="1436" customWidth="1"/>
    <col min="15381" max="15616" width="8.875" style="1436"/>
    <col min="15617" max="15617" width="9.5" style="1436" customWidth="1"/>
    <col min="15618" max="15618" width="8.875" style="1436"/>
    <col min="15619" max="15621" width="12.875" style="1436" customWidth="1"/>
    <col min="15622" max="15622" width="47.5" style="1436" customWidth="1"/>
    <col min="15623" max="15623" width="13" style="1436" customWidth="1"/>
    <col min="15624" max="15625" width="8.875" style="1436"/>
    <col min="15626" max="15626" width="5.75" style="1436" customWidth="1"/>
    <col min="15627" max="15627" width="11.75" style="1436" customWidth="1"/>
    <col min="15628" max="15629" width="10.75" style="1436" customWidth="1"/>
    <col min="15630" max="15630" width="10" style="1436" customWidth="1"/>
    <col min="15631" max="15632" width="10.5" style="1436" customWidth="1"/>
    <col min="15633" max="15633" width="10" style="1436" customWidth="1"/>
    <col min="15634" max="15634" width="10.125" style="1436" customWidth="1"/>
    <col min="15635" max="15635" width="10" style="1436" customWidth="1"/>
    <col min="15636" max="15636" width="26.125" style="1436" customWidth="1"/>
    <col min="15637" max="15872" width="8.875" style="1436"/>
    <col min="15873" max="15873" width="9.5" style="1436" customWidth="1"/>
    <col min="15874" max="15874" width="8.875" style="1436"/>
    <col min="15875" max="15877" width="12.875" style="1436" customWidth="1"/>
    <col min="15878" max="15878" width="47.5" style="1436" customWidth="1"/>
    <col min="15879" max="15879" width="13" style="1436" customWidth="1"/>
    <col min="15880" max="15881" width="8.875" style="1436"/>
    <col min="15882" max="15882" width="5.75" style="1436" customWidth="1"/>
    <col min="15883" max="15883" width="11.75" style="1436" customWidth="1"/>
    <col min="15884" max="15885" width="10.75" style="1436" customWidth="1"/>
    <col min="15886" max="15886" width="10" style="1436" customWidth="1"/>
    <col min="15887" max="15888" width="10.5" style="1436" customWidth="1"/>
    <col min="15889" max="15889" width="10" style="1436" customWidth="1"/>
    <col min="15890" max="15890" width="10.125" style="1436" customWidth="1"/>
    <col min="15891" max="15891" width="10" style="1436" customWidth="1"/>
    <col min="15892" max="15892" width="26.125" style="1436" customWidth="1"/>
    <col min="15893" max="16128" width="8.875" style="1436"/>
    <col min="16129" max="16129" width="9.5" style="1436" customWidth="1"/>
    <col min="16130" max="16130" width="8.875" style="1436"/>
    <col min="16131" max="16133" width="12.875" style="1436" customWidth="1"/>
    <col min="16134" max="16134" width="47.5" style="1436" customWidth="1"/>
    <col min="16135" max="16135" width="13" style="1436" customWidth="1"/>
    <col min="16136" max="16137" width="8.875" style="1436"/>
    <col min="16138" max="16138" width="5.75" style="1436" customWidth="1"/>
    <col min="16139" max="16139" width="11.75" style="1436" customWidth="1"/>
    <col min="16140" max="16141" width="10.75" style="1436" customWidth="1"/>
    <col min="16142" max="16142" width="10" style="1436" customWidth="1"/>
    <col min="16143" max="16144" width="10.5" style="1436" customWidth="1"/>
    <col min="16145" max="16145" width="10" style="1436" customWidth="1"/>
    <col min="16146" max="16146" width="10.125" style="1436" customWidth="1"/>
    <col min="16147" max="16147" width="10" style="1436" customWidth="1"/>
    <col min="16148" max="16148" width="26.125" style="1436" customWidth="1"/>
    <col min="16149" max="16384" width="8.875" style="1436"/>
  </cols>
  <sheetData>
    <row r="1" spans="1:22" ht="21" customHeight="1">
      <c r="A1" s="1440" t="s">
        <v>1813</v>
      </c>
      <c r="B1" s="1441"/>
      <c r="C1" s="1442"/>
      <c r="D1" s="1442"/>
      <c r="E1" s="1443"/>
      <c r="F1" s="1444"/>
      <c r="G1" s="1445"/>
      <c r="J1" s="1544" t="s">
        <v>1814</v>
      </c>
      <c r="K1" s="1545"/>
      <c r="L1" s="1545"/>
      <c r="M1" s="1545"/>
      <c r="N1" s="1545"/>
      <c r="O1" s="1545"/>
      <c r="P1" s="1545"/>
      <c r="Q1" s="1545"/>
      <c r="R1" s="1582"/>
      <c r="S1" s="1504"/>
      <c r="T1" s="1504"/>
      <c r="U1" s="1504"/>
    </row>
    <row r="2" spans="1:22" s="1434" customFormat="1" ht="13.15" customHeight="1">
      <c r="A2" s="1446" t="s">
        <v>1612</v>
      </c>
      <c r="B2" s="1447" t="e">
        <f>C40</f>
        <v>#DIV/0!</v>
      </c>
      <c r="C2" s="1442" t="s">
        <v>1613</v>
      </c>
      <c r="D2" s="1442"/>
      <c r="E2" s="1448"/>
      <c r="F2" s="1449"/>
      <c r="G2" s="1450"/>
      <c r="H2" s="1451"/>
      <c r="I2" s="1535"/>
      <c r="J2" s="3384" t="s">
        <v>1815</v>
      </c>
      <c r="K2" s="3385"/>
      <c r="L2" s="1546" t="s">
        <v>1816</v>
      </c>
      <c r="M2" s="1546" t="s">
        <v>1817</v>
      </c>
      <c r="N2" s="1546" t="s">
        <v>1818</v>
      </c>
      <c r="O2" s="1546" t="s">
        <v>1819</v>
      </c>
      <c r="P2" s="1546" t="s">
        <v>1820</v>
      </c>
      <c r="Q2" s="1583" t="s">
        <v>1821</v>
      </c>
      <c r="R2" s="1584" t="s">
        <v>1822</v>
      </c>
      <c r="S2" s="1504"/>
      <c r="T2" s="1504"/>
      <c r="U2" s="1504"/>
      <c r="V2" s="1535"/>
    </row>
    <row r="3" spans="1:22" s="1434" customFormat="1" ht="13.15" customHeight="1">
      <c r="A3" s="1452" t="s">
        <v>1614</v>
      </c>
      <c r="B3" s="1453" t="e">
        <f>ROUND(B2*10000/B4,0)</f>
        <v>#DIV/0!</v>
      </c>
      <c r="C3" s="1442" t="s">
        <v>1615</v>
      </c>
      <c r="D3" s="1442"/>
      <c r="E3" s="1448"/>
      <c r="F3" s="1449"/>
      <c r="G3" s="1450"/>
      <c r="H3" s="1451"/>
      <c r="I3" s="1535"/>
      <c r="J3" s="3386" t="s">
        <v>1823</v>
      </c>
      <c r="K3" s="3387"/>
      <c r="L3" s="1547"/>
      <c r="M3" s="1547"/>
      <c r="N3" s="1547"/>
      <c r="O3" s="1547"/>
      <c r="P3" s="1547"/>
      <c r="Q3" s="1585"/>
      <c r="R3" s="1586">
        <f>SUM(L3:Q3)</f>
        <v>0</v>
      </c>
      <c r="S3" s="1504"/>
      <c r="T3" s="1504"/>
      <c r="U3" s="1504"/>
      <c r="V3" s="1535"/>
    </row>
    <row r="4" spans="1:22" s="1434" customFormat="1" ht="13.15" customHeight="1">
      <c r="A4" s="1454" t="s">
        <v>484</v>
      </c>
      <c r="B4" s="1455"/>
      <c r="C4" s="1442"/>
      <c r="D4" s="1442"/>
      <c r="E4" s="1448"/>
      <c r="F4" s="1449"/>
      <c r="G4" s="1450"/>
      <c r="H4" s="1451"/>
      <c r="I4" s="1535"/>
      <c r="J4" s="3386" t="s">
        <v>1824</v>
      </c>
      <c r="K4" s="3387"/>
      <c r="L4" s="1548"/>
      <c r="M4" s="1548"/>
      <c r="N4" s="1548"/>
      <c r="O4" s="1548"/>
      <c r="P4" s="1548"/>
      <c r="Q4" s="1587"/>
      <c r="R4" s="1588">
        <f>SUM(L4:Q4)</f>
        <v>0</v>
      </c>
      <c r="S4" s="1504"/>
      <c r="T4" s="1504"/>
      <c r="U4" s="1504"/>
      <c r="V4" s="1535"/>
    </row>
    <row r="5" spans="1:22" s="1434" customFormat="1" ht="13.15" customHeight="1">
      <c r="A5" s="1456" t="s">
        <v>1825</v>
      </c>
      <c r="B5" s="1457"/>
      <c r="C5" s="1442"/>
      <c r="D5" s="1458"/>
      <c r="E5" s="1449"/>
      <c r="F5" s="1449"/>
      <c r="G5" s="1450"/>
      <c r="H5" s="1451"/>
      <c r="I5" s="1535"/>
      <c r="J5" s="1549" t="s">
        <v>1826</v>
      </c>
      <c r="K5" s="1550"/>
      <c r="L5" s="1550"/>
      <c r="M5" s="1551"/>
      <c r="N5" s="1551"/>
      <c r="O5" s="1551"/>
      <c r="P5" s="1551"/>
      <c r="Q5" s="1551"/>
      <c r="R5" s="1584">
        <f>SUM(R14,R19,R24,R25,R27,R28)</f>
        <v>0</v>
      </c>
      <c r="S5" s="1504"/>
      <c r="T5" s="1504" t="s">
        <v>1827</v>
      </c>
      <c r="U5" s="1504" t="e">
        <f>ROUND(R5*10000/365/R3,1)</f>
        <v>#DIV/0!</v>
      </c>
      <c r="V5" s="1535"/>
    </row>
    <row r="6" spans="1:22" s="1434" customFormat="1" ht="13.15" customHeight="1">
      <c r="A6" s="3388" t="s">
        <v>1828</v>
      </c>
      <c r="B6" s="3389"/>
      <c r="C6" s="3390"/>
      <c r="D6" s="1459"/>
      <c r="E6" s="1460"/>
      <c r="F6" s="1461"/>
      <c r="G6" s="1462"/>
      <c r="H6" s="1451"/>
      <c r="I6" s="1535"/>
      <c r="J6" s="3397">
        <v>1</v>
      </c>
      <c r="K6" s="3400" t="s">
        <v>1829</v>
      </c>
      <c r="L6" s="1553" t="s">
        <v>1830</v>
      </c>
      <c r="M6" s="1554" t="s">
        <v>1831</v>
      </c>
      <c r="N6" s="1554" t="s">
        <v>1832</v>
      </c>
      <c r="O6" s="1554" t="s">
        <v>1833</v>
      </c>
      <c r="P6" s="1554" t="s">
        <v>1834</v>
      </c>
      <c r="Q6" s="1554" t="s">
        <v>1835</v>
      </c>
      <c r="R6" s="1586" t="s">
        <v>1836</v>
      </c>
      <c r="S6" s="1504"/>
      <c r="T6" s="1504" t="s">
        <v>1837</v>
      </c>
      <c r="U6" s="1504"/>
      <c r="V6" s="1535"/>
    </row>
    <row r="7" spans="1:22" s="1434" customFormat="1" ht="13.15" customHeight="1">
      <c r="A7" s="1463" t="s">
        <v>1838</v>
      </c>
      <c r="B7" s="1464"/>
      <c r="C7" s="1465"/>
      <c r="D7" s="1466">
        <f>SUM(D9,D10,D11,D17,0)</f>
        <v>0</v>
      </c>
      <c r="E7" s="1467" t="e">
        <f>E9+E10+E11+E17</f>
        <v>#DIV/0!</v>
      </c>
      <c r="F7" s="1468"/>
      <c r="G7" s="1469"/>
      <c r="H7" s="1451"/>
      <c r="I7" s="1535"/>
      <c r="J7" s="3397"/>
      <c r="K7" s="3401"/>
      <c r="L7" s="1555" t="s">
        <v>1839</v>
      </c>
      <c r="M7" s="1556"/>
      <c r="N7" s="1455"/>
      <c r="O7" s="1557"/>
      <c r="P7" s="1557"/>
      <c r="Q7" s="1488">
        <v>365</v>
      </c>
      <c r="R7" s="1589">
        <f>ROUND(M7*N7*O7*P7*Q7/10000,0)</f>
        <v>0</v>
      </c>
      <c r="S7" s="1504"/>
      <c r="T7" s="1504" t="s">
        <v>1840</v>
      </c>
      <c r="U7" s="1504"/>
      <c r="V7" s="1535"/>
    </row>
    <row r="8" spans="1:22" s="1434" customFormat="1" ht="13.15" customHeight="1">
      <c r="A8" s="1470" t="s">
        <v>1841</v>
      </c>
      <c r="B8" s="3391" t="s">
        <v>1842</v>
      </c>
      <c r="C8" s="3392"/>
      <c r="D8" s="1473" t="s">
        <v>1843</v>
      </c>
      <c r="E8" s="1474" t="s">
        <v>1844</v>
      </c>
      <c r="F8" s="1475" t="s">
        <v>1845</v>
      </c>
      <c r="G8" s="1476"/>
      <c r="H8" s="1451"/>
      <c r="I8" s="1535"/>
      <c r="J8" s="3397"/>
      <c r="K8" s="3401"/>
      <c r="L8" s="1555" t="s">
        <v>1846</v>
      </c>
      <c r="M8" s="1556"/>
      <c r="N8" s="1455"/>
      <c r="O8" s="1557"/>
      <c r="P8" s="1557"/>
      <c r="Q8" s="1488">
        <v>365</v>
      </c>
      <c r="R8" s="1589">
        <f t="shared" ref="R8:R13" si="0">ROUND(M8*N8*O8*P8*Q8/10000,0)</f>
        <v>0</v>
      </c>
      <c r="S8" s="1504"/>
      <c r="T8" s="1504" t="s">
        <v>1847</v>
      </c>
      <c r="U8" s="1504"/>
      <c r="V8" s="1535"/>
    </row>
    <row r="9" spans="1:22" s="1434" customFormat="1" ht="13.15" customHeight="1">
      <c r="A9" s="1470">
        <v>1</v>
      </c>
      <c r="B9" s="3391" t="s">
        <v>1848</v>
      </c>
      <c r="C9" s="3392"/>
      <c r="D9" s="1473">
        <f>ROUND(D6*E9,0)</f>
        <v>0</v>
      </c>
      <c r="E9" s="1477"/>
      <c r="F9" s="1478" t="s">
        <v>1849</v>
      </c>
      <c r="G9" s="1462"/>
      <c r="H9" s="1451"/>
      <c r="I9" s="1535"/>
      <c r="J9" s="3397"/>
      <c r="K9" s="3401"/>
      <c r="L9" s="1555" t="s">
        <v>1850</v>
      </c>
      <c r="M9" s="1556"/>
      <c r="N9" s="1455"/>
      <c r="O9" s="1557"/>
      <c r="P9" s="1557"/>
      <c r="Q9" s="1488">
        <v>365</v>
      </c>
      <c r="R9" s="1589">
        <f t="shared" si="0"/>
        <v>0</v>
      </c>
      <c r="S9" s="1504"/>
      <c r="T9" s="1504"/>
      <c r="U9" s="1504"/>
      <c r="V9" s="1535"/>
    </row>
    <row r="10" spans="1:22" s="1434" customFormat="1" ht="13.15" customHeight="1">
      <c r="A10" s="1470">
        <v>2</v>
      </c>
      <c r="B10" s="3391" t="s">
        <v>1851</v>
      </c>
      <c r="C10" s="3392"/>
      <c r="D10" s="1473">
        <f>ROUND(D6*E10,0)</f>
        <v>0</v>
      </c>
      <c r="E10" s="1477"/>
      <c r="F10" s="1478" t="s">
        <v>1852</v>
      </c>
      <c r="G10" s="1462"/>
      <c r="H10" s="1451"/>
      <c r="I10" s="1535"/>
      <c r="J10" s="3397"/>
      <c r="K10" s="3401"/>
      <c r="L10" s="1555" t="s">
        <v>1853</v>
      </c>
      <c r="M10" s="1556"/>
      <c r="N10" s="1455"/>
      <c r="O10" s="1557"/>
      <c r="P10" s="1557"/>
      <c r="Q10" s="1488">
        <v>365</v>
      </c>
      <c r="R10" s="1589">
        <f t="shared" si="0"/>
        <v>0</v>
      </c>
      <c r="S10" s="1504"/>
      <c r="T10" s="1504"/>
      <c r="U10" s="1504"/>
      <c r="V10" s="1535"/>
    </row>
    <row r="11" spans="1:22" s="1434" customFormat="1" ht="13.15" customHeight="1">
      <c r="A11" s="1470">
        <v>3</v>
      </c>
      <c r="B11" s="3391" t="s">
        <v>1854</v>
      </c>
      <c r="C11" s="3392"/>
      <c r="D11" s="1473">
        <f>D12+D14+D15+D16</f>
        <v>0</v>
      </c>
      <c r="E11" s="1479" t="e">
        <f>D11/D6</f>
        <v>#DIV/0!</v>
      </c>
      <c r="F11" s="1475"/>
      <c r="G11" s="1476"/>
      <c r="H11" s="1451"/>
      <c r="I11" s="1535"/>
      <c r="J11" s="3397"/>
      <c r="K11" s="3401"/>
      <c r="L11" s="1555" t="s">
        <v>1855</v>
      </c>
      <c r="M11" s="1556"/>
      <c r="N11" s="1455"/>
      <c r="O11" s="1557"/>
      <c r="P11" s="1557"/>
      <c r="Q11" s="1488">
        <v>365</v>
      </c>
      <c r="R11" s="1589">
        <f t="shared" si="0"/>
        <v>0</v>
      </c>
      <c r="S11" s="1504"/>
      <c r="T11" s="1504"/>
      <c r="U11" s="1504"/>
      <c r="V11" s="1535"/>
    </row>
    <row r="12" spans="1:22" s="1434" customFormat="1" ht="13.15" customHeight="1">
      <c r="A12" s="1480" t="s">
        <v>1856</v>
      </c>
      <c r="B12" s="3393" t="s">
        <v>1857</v>
      </c>
      <c r="C12" s="3394"/>
      <c r="D12" s="1483">
        <f>ROUND(D13*1.2%*(1-30%),0)</f>
        <v>0</v>
      </c>
      <c r="E12" s="1484">
        <v>1.2E-2</v>
      </c>
      <c r="F12" s="1475" t="s">
        <v>1858</v>
      </c>
      <c r="G12" s="1476"/>
      <c r="H12" s="1451"/>
      <c r="I12" s="1535"/>
      <c r="J12" s="3397"/>
      <c r="K12" s="3401"/>
      <c r="L12" s="1555" t="s">
        <v>1859</v>
      </c>
      <c r="M12" s="1556"/>
      <c r="N12" s="1455"/>
      <c r="O12" s="1557"/>
      <c r="P12" s="1557"/>
      <c r="Q12" s="1488">
        <v>365</v>
      </c>
      <c r="R12" s="1589">
        <f t="shared" si="0"/>
        <v>0</v>
      </c>
      <c r="S12" s="1504"/>
      <c r="T12" s="1504"/>
      <c r="U12" s="1504"/>
      <c r="V12" s="1535"/>
    </row>
    <row r="13" spans="1:22" s="1434" customFormat="1" ht="13.15" customHeight="1">
      <c r="A13" s="1480"/>
      <c r="B13" s="1481"/>
      <c r="C13" s="1485" t="s">
        <v>1860</v>
      </c>
      <c r="D13" s="1486"/>
      <c r="E13" s="1487"/>
      <c r="F13" s="1475"/>
      <c r="G13" s="1476"/>
      <c r="H13" s="1451"/>
      <c r="I13" s="1535"/>
      <c r="J13" s="3397"/>
      <c r="K13" s="3401"/>
      <c r="L13" s="1555" t="s">
        <v>1861</v>
      </c>
      <c r="M13" s="1556"/>
      <c r="N13" s="1455"/>
      <c r="O13" s="1557"/>
      <c r="P13" s="1557"/>
      <c r="Q13" s="1488">
        <v>365</v>
      </c>
      <c r="R13" s="1589">
        <f t="shared" si="0"/>
        <v>0</v>
      </c>
      <c r="S13" s="1504"/>
      <c r="T13" s="1504"/>
      <c r="U13" s="1504"/>
      <c r="V13" s="1535"/>
    </row>
    <row r="14" spans="1:22" s="1434" customFormat="1" ht="13.15" customHeight="1">
      <c r="A14" s="1480" t="s">
        <v>1862</v>
      </c>
      <c r="B14" s="3393" t="s">
        <v>1863</v>
      </c>
      <c r="C14" s="3394"/>
      <c r="D14" s="1483">
        <f>ROUND(E14*B5/10000,0)</f>
        <v>0</v>
      </c>
      <c r="E14" s="1488"/>
      <c r="F14" s="1475" t="s">
        <v>1864</v>
      </c>
      <c r="G14" s="1476"/>
      <c r="H14" s="1451"/>
      <c r="I14" s="1535"/>
      <c r="J14" s="3397"/>
      <c r="K14" s="3402"/>
      <c r="L14" s="1558" t="s">
        <v>1865</v>
      </c>
      <c r="M14" s="1559">
        <f>SUM(M7:M13)</f>
        <v>0</v>
      </c>
      <c r="N14" s="1559" t="e">
        <f>ROUND((N7*M7+N8*M8+N9*M9+N10*M10+N11*M11+N12*M12+N13*M13)/M14,0)</f>
        <v>#DIV/0!</v>
      </c>
      <c r="O14" s="1560"/>
      <c r="P14" s="1560"/>
      <c r="Q14" s="1590"/>
      <c r="R14" s="1584">
        <f>SUM(R7:R13)</f>
        <v>0</v>
      </c>
      <c r="S14" s="1504"/>
      <c r="T14" s="1504"/>
      <c r="U14" s="1504"/>
      <c r="V14" s="1535"/>
    </row>
    <row r="15" spans="1:22" s="1434" customFormat="1" ht="13.15" customHeight="1">
      <c r="A15" s="1480" t="s">
        <v>1866</v>
      </c>
      <c r="B15" s="3393" t="s">
        <v>1867</v>
      </c>
      <c r="C15" s="3394"/>
      <c r="D15" s="1483">
        <f>ROUND(D6*E15,0)</f>
        <v>0</v>
      </c>
      <c r="E15" s="1484">
        <v>5.5E-2</v>
      </c>
      <c r="F15" s="1475" t="s">
        <v>1868</v>
      </c>
      <c r="G15" s="1462"/>
      <c r="H15" s="1451"/>
      <c r="I15" s="1535"/>
      <c r="J15" s="3397">
        <v>2</v>
      </c>
      <c r="K15" s="3400" t="s">
        <v>1869</v>
      </c>
      <c r="L15" s="1555" t="s">
        <v>1870</v>
      </c>
      <c r="M15" s="1556" t="s">
        <v>1871</v>
      </c>
      <c r="N15" s="1556" t="s">
        <v>1872</v>
      </c>
      <c r="O15" s="1557" t="s">
        <v>1873</v>
      </c>
      <c r="P15" s="1557" t="s">
        <v>1835</v>
      </c>
      <c r="Q15" s="1455" t="s">
        <v>124</v>
      </c>
      <c r="R15" s="1591" t="s">
        <v>1836</v>
      </c>
      <c r="S15" s="1504"/>
      <c r="T15" s="1504"/>
      <c r="U15" s="1504"/>
      <c r="V15" s="1535"/>
    </row>
    <row r="16" spans="1:22" s="1434" customFormat="1" ht="13.15" customHeight="1">
      <c r="A16" s="1480" t="s">
        <v>1874</v>
      </c>
      <c r="B16" s="3393" t="s">
        <v>1875</v>
      </c>
      <c r="C16" s="3394"/>
      <c r="D16" s="1489">
        <f>D6*E16</f>
        <v>0</v>
      </c>
      <c r="E16" s="1490"/>
      <c r="F16" s="1478" t="s">
        <v>1876</v>
      </c>
      <c r="G16" s="1462"/>
      <c r="H16" s="1451"/>
      <c r="I16" s="1535"/>
      <c r="J16" s="3397"/>
      <c r="K16" s="3401"/>
      <c r="L16" s="1555" t="s">
        <v>1877</v>
      </c>
      <c r="M16" s="1556"/>
      <c r="N16" s="1556"/>
      <c r="O16" s="1557"/>
      <c r="P16" s="1488">
        <v>365</v>
      </c>
      <c r="Q16" s="1455"/>
      <c r="R16" s="1591">
        <f>ROUND(M16*N16*O16*P16/10000,0)</f>
        <v>0</v>
      </c>
      <c r="S16" s="1504"/>
      <c r="T16" s="1504"/>
      <c r="U16" s="1504"/>
      <c r="V16" s="1535"/>
    </row>
    <row r="17" spans="1:22" s="1434" customFormat="1" ht="13.15" customHeight="1">
      <c r="A17" s="1491">
        <v>4</v>
      </c>
      <c r="B17" s="3395" t="s">
        <v>1878</v>
      </c>
      <c r="C17" s="3396"/>
      <c r="D17" s="1492">
        <f>ROUND(D6*E17,0)</f>
        <v>0</v>
      </c>
      <c r="E17" s="1493"/>
      <c r="F17" s="1494" t="s">
        <v>1879</v>
      </c>
      <c r="G17" s="1462"/>
      <c r="H17" s="1451"/>
      <c r="I17" s="1535"/>
      <c r="J17" s="3397"/>
      <c r="K17" s="3401"/>
      <c r="L17" s="1555" t="s">
        <v>1880</v>
      </c>
      <c r="M17" s="1556"/>
      <c r="N17" s="1556"/>
      <c r="O17" s="1557"/>
      <c r="P17" s="1488">
        <v>365</v>
      </c>
      <c r="Q17" s="1455"/>
      <c r="R17" s="1591">
        <f>ROUND(M17*N17*O17*P17/10000,0)</f>
        <v>0</v>
      </c>
      <c r="S17" s="1504"/>
      <c r="T17" s="1504"/>
      <c r="U17" s="1504"/>
      <c r="V17" s="1535"/>
    </row>
    <row r="18" spans="1:22" s="1434" customFormat="1" ht="13.15" customHeight="1">
      <c r="A18" s="1463" t="s">
        <v>1881</v>
      </c>
      <c r="B18" s="1464"/>
      <c r="C18" s="1464"/>
      <c r="D18" s="1495">
        <f>ROUND(D6*E18,0)</f>
        <v>0</v>
      </c>
      <c r="E18" s="1496"/>
      <c r="F18" s="1497" t="s">
        <v>1882</v>
      </c>
      <c r="G18" s="1462"/>
      <c r="H18" s="1451"/>
      <c r="I18" s="1535"/>
      <c r="J18" s="3397"/>
      <c r="K18" s="3401"/>
      <c r="L18" s="1555" t="s">
        <v>1883</v>
      </c>
      <c r="M18" s="1556"/>
      <c r="N18" s="1556"/>
      <c r="O18" s="1557"/>
      <c r="P18" s="1488">
        <v>365</v>
      </c>
      <c r="Q18" s="1455"/>
      <c r="R18" s="1591">
        <f>ROUND(M18*N18*O18*P18/10000,0)</f>
        <v>0</v>
      </c>
      <c r="S18" s="1504"/>
      <c r="T18" s="1504"/>
      <c r="U18" s="1504"/>
      <c r="V18" s="1535"/>
    </row>
    <row r="19" spans="1:22" s="1434" customFormat="1" ht="13.15" customHeight="1">
      <c r="A19" s="1498" t="s">
        <v>1884</v>
      </c>
      <c r="B19" s="1460"/>
      <c r="C19" s="1460"/>
      <c r="D19" s="1460"/>
      <c r="E19" s="1460"/>
      <c r="F19" s="1461"/>
      <c r="G19" s="1476"/>
      <c r="H19" s="1451"/>
      <c r="I19" s="1535"/>
      <c r="J19" s="3397"/>
      <c r="K19" s="3402"/>
      <c r="L19" s="1558" t="s">
        <v>1865</v>
      </c>
      <c r="M19" s="1559"/>
      <c r="N19" s="1559">
        <f>SUM(N16:N18)</f>
        <v>0</v>
      </c>
      <c r="O19" s="1560"/>
      <c r="P19" s="1561" t="s">
        <v>1885</v>
      </c>
      <c r="Q19" s="1557">
        <v>0</v>
      </c>
      <c r="R19" s="1592">
        <f>ROUND(IF(P19="按比例",R14*Q19,SUM(R16:R18)),0)</f>
        <v>0</v>
      </c>
      <c r="S19" s="1504"/>
      <c r="T19" s="1504"/>
      <c r="U19" s="1504"/>
      <c r="V19" s="1535"/>
    </row>
    <row r="20" spans="1:22" s="1434" customFormat="1" ht="13.15" customHeight="1">
      <c r="A20" s="1463"/>
      <c r="B20" s="1464"/>
      <c r="C20" s="1464"/>
      <c r="D20" s="1464"/>
      <c r="E20" s="1464"/>
      <c r="F20" s="1499"/>
      <c r="G20" s="1476"/>
      <c r="H20" s="1451"/>
      <c r="I20" s="1535"/>
      <c r="J20" s="3397">
        <v>3</v>
      </c>
      <c r="K20" s="3400" t="s">
        <v>1886</v>
      </c>
      <c r="L20" s="1555" t="s">
        <v>1887</v>
      </c>
      <c r="M20" s="1556" t="s">
        <v>1888</v>
      </c>
      <c r="N20" s="1562" t="s">
        <v>1889</v>
      </c>
      <c r="O20" s="1557" t="s">
        <v>1890</v>
      </c>
      <c r="P20" s="1488" t="s">
        <v>1835</v>
      </c>
      <c r="Q20" s="1455" t="s">
        <v>124</v>
      </c>
      <c r="R20" s="1591" t="s">
        <v>1836</v>
      </c>
      <c r="S20" s="1504"/>
      <c r="T20" s="1504"/>
      <c r="U20" s="1504"/>
      <c r="V20" s="1535"/>
    </row>
    <row r="21" spans="1:22" s="1434" customFormat="1" ht="13.15" customHeight="1">
      <c r="A21" s="1463"/>
      <c r="B21" s="1464"/>
      <c r="C21" s="1471" t="s">
        <v>1891</v>
      </c>
      <c r="D21" s="1500" t="s">
        <v>1892</v>
      </c>
      <c r="E21" s="1472" t="s">
        <v>1893</v>
      </c>
      <c r="F21" s="1499"/>
      <c r="G21" s="1476"/>
      <c r="H21" s="1451"/>
      <c r="I21" s="1535"/>
      <c r="J21" s="3397"/>
      <c r="K21" s="3401"/>
      <c r="L21" s="1555" t="s">
        <v>1894</v>
      </c>
      <c r="M21" s="1556"/>
      <c r="N21" s="1556"/>
      <c r="O21" s="1557"/>
      <c r="P21" s="1488">
        <v>365</v>
      </c>
      <c r="Q21" s="1455"/>
      <c r="R21" s="1593">
        <f>ROUND(M21*N21*O21*P21/10000,0)</f>
        <v>0</v>
      </c>
      <c r="S21" s="1504"/>
      <c r="T21" s="1504"/>
      <c r="U21" s="1504"/>
      <c r="V21" s="1535"/>
    </row>
    <row r="22" spans="1:22" s="1434" customFormat="1" ht="13.15" customHeight="1">
      <c r="A22" s="1463"/>
      <c r="B22" s="1464"/>
      <c r="C22" s="1501" t="s">
        <v>1895</v>
      </c>
      <c r="D22" s="1502" t="s">
        <v>1896</v>
      </c>
      <c r="E22" s="1503" t="s">
        <v>1897</v>
      </c>
      <c r="F22" s="1499"/>
      <c r="G22" s="1504"/>
      <c r="H22" s="1451"/>
      <c r="I22" s="1535"/>
      <c r="J22" s="3397"/>
      <c r="K22" s="3401"/>
      <c r="L22" s="1555" t="s">
        <v>1898</v>
      </c>
      <c r="M22" s="1556"/>
      <c r="N22" s="1556"/>
      <c r="O22" s="1557"/>
      <c r="P22" s="1488">
        <v>365</v>
      </c>
      <c r="Q22" s="1455"/>
      <c r="R22" s="1593">
        <f>ROUND(M22*N22*O22*P22/10000,0)</f>
        <v>0</v>
      </c>
      <c r="S22" s="1504"/>
      <c r="T22" s="1504"/>
      <c r="U22" s="1504"/>
      <c r="V22" s="1535"/>
    </row>
    <row r="23" spans="1:22" s="1434" customFormat="1" ht="13.15" customHeight="1">
      <c r="A23" s="1505">
        <v>1</v>
      </c>
      <c r="B23" s="1506" t="s">
        <v>1899</v>
      </c>
      <c r="C23" s="1507">
        <f>D6</f>
        <v>0</v>
      </c>
      <c r="D23" s="1508">
        <f>C23*(1+D24)</f>
        <v>0</v>
      </c>
      <c r="E23" s="1509">
        <f>D23*(1+E24)</f>
        <v>0</v>
      </c>
      <c r="F23" s="1510"/>
      <c r="G23" s="1511"/>
      <c r="H23" s="1451"/>
      <c r="I23" s="1535"/>
      <c r="J23" s="3397"/>
      <c r="K23" s="3401"/>
      <c r="L23" s="1555" t="s">
        <v>1900</v>
      </c>
      <c r="M23" s="1556"/>
      <c r="N23" s="1556"/>
      <c r="O23" s="1557"/>
      <c r="P23" s="1488">
        <v>365</v>
      </c>
      <c r="Q23" s="1455"/>
      <c r="R23" s="1593">
        <f>ROUND(M23*N23*O23*P23/10000,0)</f>
        <v>0</v>
      </c>
      <c r="S23" s="1504"/>
      <c r="T23" s="1504"/>
      <c r="U23" s="1504"/>
      <c r="V23" s="1535"/>
    </row>
    <row r="24" spans="1:22" s="1434" customFormat="1" ht="13.15" customHeight="1">
      <c r="A24" s="1512"/>
      <c r="B24" s="1513" t="s">
        <v>1901</v>
      </c>
      <c r="C24" s="1514"/>
      <c r="D24" s="1515"/>
      <c r="E24" s="1516"/>
      <c r="F24" s="1517"/>
      <c r="G24" s="1511"/>
      <c r="H24" s="1451"/>
      <c r="I24" s="1535"/>
      <c r="J24" s="3397"/>
      <c r="K24" s="3402"/>
      <c r="L24" s="1558" t="s">
        <v>1865</v>
      </c>
      <c r="M24" s="1559">
        <f>SUM(M21:M23)</f>
        <v>0</v>
      </c>
      <c r="N24" s="1559"/>
      <c r="O24" s="1560"/>
      <c r="P24" s="1561" t="s">
        <v>1885</v>
      </c>
      <c r="Q24" s="1557">
        <v>0</v>
      </c>
      <c r="R24" s="1592">
        <f>ROUND(IF(P24="按比例",R14*Q24,SUM(R21:R23)),0)</f>
        <v>0</v>
      </c>
      <c r="S24" s="1504"/>
      <c r="T24" s="1504"/>
      <c r="U24" s="1504"/>
      <c r="V24" s="1535"/>
    </row>
    <row r="25" spans="1:22" s="1435" customFormat="1" ht="13.15" customHeight="1">
      <c r="A25" s="1512"/>
      <c r="B25" s="1513"/>
      <c r="C25" s="1514"/>
      <c r="D25" s="1515"/>
      <c r="E25" s="1516"/>
      <c r="F25" s="1517"/>
      <c r="G25" s="1504"/>
      <c r="H25" s="1451"/>
      <c r="I25" s="1535"/>
      <c r="J25" s="1552">
        <v>4</v>
      </c>
      <c r="K25" s="1563" t="s">
        <v>1902</v>
      </c>
      <c r="L25" s="1564"/>
      <c r="M25" s="1564"/>
      <c r="N25" s="1564"/>
      <c r="O25" s="1564"/>
      <c r="P25" s="1565"/>
      <c r="Q25" s="1594">
        <v>0</v>
      </c>
      <c r="R25" s="1592">
        <f>ROUND(R14*Q25,0)</f>
        <v>0</v>
      </c>
      <c r="S25" s="1504"/>
      <c r="T25" s="1504"/>
      <c r="U25" s="1504"/>
      <c r="V25" s="1571"/>
    </row>
    <row r="26" spans="1:22" s="1435" customFormat="1" ht="13.15" customHeight="1">
      <c r="A26" s="1505">
        <v>2</v>
      </c>
      <c r="B26" s="1506" t="s">
        <v>1903</v>
      </c>
      <c r="C26" s="1507">
        <f>D7</f>
        <v>0</v>
      </c>
      <c r="D26" s="1508">
        <f>D23*D27</f>
        <v>0</v>
      </c>
      <c r="E26" s="1509">
        <f>E23*E27</f>
        <v>0</v>
      </c>
      <c r="F26" s="1510"/>
      <c r="G26" s="1511"/>
      <c r="H26" s="1451"/>
      <c r="I26" s="1535"/>
      <c r="J26" s="3398">
        <v>5</v>
      </c>
      <c r="K26" s="1566" t="s">
        <v>1904</v>
      </c>
      <c r="L26" s="1567"/>
      <c r="M26" s="1568"/>
      <c r="N26" s="1569" t="s">
        <v>362</v>
      </c>
      <c r="O26" s="1569" t="s">
        <v>1905</v>
      </c>
      <c r="P26" s="1570" t="s">
        <v>1906</v>
      </c>
      <c r="Q26" s="1570" t="s">
        <v>1907</v>
      </c>
      <c r="R26" s="1586" t="s">
        <v>1836</v>
      </c>
      <c r="S26" s="1476"/>
      <c r="T26" s="1476"/>
      <c r="U26" s="1476"/>
      <c r="V26" s="1571"/>
    </row>
    <row r="27" spans="1:22" s="1434" customFormat="1" ht="13.15" customHeight="1">
      <c r="A27" s="1512"/>
      <c r="B27" s="1513" t="s">
        <v>1908</v>
      </c>
      <c r="C27" s="1518" t="e">
        <f>E7</f>
        <v>#DIV/0!</v>
      </c>
      <c r="D27" s="1515"/>
      <c r="E27" s="1516"/>
      <c r="F27" s="1517"/>
      <c r="G27" s="1511"/>
      <c r="H27" s="1519"/>
      <c r="I27" s="1571"/>
      <c r="J27" s="3399"/>
      <c r="K27" s="1572"/>
      <c r="L27" s="1573"/>
      <c r="M27" s="1574"/>
      <c r="N27" s="1575"/>
      <c r="O27" s="1575"/>
      <c r="P27" s="1575"/>
      <c r="Q27" s="1595"/>
      <c r="R27" s="1592">
        <f>ROUND(O27*N27*P27*(1-Q27)/10000,0)</f>
        <v>0</v>
      </c>
      <c r="S27" s="1504"/>
      <c r="T27" s="1504"/>
      <c r="U27" s="1504"/>
      <c r="V27" s="1535"/>
    </row>
    <row r="28" spans="1:22" s="1435" customFormat="1" ht="13.15" customHeight="1">
      <c r="A28" s="1512"/>
      <c r="B28" s="1513"/>
      <c r="C28" s="1518"/>
      <c r="D28" s="1515"/>
      <c r="E28" s="1516" t="s">
        <v>1909</v>
      </c>
      <c r="F28" s="1517"/>
      <c r="G28" s="1504"/>
      <c r="H28" s="1519"/>
      <c r="I28" s="1571"/>
      <c r="J28" s="1576">
        <v>6</v>
      </c>
      <c r="K28" s="1577" t="s">
        <v>1910</v>
      </c>
      <c r="L28" s="1578" t="s">
        <v>1911</v>
      </c>
      <c r="M28" s="1579"/>
      <c r="N28" s="1578" t="s">
        <v>1912</v>
      </c>
      <c r="O28" s="1580"/>
      <c r="P28" s="1578" t="s">
        <v>1913</v>
      </c>
      <c r="Q28" s="1596">
        <v>1.4999999999999999E-2</v>
      </c>
      <c r="R28" s="1597"/>
      <c r="S28" s="1504"/>
      <c r="T28" s="1504"/>
      <c r="U28" s="1504"/>
      <c r="V28" s="1571"/>
    </row>
    <row r="29" spans="1:22" s="1435" customFormat="1" ht="13.15" customHeight="1">
      <c r="A29" s="1505">
        <v>3</v>
      </c>
      <c r="B29" s="1506" t="s">
        <v>1914</v>
      </c>
      <c r="C29" s="1507">
        <f>C23*C30</f>
        <v>0</v>
      </c>
      <c r="D29" s="1508">
        <f>D23*C30</f>
        <v>0</v>
      </c>
      <c r="E29" s="1509">
        <f>E23*C30</f>
        <v>0</v>
      </c>
      <c r="F29" s="1510"/>
      <c r="G29" s="1511"/>
      <c r="H29" s="1451"/>
      <c r="I29" s="1535"/>
      <c r="J29" s="1504"/>
      <c r="K29" s="1504"/>
      <c r="L29" s="1504"/>
      <c r="M29" s="1504"/>
      <c r="N29" s="1504"/>
      <c r="O29" s="1504"/>
      <c r="P29" s="1504"/>
      <c r="Q29" s="1504"/>
      <c r="R29" s="1504"/>
      <c r="S29" s="1504"/>
      <c r="T29" s="1504"/>
      <c r="U29" s="1504"/>
      <c r="V29" s="1571"/>
    </row>
    <row r="30" spans="1:22" s="1434" customFormat="1" ht="13.15" customHeight="1">
      <c r="A30" s="1512"/>
      <c r="B30" s="1513" t="s">
        <v>1908</v>
      </c>
      <c r="C30" s="1518">
        <f>E18</f>
        <v>0</v>
      </c>
      <c r="D30" s="1520"/>
      <c r="E30" s="1487"/>
      <c r="F30" s="1517"/>
      <c r="G30" s="1511"/>
      <c r="H30" s="1519"/>
      <c r="I30" s="1571"/>
      <c r="J30" s="1504"/>
      <c r="K30" s="1504"/>
      <c r="L30" s="1504"/>
      <c r="M30" s="1504"/>
      <c r="N30" s="1504"/>
      <c r="O30" s="1504"/>
      <c r="P30" s="1504"/>
      <c r="Q30" s="1504"/>
      <c r="R30" s="1504"/>
      <c r="S30" s="1504"/>
      <c r="T30" s="1504"/>
      <c r="U30" s="1504"/>
      <c r="V30" s="1535"/>
    </row>
    <row r="31" spans="1:22" s="1435" customFormat="1" ht="13.15" customHeight="1">
      <c r="A31" s="1512"/>
      <c r="B31" s="1513"/>
      <c r="C31" s="1521"/>
      <c r="D31" s="1520"/>
      <c r="E31" s="1487"/>
      <c r="F31" s="1517"/>
      <c r="G31" s="1504"/>
      <c r="H31" s="1519"/>
      <c r="I31" s="1571"/>
      <c r="J31" s="1544" t="s">
        <v>1915</v>
      </c>
      <c r="K31" s="1545"/>
      <c r="L31" s="1545"/>
      <c r="M31" s="1545"/>
      <c r="N31" s="1545"/>
      <c r="O31" s="1545"/>
      <c r="P31" s="1545"/>
      <c r="Q31" s="1545"/>
      <c r="R31" s="1582"/>
      <c r="S31" s="1504"/>
      <c r="T31" s="1504"/>
      <c r="U31" s="1504"/>
      <c r="V31" s="1571"/>
    </row>
    <row r="32" spans="1:22" s="1435" customFormat="1" ht="13.15" customHeight="1">
      <c r="A32" s="1505">
        <v>4</v>
      </c>
      <c r="B32" s="1506" t="s">
        <v>1916</v>
      </c>
      <c r="C32" s="1507">
        <f>C23-C26-C29</f>
        <v>0</v>
      </c>
      <c r="D32" s="1508">
        <f>D23-D26-D29</f>
        <v>0</v>
      </c>
      <c r="E32" s="1509">
        <f>E23-E26-E29</f>
        <v>0</v>
      </c>
      <c r="F32" s="1510"/>
      <c r="G32" s="1504"/>
      <c r="H32" s="1451"/>
      <c r="I32" s="1535"/>
      <c r="J32" s="3384" t="s">
        <v>1815</v>
      </c>
      <c r="K32" s="3385"/>
      <c r="L32" s="1546" t="s">
        <v>1816</v>
      </c>
      <c r="M32" s="1546" t="s">
        <v>1817</v>
      </c>
      <c r="N32" s="1546" t="s">
        <v>1818</v>
      </c>
      <c r="O32" s="1546" t="s">
        <v>1819</v>
      </c>
      <c r="P32" s="1546" t="s">
        <v>1820</v>
      </c>
      <c r="Q32" s="1583" t="s">
        <v>1821</v>
      </c>
      <c r="R32" s="1598" t="s">
        <v>1822</v>
      </c>
      <c r="S32" s="1504"/>
      <c r="T32" s="1504"/>
      <c r="U32" s="1504"/>
      <c r="V32" s="1571"/>
    </row>
    <row r="33" spans="1:23" s="1434" customFormat="1" ht="13.15" customHeight="1">
      <c r="A33" s="1505"/>
      <c r="B33" s="1506"/>
      <c r="C33" s="1507"/>
      <c r="D33" s="1522"/>
      <c r="E33" s="1482"/>
      <c r="F33" s="1510"/>
      <c r="G33" s="1504"/>
      <c r="H33" s="1519"/>
      <c r="I33" s="1571"/>
      <c r="J33" s="3386" t="s">
        <v>1823</v>
      </c>
      <c r="K33" s="3387"/>
      <c r="L33" s="1547"/>
      <c r="M33" s="1547"/>
      <c r="N33" s="1547"/>
      <c r="O33" s="1547"/>
      <c r="P33" s="1547"/>
      <c r="Q33" s="1585"/>
      <c r="R33" s="1599">
        <f>SUM(L33:Q33)</f>
        <v>0</v>
      </c>
      <c r="S33" s="1504"/>
      <c r="T33" s="1504"/>
      <c r="U33" s="1504"/>
      <c r="V33" s="1535"/>
    </row>
    <row r="34" spans="1:23" s="1434" customFormat="1" ht="13.15" customHeight="1">
      <c r="A34" s="1505">
        <v>5</v>
      </c>
      <c r="B34" s="1506" t="s">
        <v>1917</v>
      </c>
      <c r="C34" s="1523"/>
      <c r="D34" s="1524"/>
      <c r="E34" s="1525"/>
      <c r="F34" s="1510"/>
      <c r="G34" s="1504"/>
      <c r="H34" s="1519"/>
      <c r="I34" s="1571"/>
      <c r="J34" s="3386" t="s">
        <v>1824</v>
      </c>
      <c r="K34" s="3387"/>
      <c r="L34" s="1548"/>
      <c r="M34" s="1548"/>
      <c r="N34" s="1548"/>
      <c r="O34" s="1548"/>
      <c r="P34" s="1548"/>
      <c r="Q34" s="1587"/>
      <c r="R34" s="1600">
        <f>SUM(L34:Q34)</f>
        <v>0</v>
      </c>
      <c r="S34" s="1504"/>
      <c r="T34" s="1504"/>
      <c r="U34" s="1504" t="e">
        <f>ROUND(R35*10000/365/R33,1)</f>
        <v>#DIV/0!</v>
      </c>
      <c r="V34" s="1535"/>
    </row>
    <row r="35" spans="1:23" s="1434" customFormat="1" ht="13.15" customHeight="1">
      <c r="A35" s="1505">
        <v>6</v>
      </c>
      <c r="B35" s="1506" t="s">
        <v>1918</v>
      </c>
      <c r="C35" s="1526"/>
      <c r="D35" s="1527"/>
      <c r="E35" s="1528"/>
      <c r="F35" s="1510"/>
      <c r="G35" s="1529"/>
      <c r="H35" s="1451"/>
      <c r="I35" s="1571"/>
      <c r="J35" s="1549" t="s">
        <v>1826</v>
      </c>
      <c r="K35" s="1550"/>
      <c r="L35" s="1550"/>
      <c r="M35" s="1551"/>
      <c r="N35" s="1551"/>
      <c r="O35" s="1551"/>
      <c r="P35" s="1551"/>
      <c r="Q35" s="1551"/>
      <c r="R35" s="1601">
        <f>R40+R41+R43</f>
        <v>0</v>
      </c>
      <c r="S35" s="1504"/>
      <c r="T35" s="1504" t="s">
        <v>1827</v>
      </c>
      <c r="U35" s="1504"/>
      <c r="V35" s="1535"/>
    </row>
    <row r="36" spans="1:23" s="1434" customFormat="1" ht="13.15" customHeight="1">
      <c r="A36" s="1505">
        <v>7</v>
      </c>
      <c r="B36" s="1530" t="s">
        <v>1919</v>
      </c>
      <c r="C36" s="1531"/>
      <c r="D36" s="1532"/>
      <c r="E36" s="1533"/>
      <c r="F36" s="1534">
        <f>C36+D36+E36</f>
        <v>0</v>
      </c>
      <c r="G36" s="1504"/>
      <c r="H36" s="1451"/>
      <c r="I36" s="1535"/>
      <c r="J36" s="3397">
        <v>1</v>
      </c>
      <c r="K36" s="3400" t="s">
        <v>1920</v>
      </c>
      <c r="L36" s="1553"/>
      <c r="M36" s="1554"/>
      <c r="N36" s="1554"/>
      <c r="O36" s="1554"/>
      <c r="P36" s="1554"/>
      <c r="Q36" s="1554"/>
      <c r="R36" s="1586" t="s">
        <v>1836</v>
      </c>
      <c r="S36" s="1504"/>
      <c r="T36" s="1504" t="s">
        <v>1837</v>
      </c>
      <c r="U36" s="1504"/>
      <c r="V36" s="1535"/>
    </row>
    <row r="37" spans="1:23" s="1434" customFormat="1" ht="13.15" customHeight="1">
      <c r="A37" s="1505"/>
      <c r="B37" s="1506"/>
      <c r="C37" s="1506"/>
      <c r="D37" s="1506"/>
      <c r="E37" s="1506"/>
      <c r="F37" s="1510"/>
      <c r="G37" s="1504"/>
      <c r="H37" s="1451"/>
      <c r="I37" s="1535"/>
      <c r="J37" s="3397"/>
      <c r="K37" s="3401"/>
      <c r="L37" s="1555"/>
      <c r="M37" s="1556"/>
      <c r="N37" s="1455"/>
      <c r="O37" s="1557"/>
      <c r="P37" s="1557"/>
      <c r="Q37" s="1488"/>
      <c r="R37" s="1589"/>
      <c r="S37" s="1504"/>
      <c r="T37" s="1504" t="s">
        <v>1840</v>
      </c>
      <c r="U37" s="1504"/>
      <c r="V37" s="1535"/>
    </row>
    <row r="38" spans="1:23" s="1434" customFormat="1" ht="13.15" customHeight="1">
      <c r="A38" s="1505">
        <v>8</v>
      </c>
      <c r="B38" s="1506"/>
      <c r="C38" s="1473" t="e">
        <f>ROUND(C32*(1-((1+C35)/(1+C34))^C36)/(C34-C35),0)</f>
        <v>#DIV/0!</v>
      </c>
      <c r="D38" s="1473">
        <f>IF(D23=0,0,ROUND(D32*(1-((1+D35)/(1+D34))^D36)/(D34-D35),0))</f>
        <v>0</v>
      </c>
      <c r="E38" s="1473">
        <f>IF(E23=0,0,ROUND(E32*(1-((1+E35)/(1+E34))^E36)/(E34-E35),0))</f>
        <v>0</v>
      </c>
      <c r="F38" s="1510"/>
      <c r="G38" s="1504"/>
      <c r="H38" s="1451"/>
      <c r="I38" s="1535"/>
      <c r="J38" s="3397"/>
      <c r="K38" s="3401"/>
      <c r="L38" s="1555"/>
      <c r="M38" s="1556"/>
      <c r="N38" s="1455"/>
      <c r="O38" s="1557"/>
      <c r="P38" s="1557"/>
      <c r="Q38" s="1488"/>
      <c r="R38" s="1589"/>
      <c r="S38" s="1504"/>
      <c r="T38" s="1504" t="s">
        <v>1847</v>
      </c>
      <c r="U38" s="1504"/>
      <c r="V38" s="1535"/>
    </row>
    <row r="39" spans="1:23" s="1434" customFormat="1" ht="13.15" customHeight="1">
      <c r="A39" s="1505">
        <v>9</v>
      </c>
      <c r="B39" s="1506" t="s">
        <v>1921</v>
      </c>
      <c r="C39" s="1483" t="e">
        <f>C38</f>
        <v>#DIV/0!</v>
      </c>
      <c r="D39" s="1506">
        <f>D38/(1+D34)^C36</f>
        <v>0</v>
      </c>
      <c r="E39" s="1506">
        <f>E38/(1+E34)^(C36+D36)</f>
        <v>0</v>
      </c>
      <c r="F39" s="1510"/>
      <c r="G39" s="1535"/>
      <c r="H39" s="1451"/>
      <c r="I39" s="1535"/>
      <c r="J39" s="3397"/>
      <c r="K39" s="3401"/>
      <c r="L39" s="1555"/>
      <c r="M39" s="1556"/>
      <c r="N39" s="1455"/>
      <c r="O39" s="1557"/>
      <c r="P39" s="1557"/>
      <c r="Q39" s="1488"/>
      <c r="R39" s="1589"/>
      <c r="S39" s="1504"/>
      <c r="T39" s="1504"/>
      <c r="U39" s="1504"/>
      <c r="V39" s="1535"/>
    </row>
    <row r="40" spans="1:23" s="1434" customFormat="1" ht="13.15" customHeight="1">
      <c r="A40" s="1536">
        <v>10</v>
      </c>
      <c r="B40" s="1506" t="s">
        <v>1922</v>
      </c>
      <c r="C40" s="1537" t="e">
        <f>C39+D39+E39</f>
        <v>#DIV/0!</v>
      </c>
      <c r="D40" s="1538"/>
      <c r="E40" s="1538"/>
      <c r="F40" s="1539"/>
      <c r="G40" s="1504"/>
      <c r="H40" s="1451"/>
      <c r="I40" s="1535"/>
      <c r="J40" s="3397"/>
      <c r="K40" s="3402"/>
      <c r="L40" s="1558" t="s">
        <v>1865</v>
      </c>
      <c r="M40" s="1559"/>
      <c r="N40" s="1559"/>
      <c r="O40" s="1560"/>
      <c r="P40" s="1560"/>
      <c r="Q40" s="1590"/>
      <c r="R40" s="1584">
        <f>SUM(R37:R39)</f>
        <v>0</v>
      </c>
      <c r="S40" s="1504"/>
      <c r="T40" s="1504"/>
      <c r="U40" s="1504"/>
      <c r="V40" s="1535"/>
    </row>
    <row r="41" spans="1:23" s="1434" customFormat="1" ht="13.15" customHeight="1">
      <c r="A41" s="1540">
        <v>11</v>
      </c>
      <c r="B41" s="1541" t="s">
        <v>1923</v>
      </c>
      <c r="C41" s="1541" t="e">
        <f>ROUND(C40*10000/B4,0)</f>
        <v>#DIV/0!</v>
      </c>
      <c r="D41" s="1542"/>
      <c r="E41" s="1542"/>
      <c r="F41" s="1543"/>
      <c r="G41" s="1451"/>
      <c r="H41" s="1451"/>
      <c r="I41" s="1535"/>
      <c r="J41" s="1552">
        <v>2</v>
      </c>
      <c r="K41" s="1563" t="s">
        <v>1902</v>
      </c>
      <c r="L41" s="1564"/>
      <c r="M41" s="1564"/>
      <c r="N41" s="1564"/>
      <c r="O41" s="1564"/>
      <c r="P41" s="1565"/>
      <c r="Q41" s="1594"/>
      <c r="R41" s="1592">
        <f>ROUND(R40*Q41,0)</f>
        <v>0</v>
      </c>
      <c r="S41" s="1504"/>
      <c r="T41" s="1504"/>
      <c r="U41" s="1476"/>
      <c r="V41" s="1535"/>
    </row>
    <row r="42" spans="1:23" s="1434" customFormat="1" ht="13.15" customHeight="1">
      <c r="G42" s="1451"/>
      <c r="H42" s="1451"/>
      <c r="I42" s="1535"/>
      <c r="J42" s="3398">
        <v>3</v>
      </c>
      <c r="K42" s="1566" t="s">
        <v>1904</v>
      </c>
      <c r="L42" s="1567"/>
      <c r="M42" s="1568"/>
      <c r="N42" s="1569" t="s">
        <v>362</v>
      </c>
      <c r="O42" s="1569" t="s">
        <v>1905</v>
      </c>
      <c r="P42" s="1570" t="s">
        <v>1906</v>
      </c>
      <c r="Q42" s="1570" t="s">
        <v>1907</v>
      </c>
      <c r="R42" s="1586" t="s">
        <v>1836</v>
      </c>
      <c r="S42" s="1476"/>
      <c r="T42" s="1476"/>
      <c r="U42" s="1504"/>
      <c r="V42" s="1535"/>
    </row>
    <row r="43" spans="1:23" ht="13.15" customHeight="1">
      <c r="A43" s="1434"/>
      <c r="B43" s="1434"/>
      <c r="C43" s="1434"/>
      <c r="D43" s="1434"/>
      <c r="E43" s="1434"/>
      <c r="F43" s="1434"/>
      <c r="I43" s="1437"/>
      <c r="J43" s="3399"/>
      <c r="K43" s="1572"/>
      <c r="L43" s="1573"/>
      <c r="M43" s="1574"/>
      <c r="N43" s="1556"/>
      <c r="O43" s="1556"/>
      <c r="P43" s="1556"/>
      <c r="Q43" s="1594"/>
      <c r="R43" s="1592">
        <f>ROUND(O43*N43*P43*(1-Q43)/10000,0)</f>
        <v>0</v>
      </c>
      <c r="S43" s="1504"/>
      <c r="T43" s="1504"/>
      <c r="V43" s="1439"/>
      <c r="W43" s="1602"/>
    </row>
    <row r="44" spans="1:23" ht="13.15" customHeight="1">
      <c r="J44" s="1576">
        <v>6</v>
      </c>
      <c r="K44" s="1577" t="s">
        <v>1910</v>
      </c>
      <c r="L44" s="1581" t="s">
        <v>1911</v>
      </c>
      <c r="M44" s="1579"/>
      <c r="N44" s="1581" t="s">
        <v>1912</v>
      </c>
      <c r="O44" s="1579"/>
      <c r="P44" s="1581" t="s">
        <v>1913</v>
      </c>
      <c r="Q44" s="1596">
        <v>1.4999999999999999E-2</v>
      </c>
      <c r="R44" s="15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3" customWidth="1"/>
    <col min="2" max="2" width="12" style="463" customWidth="1"/>
    <col min="3" max="3" width="9" style="463"/>
    <col min="4" max="4" width="14.125" style="463" customWidth="1"/>
    <col min="5" max="5" width="9" style="463"/>
    <col min="6" max="6" width="12.875" style="463" customWidth="1"/>
    <col min="7" max="16384" width="9" style="463"/>
  </cols>
  <sheetData>
    <row r="1" spans="1:22" ht="21">
      <c r="A1" s="464" t="s">
        <v>1924</v>
      </c>
      <c r="B1" s="699"/>
      <c r="C1" s="699"/>
      <c r="D1" s="699"/>
      <c r="E1" s="1415"/>
      <c r="F1" s="1416"/>
      <c r="G1" s="1362"/>
      <c r="H1" s="1362"/>
      <c r="I1" s="1362"/>
      <c r="J1" s="1362"/>
      <c r="K1" s="1362"/>
      <c r="L1" s="1362"/>
      <c r="M1" s="1362"/>
      <c r="N1" s="1362"/>
      <c r="O1" s="1362"/>
      <c r="P1" s="1362"/>
      <c r="Q1" s="1362"/>
      <c r="R1" s="1362"/>
      <c r="S1" s="1362"/>
    </row>
    <row r="2" spans="1:22" ht="15.75">
      <c r="A2" s="1417" t="s">
        <v>941</v>
      </c>
      <c r="B2" s="725">
        <f ca="1">SUMIF(B6:B13,"&lt;&gt;#ref!",B6:B13)</f>
        <v>275887</v>
      </c>
      <c r="C2" s="1418" t="s">
        <v>1925</v>
      </c>
      <c r="D2" s="1419" t="s">
        <v>1926</v>
      </c>
      <c r="E2" s="1420">
        <f>SUM(E6:E13)</f>
        <v>15949.52</v>
      </c>
      <c r="F2" s="1416"/>
      <c r="G2" s="1362"/>
      <c r="H2" s="1362"/>
      <c r="I2" s="1362"/>
      <c r="J2" s="1362"/>
      <c r="K2" s="1362"/>
      <c r="L2" s="1362"/>
      <c r="M2" s="1362"/>
      <c r="N2" s="1362"/>
      <c r="O2" s="1362"/>
      <c r="P2" s="1362"/>
      <c r="Q2" s="1362"/>
      <c r="R2" s="1362"/>
      <c r="S2" s="1362"/>
    </row>
    <row r="3" spans="1:22" ht="15.75">
      <c r="A3" s="1417" t="s">
        <v>942</v>
      </c>
      <c r="B3" s="1421">
        <f ca="1">ROUND(B2*10000/E2,0)</f>
        <v>172975</v>
      </c>
      <c r="C3" s="1418" t="s">
        <v>1927</v>
      </c>
      <c r="D3" s="1416"/>
      <c r="E3" s="1422"/>
      <c r="F3" s="1416"/>
      <c r="G3" s="1362"/>
      <c r="H3" s="1362"/>
      <c r="I3" s="1362"/>
      <c r="J3" s="1362"/>
      <c r="K3" s="1362"/>
      <c r="L3" s="1362"/>
      <c r="M3" s="1362"/>
      <c r="N3" s="1362"/>
      <c r="O3" s="1362"/>
      <c r="P3" s="1362"/>
      <c r="Q3" s="1362"/>
      <c r="R3" s="1362"/>
      <c r="S3" s="1362"/>
    </row>
    <row r="4" spans="1:22" ht="15.75">
      <c r="A4" s="1423"/>
      <c r="B4" s="1416"/>
      <c r="C4" s="1416"/>
      <c r="D4" s="1416"/>
      <c r="E4" s="1422"/>
      <c r="F4" s="1416"/>
      <c r="G4" s="1362"/>
      <c r="H4" s="1362"/>
      <c r="I4" s="1362"/>
      <c r="J4" s="1362"/>
      <c r="K4" s="1362"/>
      <c r="L4" s="1362"/>
      <c r="M4" s="1362"/>
      <c r="N4" s="1362"/>
      <c r="O4" s="1362"/>
      <c r="P4" s="1362"/>
      <c r="Q4" s="1362"/>
      <c r="R4" s="1362"/>
      <c r="S4" s="1362"/>
    </row>
    <row r="5" spans="1:22" ht="15">
      <c r="A5" s="1424" t="s">
        <v>1928</v>
      </c>
      <c r="B5" s="3403" t="s">
        <v>1929</v>
      </c>
      <c r="C5" s="3404"/>
      <c r="D5" s="1426"/>
      <c r="E5" s="1425" t="s">
        <v>1930</v>
      </c>
      <c r="F5" s="1427" t="s">
        <v>1931</v>
      </c>
      <c r="G5" s="1362"/>
      <c r="H5" s="1362"/>
      <c r="I5" s="1362"/>
      <c r="J5" s="1362"/>
      <c r="K5" s="1362"/>
      <c r="L5" s="1362"/>
      <c r="M5" s="1362"/>
      <c r="N5" s="1362"/>
      <c r="O5" s="1362"/>
      <c r="P5" s="1362"/>
      <c r="Q5" s="1362"/>
      <c r="R5" s="1362"/>
      <c r="S5" s="1362"/>
    </row>
    <row r="6" spans="1:22">
      <c r="A6" s="1428">
        <f>'数据-取费表'!AN6</f>
        <v>0</v>
      </c>
      <c r="B6" s="468" t="e">
        <f ca="1">IF(F6="是",'数据-取费表'!AO6,0)</f>
        <v>#REF!</v>
      </c>
      <c r="C6" s="1418" t="s">
        <v>1925</v>
      </c>
      <c r="D6" s="1416"/>
      <c r="E6" s="1429">
        <f>IF(OR(A6=0,F6="否"),0,'数据-取费表'!K6+'数据-取费表'!S6)</f>
        <v>0</v>
      </c>
      <c r="F6" s="1430" t="s">
        <v>1932</v>
      </c>
      <c r="G6" s="1362"/>
      <c r="H6" s="1362"/>
      <c r="I6" s="1362"/>
      <c r="J6" s="1362"/>
      <c r="K6" s="1362"/>
      <c r="L6" s="1362"/>
      <c r="M6" s="1362"/>
      <c r="N6" s="1362"/>
      <c r="O6" s="1362"/>
      <c r="P6" s="1362"/>
      <c r="Q6" s="1362"/>
      <c r="R6" s="1362"/>
      <c r="S6" s="1362"/>
    </row>
    <row r="7" spans="1:22">
      <c r="A7" s="1428" t="str">
        <f>'数据-取费表'!AN7</f>
        <v>收益法商</v>
      </c>
      <c r="B7" s="468">
        <f ca="1">IF(F7="是",'数据-取费表'!AO7,0)</f>
        <v>3592</v>
      </c>
      <c r="C7" s="1418" t="s">
        <v>1925</v>
      </c>
      <c r="D7" s="1416"/>
      <c r="E7" s="1429">
        <f>IF(OR(A7=0,F7="否"),0,'数据-取费表'!K7+'数据-取费表'!S7)</f>
        <v>2338.25</v>
      </c>
      <c r="F7" s="1430" t="s">
        <v>1932</v>
      </c>
      <c r="G7" s="1362"/>
      <c r="H7" s="1362"/>
      <c r="I7" s="1362"/>
      <c r="J7" s="1362"/>
      <c r="K7" s="1362"/>
      <c r="L7" s="1362"/>
      <c r="M7" s="1362"/>
      <c r="N7" s="1362"/>
      <c r="O7" s="1362"/>
      <c r="P7" s="1362"/>
      <c r="Q7" s="1362"/>
      <c r="R7" s="1362"/>
      <c r="S7" s="1362"/>
    </row>
    <row r="8" spans="1:22">
      <c r="A8" s="1428" t="str">
        <f>'数据-取费表'!AN8</f>
        <v>收益法 (元)</v>
      </c>
      <c r="B8" s="468">
        <f ca="1">IF(F8="是",'数据-取费表'!AO8,0)</f>
        <v>0</v>
      </c>
      <c r="C8" s="1418" t="s">
        <v>1925</v>
      </c>
      <c r="D8" s="1416"/>
      <c r="E8" s="1429">
        <f>IF(OR(A8=0,F8="否"),0,'数据-取费表'!K8+'数据-取费表'!S8)</f>
        <v>0</v>
      </c>
      <c r="F8" s="1430" t="s">
        <v>1932</v>
      </c>
      <c r="G8" s="1362"/>
      <c r="H8" s="1362"/>
      <c r="I8" s="1362"/>
      <c r="J8" s="1362"/>
      <c r="K8" s="1362"/>
      <c r="L8" s="1362"/>
      <c r="M8" s="1362"/>
      <c r="N8" s="1362"/>
      <c r="O8" s="1362"/>
      <c r="P8" s="1362"/>
      <c r="Q8" s="1362"/>
      <c r="R8" s="1362"/>
      <c r="S8" s="1362"/>
    </row>
    <row r="9" spans="1:22">
      <c r="A9" s="1428" t="str">
        <f>'数据-取费表'!AN9</f>
        <v>收益法车</v>
      </c>
      <c r="B9" s="468">
        <f ca="1">IF(F9="是",'数据-取费表'!AO9,0)</f>
        <v>272295</v>
      </c>
      <c r="C9" s="1418" t="s">
        <v>1925</v>
      </c>
      <c r="D9" s="1416"/>
      <c r="E9" s="1429">
        <f>IF(OR(A9=0,F9="否"),0,'数据-取费表'!K9+'数据-取费表'!S9)</f>
        <v>13611.27</v>
      </c>
      <c r="F9" s="1430" t="s">
        <v>1932</v>
      </c>
      <c r="G9" s="1362"/>
      <c r="H9" s="1362"/>
      <c r="I9" s="1362"/>
      <c r="J9" s="1362"/>
      <c r="K9" s="1362"/>
      <c r="L9" s="1362"/>
      <c r="M9" s="1362"/>
      <c r="N9" s="1362"/>
      <c r="O9" s="1362"/>
      <c r="P9" s="1362"/>
      <c r="Q9" s="1362"/>
      <c r="R9" s="1362"/>
      <c r="S9" s="1362"/>
    </row>
    <row r="10" spans="1:22">
      <c r="A10" s="1428">
        <f>'数据-取费表'!AN10</f>
        <v>0</v>
      </c>
      <c r="B10" s="468" t="e">
        <f ca="1">IF(F10="是",'数据-取费表'!AO10,0)</f>
        <v>#REF!</v>
      </c>
      <c r="C10" s="1418" t="s">
        <v>1925</v>
      </c>
      <c r="D10" s="1416"/>
      <c r="E10" s="1429">
        <f>IF(OR(A10=0,F10="否"),0,'数据-取费表'!K10+'数据-取费表'!S10)</f>
        <v>0</v>
      </c>
      <c r="F10" s="1430" t="s">
        <v>1932</v>
      </c>
      <c r="G10" s="1362"/>
      <c r="H10" s="1362"/>
      <c r="I10" s="1362"/>
      <c r="J10" s="1362"/>
      <c r="K10" s="1362"/>
      <c r="L10" s="1362"/>
      <c r="M10" s="1362"/>
      <c r="N10" s="1362"/>
      <c r="O10" s="1362"/>
      <c r="P10" s="1362"/>
      <c r="Q10" s="1362"/>
      <c r="R10" s="1362"/>
      <c r="S10" s="1362"/>
    </row>
    <row r="11" spans="1:22">
      <c r="A11" s="1428">
        <f>'数据-取费表'!AN11</f>
        <v>0</v>
      </c>
      <c r="B11" s="468" t="e">
        <f ca="1">IF(F11="是",'数据-取费表'!AO11,0)</f>
        <v>#REF!</v>
      </c>
      <c r="C11" s="1418" t="s">
        <v>1925</v>
      </c>
      <c r="D11" s="1416"/>
      <c r="E11" s="1429">
        <f>IF(OR(A11=0,F11="否"),0,'数据-取费表'!K11+'数据-取费表'!S11)</f>
        <v>0</v>
      </c>
      <c r="F11" s="1430" t="s">
        <v>1932</v>
      </c>
      <c r="G11" s="1362"/>
      <c r="H11" s="1362"/>
      <c r="I11" s="1362"/>
      <c r="J11" s="1362"/>
      <c r="K11" s="1362"/>
      <c r="L11" s="1362"/>
      <c r="M11" s="1362"/>
      <c r="N11" s="1362"/>
      <c r="O11" s="1362"/>
      <c r="P11" s="1362"/>
      <c r="Q11" s="1362"/>
      <c r="R11" s="1362"/>
      <c r="S11" s="1362"/>
    </row>
    <row r="12" spans="1:22">
      <c r="A12" s="1428">
        <f>'数据-取费表'!AN12</f>
        <v>0</v>
      </c>
      <c r="B12" s="468" t="e">
        <f ca="1">IF(F12="是",'数据-取费表'!AO12,0)</f>
        <v>#REF!</v>
      </c>
      <c r="C12" s="1418" t="s">
        <v>1925</v>
      </c>
      <c r="D12" s="1416"/>
      <c r="E12" s="1429">
        <f>IF(OR(A12=0,F12="否"),0,'数据-取费表'!K12+'数据-取费表'!S12)</f>
        <v>0</v>
      </c>
      <c r="F12" s="1430" t="s">
        <v>1932</v>
      </c>
      <c r="G12" s="1362"/>
      <c r="H12" s="1362"/>
      <c r="I12" s="1362"/>
      <c r="J12" s="1362"/>
      <c r="K12" s="1362"/>
      <c r="L12" s="1362"/>
      <c r="M12" s="1362"/>
      <c r="N12" s="1362"/>
      <c r="O12" s="1362"/>
      <c r="P12" s="1362"/>
      <c r="Q12" s="1362"/>
      <c r="R12" s="1362"/>
      <c r="S12" s="1362"/>
    </row>
    <row r="13" spans="1:22">
      <c r="A13" s="1431">
        <f>'数据-取费表'!AN13</f>
        <v>0</v>
      </c>
      <c r="B13" s="468" t="e">
        <f ca="1">IF(F13="是",'数据-取费表'!AO13,0)</f>
        <v>#REF!</v>
      </c>
      <c r="C13" s="1432" t="s">
        <v>1925</v>
      </c>
      <c r="D13" s="1433"/>
      <c r="E13" s="1429">
        <f>IF(OR(A13=0,F13="否"),0,'数据-取费表'!K13+'数据-取费表'!S13)</f>
        <v>0</v>
      </c>
      <c r="F13" s="1430" t="s">
        <v>1932</v>
      </c>
      <c r="G13" s="1362"/>
      <c r="H13" s="1362"/>
      <c r="I13" s="1362"/>
      <c r="J13" s="1362"/>
      <c r="K13" s="1362"/>
      <c r="L13" s="1362"/>
      <c r="M13" s="1362"/>
      <c r="N13" s="1362"/>
      <c r="O13" s="1362"/>
      <c r="P13" s="1362"/>
      <c r="Q13" s="1362"/>
      <c r="R13" s="1362"/>
      <c r="S13" s="1362"/>
    </row>
    <row r="14" spans="1:22">
      <c r="A14" s="1362"/>
      <c r="B14" s="1362"/>
      <c r="C14" s="1362"/>
      <c r="D14" s="1362"/>
      <c r="E14" s="1362"/>
      <c r="F14" s="1362"/>
      <c r="G14" s="1362"/>
      <c r="H14" s="1362"/>
      <c r="I14" s="1362"/>
      <c r="J14" s="1362"/>
      <c r="K14" s="1362"/>
      <c r="L14" s="1362"/>
      <c r="M14" s="1362"/>
      <c r="N14" s="1362"/>
      <c r="O14" s="1362"/>
      <c r="P14" s="1362"/>
      <c r="Q14" s="1362"/>
      <c r="R14" s="1362"/>
      <c r="S14" s="1362"/>
      <c r="T14" s="1362"/>
      <c r="U14" s="1362"/>
      <c r="V14" s="1362"/>
    </row>
    <row r="15" spans="1:22">
      <c r="A15" s="1362"/>
      <c r="B15" s="1362"/>
      <c r="C15" s="1362"/>
      <c r="D15" s="1362"/>
      <c r="E15" s="1362"/>
      <c r="F15" s="1362"/>
      <c r="G15" s="1362"/>
      <c r="H15" s="1362"/>
      <c r="I15" s="1362"/>
      <c r="J15" s="1362"/>
      <c r="K15" s="1362"/>
      <c r="L15" s="1362"/>
      <c r="M15" s="1362"/>
      <c r="N15" s="1362"/>
      <c r="O15" s="1362"/>
      <c r="P15" s="1362"/>
      <c r="Q15" s="1362"/>
      <c r="R15" s="1362"/>
      <c r="S15" s="1362"/>
      <c r="T15" s="1362"/>
      <c r="U15" s="1362"/>
      <c r="V15" s="1362"/>
    </row>
    <row r="16" spans="1:22">
      <c r="A16" s="1362"/>
      <c r="B16" s="1362"/>
      <c r="C16" s="1362"/>
      <c r="D16" s="1362"/>
      <c r="E16" s="1362"/>
      <c r="F16" s="1362"/>
      <c r="G16" s="1362"/>
      <c r="H16" s="1362"/>
      <c r="I16" s="1362"/>
      <c r="J16" s="1362"/>
      <c r="K16" s="1362"/>
      <c r="L16" s="1362"/>
      <c r="M16" s="1362"/>
      <c r="N16" s="1362"/>
      <c r="O16" s="1362"/>
      <c r="P16" s="1362"/>
      <c r="Q16" s="1362"/>
      <c r="R16" s="1362"/>
      <c r="S16" s="1362"/>
      <c r="T16" s="1362"/>
      <c r="U16" s="1362"/>
      <c r="V16" s="1362"/>
    </row>
    <row r="17" spans="1:22">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row>
    <row r="18" spans="1:22">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row>
    <row r="19" spans="1:22">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row>
    <row r="20" spans="1:22">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row>
    <row r="21" spans="1:22">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row>
    <row r="22" spans="1:22">
      <c r="A22" s="1362"/>
      <c r="B22" s="1362"/>
      <c r="C22" s="1362"/>
      <c r="D22" s="1362"/>
      <c r="E22" s="1362"/>
      <c r="F22" s="1362"/>
      <c r="G22" s="1362"/>
      <c r="H22" s="1362"/>
      <c r="I22" s="1362"/>
      <c r="J22" s="1362"/>
      <c r="K22" s="1362"/>
      <c r="L22" s="1362"/>
      <c r="M22" s="1362"/>
      <c r="N22" s="1362"/>
      <c r="O22" s="1362"/>
      <c r="P22" s="1362"/>
      <c r="Q22" s="1362"/>
      <c r="R22" s="1362"/>
      <c r="S22" s="1362"/>
      <c r="T22" s="1362"/>
      <c r="U22" s="1362"/>
      <c r="V22" s="1362"/>
    </row>
    <row r="23" spans="1:22">
      <c r="A23" s="1362"/>
      <c r="B23" s="1362"/>
      <c r="C23" s="1362"/>
      <c r="D23" s="1362"/>
      <c r="E23" s="1362"/>
      <c r="F23" s="1362"/>
      <c r="G23" s="1362"/>
      <c r="H23" s="1362"/>
      <c r="I23" s="1362"/>
      <c r="J23" s="1362"/>
      <c r="K23" s="1362"/>
      <c r="L23" s="1362"/>
      <c r="M23" s="1362"/>
      <c r="N23" s="1362"/>
      <c r="O23" s="1362"/>
      <c r="P23" s="1362"/>
      <c r="Q23" s="1362"/>
      <c r="R23" s="1362"/>
      <c r="S23" s="1362"/>
      <c r="T23" s="1362"/>
      <c r="U23" s="1362"/>
      <c r="V23" s="1362"/>
    </row>
    <row r="24" spans="1:22">
      <c r="A24" s="1362"/>
      <c r="B24" s="1362"/>
      <c r="C24" s="1362"/>
      <c r="D24" s="1362"/>
      <c r="E24" s="1362"/>
      <c r="F24" s="1362"/>
      <c r="G24" s="1362"/>
      <c r="H24" s="1362"/>
      <c r="I24" s="1362"/>
      <c r="J24" s="1362"/>
      <c r="K24" s="1362"/>
      <c r="L24" s="1362"/>
      <c r="M24" s="1362"/>
      <c r="N24" s="1362"/>
      <c r="O24" s="1362"/>
      <c r="P24" s="1362"/>
      <c r="Q24" s="1362"/>
      <c r="R24" s="1362"/>
      <c r="S24" s="1362"/>
      <c r="T24" s="1362"/>
      <c r="U24" s="1362"/>
      <c r="V24" s="1362"/>
    </row>
    <row r="25" spans="1:22">
      <c r="A25" s="1362"/>
      <c r="B25" s="1362"/>
      <c r="C25" s="1362"/>
      <c r="D25" s="1362"/>
      <c r="E25" s="1362"/>
      <c r="F25" s="1362"/>
      <c r="G25" s="1362"/>
      <c r="H25" s="1362"/>
      <c r="I25" s="1362"/>
      <c r="J25" s="1362"/>
      <c r="K25" s="1362"/>
      <c r="L25" s="1362"/>
      <c r="M25" s="1362"/>
      <c r="N25" s="1362"/>
      <c r="O25" s="1362"/>
      <c r="P25" s="1362"/>
      <c r="Q25" s="1362"/>
      <c r="R25" s="1362"/>
      <c r="S25" s="1362"/>
      <c r="T25" s="1362"/>
      <c r="U25" s="1362"/>
      <c r="V25" s="1362"/>
    </row>
    <row r="26" spans="1:22">
      <c r="A26" s="1362"/>
      <c r="B26" s="1362"/>
      <c r="C26" s="1362"/>
      <c r="D26" s="1362"/>
      <c r="E26" s="1362"/>
      <c r="F26" s="1362"/>
      <c r="G26" s="1362"/>
      <c r="H26" s="1362"/>
      <c r="I26" s="1362"/>
      <c r="J26" s="1362"/>
      <c r="K26" s="1362"/>
      <c r="L26" s="1362"/>
      <c r="M26" s="1362"/>
      <c r="N26" s="1362"/>
      <c r="O26" s="1362"/>
      <c r="P26" s="1362"/>
      <c r="Q26" s="1362"/>
      <c r="R26" s="1362"/>
      <c r="S26" s="1362"/>
      <c r="T26" s="1362"/>
      <c r="U26" s="1362"/>
      <c r="V26" s="1362"/>
    </row>
    <row r="27" spans="1:22">
      <c r="A27" s="1362"/>
      <c r="B27" s="1362"/>
      <c r="C27" s="1362"/>
      <c r="D27" s="1362"/>
      <c r="E27" s="1362"/>
      <c r="F27" s="1362"/>
      <c r="G27" s="1362"/>
      <c r="H27" s="1362"/>
      <c r="I27" s="1362"/>
      <c r="J27" s="1362"/>
      <c r="K27" s="1362"/>
      <c r="L27" s="1362"/>
      <c r="M27" s="1362"/>
      <c r="N27" s="1362"/>
      <c r="O27" s="1362"/>
      <c r="P27" s="1362"/>
      <c r="Q27" s="1362"/>
      <c r="R27" s="1362"/>
      <c r="S27" s="1362"/>
      <c r="T27" s="1362"/>
      <c r="U27" s="1362"/>
      <c r="V27" s="1362"/>
    </row>
    <row r="28" spans="1:22">
      <c r="A28" s="1362"/>
      <c r="B28" s="1362"/>
      <c r="C28" s="1362"/>
      <c r="D28" s="1362"/>
      <c r="E28" s="1362"/>
      <c r="F28" s="1362"/>
      <c r="G28" s="1362"/>
      <c r="H28" s="1362"/>
      <c r="I28" s="1362"/>
      <c r="J28" s="1362"/>
      <c r="K28" s="1362"/>
      <c r="L28" s="1362"/>
      <c r="M28" s="1362"/>
      <c r="N28" s="1362"/>
      <c r="O28" s="1362"/>
      <c r="P28" s="1362"/>
      <c r="Q28" s="1362"/>
      <c r="R28" s="1362"/>
      <c r="S28" s="1362"/>
      <c r="T28" s="1362"/>
      <c r="U28" s="1362"/>
      <c r="V28" s="1362"/>
    </row>
    <row r="29" spans="1:22">
      <c r="A29" s="1362"/>
      <c r="B29" s="1362"/>
      <c r="C29" s="1362"/>
      <c r="D29" s="1362"/>
      <c r="E29" s="1362"/>
      <c r="F29" s="1362"/>
      <c r="G29" s="1362"/>
      <c r="H29" s="1362"/>
      <c r="I29" s="1362"/>
      <c r="J29" s="1362"/>
      <c r="K29" s="1362"/>
      <c r="L29" s="1362"/>
      <c r="M29" s="1362"/>
      <c r="N29" s="1362"/>
      <c r="O29" s="1362"/>
      <c r="P29" s="1362"/>
      <c r="Q29" s="1362"/>
      <c r="R29" s="1362"/>
      <c r="S29" s="1362"/>
      <c r="T29" s="1362"/>
      <c r="U29" s="1362"/>
      <c r="V29" s="1362"/>
    </row>
    <row r="30" spans="1:22">
      <c r="A30" s="1362"/>
      <c r="B30" s="1362"/>
      <c r="C30" s="1362"/>
      <c r="D30" s="1362"/>
      <c r="E30" s="1362"/>
      <c r="F30" s="1362"/>
      <c r="G30" s="1362"/>
      <c r="H30" s="1362"/>
      <c r="I30" s="1362"/>
      <c r="J30" s="1362"/>
      <c r="K30" s="1362"/>
      <c r="L30" s="1362"/>
      <c r="M30" s="1362"/>
      <c r="N30" s="1362"/>
      <c r="O30" s="1362"/>
      <c r="P30" s="1362"/>
      <c r="Q30" s="1362"/>
      <c r="R30" s="1362"/>
      <c r="S30" s="1362"/>
      <c r="T30" s="1362"/>
      <c r="U30" s="1362"/>
      <c r="V30" s="1362"/>
    </row>
    <row r="31" spans="1:22">
      <c r="A31" s="1362"/>
      <c r="B31" s="1362"/>
      <c r="C31" s="1362"/>
      <c r="D31" s="1362"/>
      <c r="E31" s="1362"/>
      <c r="F31" s="1362"/>
      <c r="G31" s="1362"/>
      <c r="H31" s="1362"/>
      <c r="I31" s="1362"/>
      <c r="J31" s="1362"/>
      <c r="K31" s="1362"/>
      <c r="L31" s="1362"/>
      <c r="M31" s="1362"/>
      <c r="N31" s="1362"/>
      <c r="O31" s="1362"/>
      <c r="P31" s="1362"/>
      <c r="Q31" s="1362"/>
      <c r="R31" s="1362"/>
      <c r="S31" s="1362"/>
      <c r="T31" s="1362"/>
      <c r="U31" s="1362"/>
      <c r="V31" s="1362"/>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3"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1551</v>
      </c>
      <c r="B1" s="1394" t="s">
        <v>1933</v>
      </c>
      <c r="C1" s="1240" t="s">
        <v>1553</v>
      </c>
      <c r="D1" s="1189"/>
      <c r="E1" s="1395"/>
      <c r="F1" s="1191"/>
      <c r="G1" s="1192" t="s">
        <v>940</v>
      </c>
      <c r="H1" s="1190"/>
      <c r="I1" s="1190"/>
      <c r="J1" s="1190"/>
      <c r="K1" s="1238"/>
      <c r="L1" s="1239"/>
      <c r="M1" s="1240"/>
      <c r="N1" s="1240"/>
      <c r="O1" s="1240"/>
      <c r="P1" s="1399"/>
      <c r="Q1" s="1408"/>
      <c r="R1" s="1408"/>
      <c r="S1" s="1408"/>
      <c r="T1" s="1408"/>
      <c r="U1" s="1408"/>
      <c r="V1" s="1408"/>
      <c r="W1" s="1408"/>
      <c r="X1" s="1408"/>
      <c r="Y1" s="1408"/>
      <c r="Z1" s="1408"/>
      <c r="AA1" s="1408"/>
      <c r="AB1" s="1408"/>
      <c r="AC1" s="1409"/>
    </row>
    <row r="2" spans="1:29" s="854" customFormat="1" ht="28.5" customHeight="1">
      <c r="A2" s="1193" t="s">
        <v>941</v>
      </c>
      <c r="B2" s="1194" t="e">
        <f ca="1">IF(C2="——",ROUND(C49*D3/10000,0),ROUND(C49*D3/10000,0)-D2)</f>
        <v>#DIV/0!</v>
      </c>
      <c r="C2" s="1195"/>
      <c r="D2" s="1373" t="e">
        <f ca="1">SUMIF(INDIRECT("'"&amp;F2&amp;"'"&amp;"!A:A"),"承租人权益价值",INDIRECT("'"&amp;F2&amp;"'"&amp;"!c:c"))</f>
        <v>#REF!</v>
      </c>
      <c r="E2" s="1197" t="s">
        <v>1397</v>
      </c>
      <c r="F2" s="1198"/>
      <c r="G2" s="870"/>
      <c r="H2" s="870"/>
      <c r="I2" s="870"/>
      <c r="J2" s="870"/>
      <c r="K2" s="870"/>
      <c r="L2" s="1018"/>
      <c r="M2" s="1019"/>
      <c r="N2" s="1019"/>
      <c r="O2" s="1019"/>
      <c r="P2" s="1400"/>
      <c r="Q2" s="1341"/>
      <c r="R2" s="1341"/>
      <c r="S2" s="1341"/>
      <c r="T2" s="1341"/>
      <c r="U2" s="1341"/>
      <c r="V2" s="1341"/>
      <c r="W2" s="1341"/>
      <c r="X2" s="1341"/>
      <c r="Y2" s="1341"/>
      <c r="Z2" s="1341"/>
      <c r="AA2" s="1341"/>
      <c r="AB2" s="1341"/>
      <c r="AC2" s="1374"/>
    </row>
    <row r="3" spans="1:29" s="854" customFormat="1" ht="28.5" customHeight="1">
      <c r="A3" s="151" t="s">
        <v>942</v>
      </c>
      <c r="B3" s="872" t="e">
        <f ca="1">IF(C2="——",C49,ROUND(B2*10000/D3,0))</f>
        <v>#DIV/0!</v>
      </c>
      <c r="C3" s="1199" t="s">
        <v>943</v>
      </c>
      <c r="D3" s="1200">
        <f>IF(D1="",'数据-汇总表'!E3,SUMIF('数据-汇总表'!$C19:$C33,D1,'数据-汇总表'!$E19:$E33))</f>
        <v>72308.930000000008</v>
      </c>
      <c r="E3" s="1374"/>
      <c r="F3" s="871"/>
      <c r="G3" s="870"/>
      <c r="H3" s="870"/>
      <c r="I3" s="870"/>
      <c r="J3" s="870"/>
      <c r="K3" s="1017"/>
      <c r="L3" s="1018"/>
      <c r="M3" s="1019"/>
      <c r="N3" s="1019"/>
      <c r="O3" s="1019"/>
      <c r="P3" s="1400"/>
      <c r="Q3" s="1341"/>
      <c r="R3" s="1341"/>
      <c r="S3" s="1341"/>
      <c r="T3" s="1341"/>
      <c r="U3" s="1341"/>
      <c r="V3" s="1341"/>
      <c r="W3" s="1341"/>
      <c r="X3" s="1341"/>
      <c r="Y3" s="1341"/>
      <c r="Z3" s="1341"/>
      <c r="AA3" s="1341"/>
      <c r="AB3" s="1341"/>
      <c r="AC3" s="1374"/>
    </row>
    <row r="4" spans="1:29" ht="15">
      <c r="A4" s="874" t="s">
        <v>944</v>
      </c>
      <c r="B4" s="875"/>
      <c r="C4" s="3315" t="s">
        <v>945</v>
      </c>
      <c r="D4" s="3316"/>
      <c r="E4" s="3317" t="s">
        <v>946</v>
      </c>
      <c r="F4" s="3318"/>
      <c r="G4" s="3315" t="s">
        <v>947</v>
      </c>
      <c r="H4" s="3316"/>
      <c r="I4" s="3315" t="s">
        <v>948</v>
      </c>
      <c r="J4" s="3316"/>
      <c r="K4" s="1020" t="s">
        <v>949</v>
      </c>
      <c r="L4" s="1021"/>
      <c r="M4" s="971"/>
      <c r="N4" s="971"/>
      <c r="O4" s="971"/>
      <c r="P4" s="3341" t="s">
        <v>950</v>
      </c>
      <c r="Q4" s="3342"/>
      <c r="R4" s="3347" t="s">
        <v>946</v>
      </c>
      <c r="S4" s="3348"/>
      <c r="T4" s="3347" t="s">
        <v>947</v>
      </c>
      <c r="U4" s="3348"/>
      <c r="V4" s="3331" t="s">
        <v>948</v>
      </c>
      <c r="W4" s="3331"/>
      <c r="X4" s="1069"/>
      <c r="Y4" s="3347" t="s">
        <v>950</v>
      </c>
      <c r="Z4" s="3348"/>
      <c r="AA4" s="3336" t="s">
        <v>946</v>
      </c>
      <c r="AB4" s="3331" t="s">
        <v>947</v>
      </c>
      <c r="AC4" s="3336" t="s">
        <v>948</v>
      </c>
    </row>
    <row r="5" spans="1:29" ht="15">
      <c r="A5" s="878"/>
      <c r="B5" s="879"/>
      <c r="C5" s="3319" t="s">
        <v>951</v>
      </c>
      <c r="D5" s="3320"/>
      <c r="E5" s="3321" t="s">
        <v>1934</v>
      </c>
      <c r="F5" s="3322"/>
      <c r="G5" s="3319" t="s">
        <v>1935</v>
      </c>
      <c r="H5" s="3320"/>
      <c r="I5" s="3319" t="s">
        <v>1936</v>
      </c>
      <c r="J5" s="3320"/>
      <c r="K5" s="1020"/>
      <c r="L5" s="1021"/>
      <c r="M5" s="971"/>
      <c r="N5" s="971"/>
      <c r="O5" s="971"/>
      <c r="P5" s="3343"/>
      <c r="Q5" s="3344"/>
      <c r="R5" s="3349"/>
      <c r="S5" s="3350"/>
      <c r="T5" s="3349"/>
      <c r="U5" s="3350"/>
      <c r="V5" s="3331"/>
      <c r="W5" s="3331"/>
      <c r="X5" s="1069"/>
      <c r="Y5" s="3349"/>
      <c r="Z5" s="3350"/>
      <c r="AA5" s="3337"/>
      <c r="AB5" s="3331"/>
      <c r="AC5" s="3337"/>
    </row>
    <row r="6" spans="1:29" ht="15">
      <c r="A6" s="880"/>
      <c r="B6" s="881"/>
      <c r="C6" s="3323" t="s">
        <v>952</v>
      </c>
      <c r="D6" s="3324"/>
      <c r="E6" s="3325" t="s">
        <v>952</v>
      </c>
      <c r="F6" s="3326"/>
      <c r="G6" s="3323" t="s">
        <v>952</v>
      </c>
      <c r="H6" s="3324"/>
      <c r="I6" s="3323" t="s">
        <v>952</v>
      </c>
      <c r="J6" s="3324"/>
      <c r="K6" s="1020" t="s">
        <v>953</v>
      </c>
      <c r="L6" s="1021"/>
      <c r="M6" s="971"/>
      <c r="N6" s="971"/>
      <c r="O6" s="971"/>
      <c r="P6" s="3345"/>
      <c r="Q6" s="3346"/>
      <c r="R6" s="3349"/>
      <c r="S6" s="3350"/>
      <c r="T6" s="3351"/>
      <c r="U6" s="3352"/>
      <c r="V6" s="3331"/>
      <c r="W6" s="3331"/>
      <c r="X6" s="1069"/>
      <c r="Y6" s="3351"/>
      <c r="Z6" s="3352"/>
      <c r="AA6" s="3338"/>
      <c r="AB6" s="3331"/>
      <c r="AC6" s="3338"/>
    </row>
    <row r="7" spans="1:29" s="855" customFormat="1" ht="15">
      <c r="A7" s="883" t="s">
        <v>954</v>
      </c>
      <c r="B7" s="884"/>
      <c r="C7" s="885">
        <f>'数据-取费表'!B2</f>
        <v>45475</v>
      </c>
      <c r="D7" s="886">
        <v>100</v>
      </c>
      <c r="E7" s="887"/>
      <c r="F7" s="888">
        <f>SUMIF(58:58,YEAR(E7)&amp;"-"&amp;MONTH(E7),59:59)</f>
        <v>0</v>
      </c>
      <c r="G7" s="887"/>
      <c r="H7" s="886">
        <f>SUMIF(58:58,YEAR(G7)&amp;"-"&amp;MONTH(G7),59:59)</f>
        <v>0</v>
      </c>
      <c r="I7" s="887"/>
      <c r="J7" s="886">
        <f>SUMIF(58:58,YEAR(I7)&amp;"-"&amp;MONTH(I7),59:59)</f>
        <v>0</v>
      </c>
      <c r="K7" s="1025"/>
      <c r="L7" s="1026"/>
      <c r="M7" s="1027"/>
      <c r="N7" s="1027"/>
      <c r="O7" s="1027"/>
      <c r="P7" s="3327" t="s">
        <v>955</v>
      </c>
      <c r="Q7" s="3328"/>
      <c r="R7" s="1070" t="s">
        <v>956</v>
      </c>
      <c r="S7" s="1071">
        <f t="shared" ref="S7:S15" si="0">F7</f>
        <v>0</v>
      </c>
      <c r="T7" s="1070" t="s">
        <v>956</v>
      </c>
      <c r="U7" s="1071">
        <f t="shared" ref="U7:U15" si="1">H7</f>
        <v>0</v>
      </c>
      <c r="V7" s="1070" t="s">
        <v>956</v>
      </c>
      <c r="W7" s="1071">
        <f t="shared" ref="W7:W15" si="2">J7</f>
        <v>0</v>
      </c>
      <c r="X7" s="1072"/>
      <c r="Y7" s="3327" t="s">
        <v>955</v>
      </c>
      <c r="Z7" s="3329"/>
      <c r="AA7" s="1082" t="e">
        <f>D7/F7</f>
        <v>#DIV/0!</v>
      </c>
      <c r="AB7" s="1082" t="e">
        <f>D7/H7</f>
        <v>#DIV/0!</v>
      </c>
      <c r="AC7" s="1082" t="e">
        <f>D7/J7</f>
        <v>#DIV/0!</v>
      </c>
    </row>
    <row r="8" spans="1:29" s="855" customFormat="1" ht="15">
      <c r="A8" s="883" t="s">
        <v>957</v>
      </c>
      <c r="B8" s="884"/>
      <c r="C8" s="890" t="s">
        <v>958</v>
      </c>
      <c r="D8" s="886">
        <v>100</v>
      </c>
      <c r="E8" s="890"/>
      <c r="F8" s="888">
        <f>SUMIF(61:61,E8,62:62)-SUMIF(61:61,C8,62:62)+100</f>
        <v>0</v>
      </c>
      <c r="G8" s="890"/>
      <c r="H8" s="886">
        <f>SUMIF(61:61,G8,62:62)-SUMIF(61:61,C8,62:62)+100</f>
        <v>0</v>
      </c>
      <c r="I8" s="890"/>
      <c r="J8" s="886">
        <f>SUMIF(61:61,I8,62:62)-SUMIF(61:61,C8,62:62)+100</f>
        <v>0</v>
      </c>
      <c r="K8" s="1025"/>
      <c r="L8" s="1026"/>
      <c r="M8" s="1027"/>
      <c r="N8" s="1027"/>
      <c r="O8" s="1027"/>
      <c r="P8" s="3327" t="s">
        <v>959</v>
      </c>
      <c r="Q8" s="3329"/>
      <c r="R8" s="1070" t="s">
        <v>956</v>
      </c>
      <c r="S8" s="1071">
        <f t="shared" si="0"/>
        <v>0</v>
      </c>
      <c r="T8" s="1070" t="s">
        <v>956</v>
      </c>
      <c r="U8" s="1071">
        <f t="shared" si="1"/>
        <v>0</v>
      </c>
      <c r="V8" s="1070" t="s">
        <v>956</v>
      </c>
      <c r="W8" s="1071">
        <f t="shared" si="2"/>
        <v>0</v>
      </c>
      <c r="X8" s="1072"/>
      <c r="Y8" s="3327" t="s">
        <v>959</v>
      </c>
      <c r="Z8" s="3329"/>
      <c r="AA8" s="1082" t="e">
        <f t="shared" ref="AA8:AA46" si="3">D8/F8</f>
        <v>#DIV/0!</v>
      </c>
      <c r="AB8" s="1082" t="e">
        <f t="shared" ref="AB8:AB46" si="4">D8/H8</f>
        <v>#DIV/0!</v>
      </c>
      <c r="AC8" s="1082" t="e">
        <f t="shared" ref="AC8:AC46" si="5">D8/J8</f>
        <v>#DIV/0!</v>
      </c>
    </row>
    <row r="9" spans="1:29" s="855" customFormat="1">
      <c r="A9" s="891" t="s">
        <v>960</v>
      </c>
      <c r="B9" s="892" t="s">
        <v>961</v>
      </c>
      <c r="C9" s="1203"/>
      <c r="D9" s="894">
        <v>100</v>
      </c>
      <c r="E9" s="1335"/>
      <c r="F9" s="892">
        <f>SUMIF(63:63,E9,64:64)-SUMIF(63:63,C9,64:64)+100</f>
        <v>100</v>
      </c>
      <c r="G9" s="1335"/>
      <c r="H9" s="894">
        <f>SUMIF(63:63,G9,64:64)-SUMIF(63:63,C9,64:64)+100</f>
        <v>100</v>
      </c>
      <c r="I9" s="1335"/>
      <c r="J9" s="894">
        <f>SUMIF(63:63,I9,64:64)-SUMIF(63:63,C9,64:64)+100</f>
        <v>100</v>
      </c>
      <c r="K9" s="1025"/>
      <c r="L9" s="1026"/>
      <c r="M9" s="1027"/>
      <c r="N9" s="1027"/>
      <c r="O9" s="1027"/>
      <c r="P9" s="334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336"/>
      <c r="F10" s="896">
        <f>SUMIF(65:65,E10,66:66)-SUMIF(65:65,C10,66:66)+100</f>
        <v>100</v>
      </c>
      <c r="G10" s="1206"/>
      <c r="H10" s="898">
        <f>SUMIF(65:65,G10,66:66)-SUMIF(65:65,C10,66:66)+100</f>
        <v>100</v>
      </c>
      <c r="I10" s="1206"/>
      <c r="J10" s="898">
        <f>SUMIF(65:65,I10,66:66)-SUMIF(65:65,C10,66:66)+100</f>
        <v>100</v>
      </c>
      <c r="K10" s="1044"/>
      <c r="L10" s="1031"/>
      <c r="M10" s="1032"/>
      <c r="N10" s="1032"/>
      <c r="O10" s="1032"/>
      <c r="P10" s="334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082">
        <f t="shared" si="5"/>
        <v>1</v>
      </c>
    </row>
    <row r="11" spans="1:29" ht="15">
      <c r="A11" s="899"/>
      <c r="B11" s="896" t="s">
        <v>965</v>
      </c>
      <c r="C11" s="900"/>
      <c r="D11" s="898">
        <v>100</v>
      </c>
      <c r="E11" s="901"/>
      <c r="F11" s="896" t="e">
        <f>LOOKUP(E11,68:68,69:69)-LOOKUP(C11,68:68,69:69)+100</f>
        <v>#N/A</v>
      </c>
      <c r="G11" s="900"/>
      <c r="H11" s="898" t="e">
        <f>LOOKUP(G11,68:68,69:69)-LOOKUP(C11,68:68,69:69)+100</f>
        <v>#N/A</v>
      </c>
      <c r="I11" s="900"/>
      <c r="J11" s="898" t="e">
        <f>LOOKUP(I11,68:68,69:69)-LOOKUP(C11,68:68,69:69)+100</f>
        <v>#N/A</v>
      </c>
      <c r="K11" s="1044"/>
      <c r="L11" s="1035"/>
      <c r="M11" s="971"/>
      <c r="N11" s="971"/>
      <c r="O11" s="971"/>
      <c r="P11" s="3340"/>
      <c r="Q11" s="795" t="str">
        <f t="shared" si="6"/>
        <v>容积率</v>
      </c>
      <c r="R11" s="1070" t="s">
        <v>956</v>
      </c>
      <c r="S11" s="1071" t="e">
        <f t="shared" si="0"/>
        <v>#N/A</v>
      </c>
      <c r="T11" s="1070" t="s">
        <v>956</v>
      </c>
      <c r="U11" s="1071" t="e">
        <f t="shared" si="1"/>
        <v>#N/A</v>
      </c>
      <c r="V11" s="1070" t="s">
        <v>956</v>
      </c>
      <c r="W11" s="1071" t="e">
        <f t="shared" si="2"/>
        <v>#N/A</v>
      </c>
      <c r="X11" s="1072"/>
      <c r="Y11" s="3306"/>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6">
        <f>SUMIF(70:70,E12,71:71)-SUMIF(70:70,C12,71:71)+100</f>
        <v>100</v>
      </c>
      <c r="G12" s="907"/>
      <c r="H12" s="898">
        <f>SUMIF(70:70,G12,71:71)-SUMIF(70:70,C12,71:71)+100</f>
        <v>100</v>
      </c>
      <c r="I12" s="907"/>
      <c r="J12" s="898">
        <f>SUMIF(70:70,I12,71:71)-SUMIF(70:70,C12,71:71)+100</f>
        <v>100</v>
      </c>
      <c r="K12" s="1043"/>
      <c r="L12" s="1026"/>
      <c r="M12" s="1027"/>
      <c r="N12" s="1027"/>
      <c r="O12" s="1027"/>
      <c r="P12" s="334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907"/>
      <c r="H13" s="765">
        <f>SUMIF(72:72,G13,73:73)-SUMIF(72:72,C13,73:73)+100</f>
        <v>100</v>
      </c>
      <c r="I13" s="907"/>
      <c r="J13" s="765">
        <f>SUMIF(72:72,I13,73:73)-SUMIF(72:72,C13,73:73)+100</f>
        <v>100</v>
      </c>
      <c r="K13" s="1043"/>
      <c r="L13" s="1037"/>
      <c r="M13" s="971"/>
      <c r="N13" s="971"/>
      <c r="O13" s="971"/>
      <c r="P13" s="334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08"/>
      <c r="B14" s="909">
        <v>111</v>
      </c>
      <c r="C14" s="910"/>
      <c r="D14" s="911">
        <v>100</v>
      </c>
      <c r="E14" s="907"/>
      <c r="F14" s="1225">
        <f>SUMIF(74:74,E14,75:75)-SUMIF(74:74,C14,75:75)+100</f>
        <v>100</v>
      </c>
      <c r="G14" s="907"/>
      <c r="H14" s="911">
        <f>SUMIF(74:74,G14,75:75)-SUMIF(74:74,C14,75:75)+100</f>
        <v>100</v>
      </c>
      <c r="I14" s="907"/>
      <c r="J14" s="911">
        <f>SUMIF(74:74,I14,75:75)-SUMIF(74:74,C14,75:75)+100</f>
        <v>100</v>
      </c>
      <c r="K14" s="1043"/>
      <c r="L14" s="1037"/>
      <c r="M14" s="971"/>
      <c r="N14" s="971"/>
      <c r="O14" s="971"/>
      <c r="P14" s="334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082">
        <f t="shared" si="5"/>
        <v>1</v>
      </c>
    </row>
    <row r="15" spans="1:29" ht="15">
      <c r="A15" s="912" t="s">
        <v>967</v>
      </c>
      <c r="B15" s="1209" t="s">
        <v>971</v>
      </c>
      <c r="C15" s="1396" t="str">
        <f>估价对象房地状况!C4</f>
        <v>较差</v>
      </c>
      <c r="D15" s="915">
        <v>100</v>
      </c>
      <c r="E15" s="916"/>
      <c r="F15" s="1210">
        <f>SUMIF(76:76,E16,77:77)-SUMIF(76:76,C16,77:77)+100</f>
        <v>100</v>
      </c>
      <c r="G15" s="1038"/>
      <c r="H15" s="915">
        <f>SUMIF(76:76,G16,77:77)-SUMIF(76:76,C16,77:77)+100</f>
        <v>100</v>
      </c>
      <c r="I15" s="916"/>
      <c r="J15" s="915">
        <f>SUMIF(76:76,I16,77:77)-SUMIF(76:76,C16,77:77)+100</f>
        <v>100</v>
      </c>
      <c r="K15" s="1241"/>
      <c r="L15" s="1037"/>
      <c r="M15" s="971"/>
      <c r="N15" s="971"/>
      <c r="O15" s="971"/>
      <c r="P15" s="3366" t="s">
        <v>969</v>
      </c>
      <c r="Q15" s="641" t="str">
        <f t="shared" si="6"/>
        <v>商业繁华度</v>
      </c>
      <c r="R15" s="1074" t="s">
        <v>956</v>
      </c>
      <c r="S15" s="1075">
        <f t="shared" si="0"/>
        <v>100</v>
      </c>
      <c r="T15" s="1074" t="s">
        <v>956</v>
      </c>
      <c r="U15" s="1075">
        <f t="shared" si="1"/>
        <v>100</v>
      </c>
      <c r="V15" s="1074" t="s">
        <v>956</v>
      </c>
      <c r="W15" s="1075">
        <f t="shared" si="2"/>
        <v>100</v>
      </c>
      <c r="X15" s="1069"/>
      <c r="Y15" s="3332" t="s">
        <v>969</v>
      </c>
      <c r="Z15" s="1058" t="str">
        <f t="shared" si="7"/>
        <v>商业繁华度</v>
      </c>
      <c r="AA15" s="1058">
        <f t="shared" si="3"/>
        <v>1</v>
      </c>
      <c r="AB15" s="1058">
        <f t="shared" si="4"/>
        <v>1</v>
      </c>
      <c r="AC15" s="1058">
        <f t="shared" si="5"/>
        <v>1</v>
      </c>
    </row>
    <row r="16" spans="1:29" ht="15">
      <c r="A16" s="899"/>
      <c r="B16" s="1011"/>
      <c r="C16" s="918"/>
      <c r="D16" s="919"/>
      <c r="E16" s="918"/>
      <c r="F16" s="1024"/>
      <c r="G16" s="918"/>
      <c r="H16" s="921"/>
      <c r="I16" s="918"/>
      <c r="J16" s="919"/>
      <c r="K16" s="1242"/>
      <c r="L16" s="1037"/>
      <c r="M16" s="971"/>
      <c r="N16" s="971"/>
      <c r="O16" s="971"/>
      <c r="P16" s="3367"/>
      <c r="Q16" s="641"/>
      <c r="R16" s="1074"/>
      <c r="S16" s="1075"/>
      <c r="T16" s="1074"/>
      <c r="U16" s="1075"/>
      <c r="V16" s="1074"/>
      <c r="W16" s="1075"/>
      <c r="X16" s="1069"/>
      <c r="Y16" s="3333"/>
      <c r="Z16" s="1058"/>
      <c r="AA16" s="1058">
        <v>1</v>
      </c>
      <c r="AB16" s="1058">
        <v>1</v>
      </c>
      <c r="AC16" s="1058">
        <v>1</v>
      </c>
    </row>
    <row r="17" spans="1:29" ht="15">
      <c r="A17" s="899"/>
      <c r="B17" s="1211" t="s">
        <v>973</v>
      </c>
      <c r="C17" s="923" t="str">
        <f>估价对象房地状况!C6</f>
        <v>一般</v>
      </c>
      <c r="D17" s="921">
        <v>100</v>
      </c>
      <c r="E17" s="924"/>
      <c r="F17" s="1023">
        <f>SUMIF(78:78,E18,79:79)-SUMIF(78:78,C18,79:79)+100</f>
        <v>100</v>
      </c>
      <c r="G17" s="1040"/>
      <c r="H17" s="925">
        <f>SUMIF(78:78,G18,79:79)-SUMIF(78:78,C18,79:79)+100</f>
        <v>100</v>
      </c>
      <c r="I17" s="924"/>
      <c r="J17" s="925">
        <f>SUMIF(78:78,I18,79:79)-SUMIF(78:78,C18,79:79)+100</f>
        <v>100</v>
      </c>
      <c r="K17" s="1241"/>
      <c r="L17" s="1037"/>
      <c r="M17" s="971"/>
      <c r="N17" s="971"/>
      <c r="O17" s="971"/>
      <c r="P17" s="3367"/>
      <c r="Q17" s="641" t="str">
        <f>B17</f>
        <v>交通便捷度</v>
      </c>
      <c r="R17" s="1074" t="s">
        <v>956</v>
      </c>
      <c r="S17" s="1075">
        <f>F17</f>
        <v>100</v>
      </c>
      <c r="T17" s="1074" t="s">
        <v>956</v>
      </c>
      <c r="U17" s="1075">
        <f>H17</f>
        <v>100</v>
      </c>
      <c r="V17" s="1074" t="s">
        <v>956</v>
      </c>
      <c r="W17" s="1075">
        <f>J17</f>
        <v>100</v>
      </c>
      <c r="X17" s="1069"/>
      <c r="Y17" s="3333"/>
      <c r="Z17" s="1058" t="str">
        <f>Q17</f>
        <v>交通便捷度</v>
      </c>
      <c r="AA17" s="1058">
        <f t="shared" si="3"/>
        <v>1</v>
      </c>
      <c r="AB17" s="1058">
        <f t="shared" si="4"/>
        <v>1</v>
      </c>
      <c r="AC17" s="1058">
        <f t="shared" si="5"/>
        <v>1</v>
      </c>
    </row>
    <row r="18" spans="1:29" ht="15">
      <c r="A18" s="899"/>
      <c r="B18" s="945"/>
      <c r="C18" s="1214"/>
      <c r="D18" s="921"/>
      <c r="E18" s="1338"/>
      <c r="F18" s="1023"/>
      <c r="G18" s="1339"/>
      <c r="H18" s="919"/>
      <c r="I18" s="1338"/>
      <c r="J18" s="919"/>
      <c r="K18" s="1242"/>
      <c r="L18" s="1037"/>
      <c r="M18" s="971"/>
      <c r="N18" s="971"/>
      <c r="O18" s="971"/>
      <c r="P18" s="3367"/>
      <c r="Q18" s="641"/>
      <c r="R18" s="1074"/>
      <c r="S18" s="1075"/>
      <c r="T18" s="1074"/>
      <c r="U18" s="1075"/>
      <c r="V18" s="1074"/>
      <c r="W18" s="1075"/>
      <c r="X18" s="1069"/>
      <c r="Y18" s="3333"/>
      <c r="Z18" s="1058"/>
      <c r="AA18" s="1058">
        <v>1</v>
      </c>
      <c r="AB18" s="1058">
        <v>1</v>
      </c>
      <c r="AC18" s="1058">
        <v>1</v>
      </c>
    </row>
    <row r="19" spans="1:29" ht="15">
      <c r="A19" s="899"/>
      <c r="B19" s="1211" t="s">
        <v>976</v>
      </c>
      <c r="C19" s="923" t="str">
        <f>估价对象房地状况!C7</f>
        <v>一般</v>
      </c>
      <c r="D19" s="925">
        <v>100</v>
      </c>
      <c r="E19" s="1212"/>
      <c r="F19" s="1022">
        <f>SUMIF(80:80,E20,81:81)-SUMIF(80:80,C20,81:81)+100</f>
        <v>100</v>
      </c>
      <c r="G19" s="1213"/>
      <c r="H19" s="921">
        <f>SUMIF(80:80,G20,81:81)-SUMIF(80:80,C20,81:81)+100</f>
        <v>100</v>
      </c>
      <c r="I19" s="1212"/>
      <c r="J19" s="921">
        <f>SUMIF(80:80,I20,81:81)-SUMIF(80:80,C20,81:81)+100</f>
        <v>100</v>
      </c>
      <c r="K19" s="1241"/>
      <c r="L19" s="1037"/>
      <c r="M19" s="971"/>
      <c r="N19" s="971"/>
      <c r="O19" s="971"/>
      <c r="P19" s="3367"/>
      <c r="Q19" s="641" t="str">
        <f>B19</f>
        <v>公共配套设施</v>
      </c>
      <c r="R19" s="1074" t="s">
        <v>956</v>
      </c>
      <c r="S19" s="1075">
        <f>F19</f>
        <v>100</v>
      </c>
      <c r="T19" s="1074" t="s">
        <v>956</v>
      </c>
      <c r="U19" s="1075">
        <f>H19</f>
        <v>100</v>
      </c>
      <c r="V19" s="1074" t="s">
        <v>956</v>
      </c>
      <c r="W19" s="1075">
        <f>J19</f>
        <v>100</v>
      </c>
      <c r="X19" s="1069"/>
      <c r="Y19" s="3333"/>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037"/>
      <c r="M20" s="971"/>
      <c r="N20" s="971"/>
      <c r="O20" s="971"/>
      <c r="P20" s="3367"/>
      <c r="Q20" s="641"/>
      <c r="R20" s="1074"/>
      <c r="S20" s="1075"/>
      <c r="T20" s="1074"/>
      <c r="U20" s="1075"/>
      <c r="V20" s="1074"/>
      <c r="W20" s="1075"/>
      <c r="X20" s="1069"/>
      <c r="Y20" s="3333"/>
      <c r="Z20" s="1058"/>
      <c r="AA20" s="1058">
        <v>1</v>
      </c>
      <c r="AB20" s="1058">
        <v>1</v>
      </c>
      <c r="AC20" s="1058">
        <v>1</v>
      </c>
    </row>
    <row r="21" spans="1:29" ht="15">
      <c r="A21" s="899"/>
      <c r="B21" s="1215" t="s">
        <v>977</v>
      </c>
      <c r="C21" s="923" t="str">
        <f>估价对象房地状况!C8</f>
        <v>七通</v>
      </c>
      <c r="D21" s="925">
        <v>100</v>
      </c>
      <c r="E21" s="1212"/>
      <c r="F21" s="1022">
        <f>SUMIF(82:82,E22,83:83)-SUMIF(82:82,C22,83:83)+100</f>
        <v>100</v>
      </c>
      <c r="G21" s="1213"/>
      <c r="H21" s="921">
        <f>SUMIF(82:82,G22,83:83)-SUMIF(82:82,C22,83:83)+100</f>
        <v>100</v>
      </c>
      <c r="I21" s="1212"/>
      <c r="J21" s="921">
        <f>SUMIF(82:82,I22,83:83)-SUMIF(82:82,C22,83:83)+100</f>
        <v>100</v>
      </c>
      <c r="K21" s="1241"/>
      <c r="L21" s="1037"/>
      <c r="M21" s="971"/>
      <c r="N21" s="971"/>
      <c r="O21" s="971"/>
      <c r="P21" s="3367"/>
      <c r="Q21" s="641" t="str">
        <f>B21</f>
        <v>基础设施水平</v>
      </c>
      <c r="R21" s="1074" t="s">
        <v>956</v>
      </c>
      <c r="S21" s="1075">
        <f>F21</f>
        <v>100</v>
      </c>
      <c r="T21" s="1074" t="s">
        <v>956</v>
      </c>
      <c r="U21" s="1075">
        <f>H21</f>
        <v>100</v>
      </c>
      <c r="V21" s="1074" t="s">
        <v>956</v>
      </c>
      <c r="W21" s="1075">
        <f>J21</f>
        <v>100</v>
      </c>
      <c r="X21" s="1069"/>
      <c r="Y21" s="3333"/>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037"/>
      <c r="M22" s="971"/>
      <c r="N22" s="971"/>
      <c r="O22" s="971"/>
      <c r="P22" s="3367"/>
      <c r="Q22" s="641"/>
      <c r="R22" s="1074"/>
      <c r="S22" s="1075"/>
      <c r="T22" s="1074"/>
      <c r="U22" s="1075"/>
      <c r="V22" s="1074"/>
      <c r="W22" s="1075"/>
      <c r="X22" s="1069"/>
      <c r="Y22" s="3333"/>
      <c r="Z22" s="1058"/>
      <c r="AA22" s="1058">
        <v>1</v>
      </c>
      <c r="AB22" s="1058">
        <v>1</v>
      </c>
      <c r="AC22" s="1058">
        <v>1</v>
      </c>
    </row>
    <row r="23" spans="1:29" ht="15">
      <c r="A23" s="899"/>
      <c r="B23" s="1211" t="s">
        <v>1557</v>
      </c>
      <c r="C23" s="639" t="str">
        <f>估价对象房地状况!C9</f>
        <v>一般</v>
      </c>
      <c r="D23" s="921">
        <v>100</v>
      </c>
      <c r="E23" s="924"/>
      <c r="F23" s="1023">
        <f>SUMIF(84:84,E24,85:85)-SUMIF(84:84,C24,85:85)+100</f>
        <v>100</v>
      </c>
      <c r="G23" s="1040"/>
      <c r="H23" s="921">
        <f>SUMIF(84:84,G24,85:85)-SUMIF(84:84,C24,85:85)+100</f>
        <v>100</v>
      </c>
      <c r="I23" s="924"/>
      <c r="J23" s="921">
        <f>SUMIF(84:84,I24,85:85)-SUMIF(84:84,C24,85:85)+100</f>
        <v>100</v>
      </c>
      <c r="K23" s="1241"/>
      <c r="L23" s="1037"/>
      <c r="M23" s="971"/>
      <c r="N23" s="971"/>
      <c r="O23" s="971"/>
      <c r="P23" s="3367"/>
      <c r="Q23" s="641" t="str">
        <f>B23</f>
        <v>自然及人文环境</v>
      </c>
      <c r="R23" s="1074" t="s">
        <v>956</v>
      </c>
      <c r="S23" s="1075">
        <f>F23</f>
        <v>100</v>
      </c>
      <c r="T23" s="1074" t="s">
        <v>956</v>
      </c>
      <c r="U23" s="1075">
        <f>H23</f>
        <v>100</v>
      </c>
      <c r="V23" s="1074" t="s">
        <v>956</v>
      </c>
      <c r="W23" s="1075">
        <f>J23</f>
        <v>100</v>
      </c>
      <c r="X23" s="1069"/>
      <c r="Y23" s="3333"/>
      <c r="Z23" s="1058" t="str">
        <f>Q23</f>
        <v>自然及人文环境</v>
      </c>
      <c r="AA23" s="1058">
        <f t="shared" si="3"/>
        <v>1</v>
      </c>
      <c r="AB23" s="1058">
        <f t="shared" si="4"/>
        <v>1</v>
      </c>
      <c r="AC23" s="1058">
        <f t="shared" si="5"/>
        <v>1</v>
      </c>
    </row>
    <row r="24" spans="1:29" ht="15">
      <c r="A24" s="899"/>
      <c r="B24" s="945"/>
      <c r="C24" s="918"/>
      <c r="D24" s="919"/>
      <c r="E24" s="927"/>
      <c r="F24" s="1024"/>
      <c r="G24" s="1041"/>
      <c r="H24" s="919"/>
      <c r="I24" s="927"/>
      <c r="J24" s="919"/>
      <c r="K24" s="1242"/>
      <c r="L24" s="1037"/>
      <c r="M24" s="971"/>
      <c r="N24" s="971"/>
      <c r="O24" s="971"/>
      <c r="P24" s="3367"/>
      <c r="Q24" s="641"/>
      <c r="R24" s="1074"/>
      <c r="S24" s="1075"/>
      <c r="T24" s="1074"/>
      <c r="U24" s="1075"/>
      <c r="V24" s="1074"/>
      <c r="W24" s="1075"/>
      <c r="X24" s="1069"/>
      <c r="Y24" s="3333"/>
      <c r="Z24" s="1058"/>
      <c r="AA24" s="1058">
        <v>1</v>
      </c>
      <c r="AB24" s="1058">
        <v>1</v>
      </c>
      <c r="AC24" s="1058">
        <v>1</v>
      </c>
    </row>
    <row r="25" spans="1:29" ht="15">
      <c r="A25" s="899"/>
      <c r="B25" s="896" t="s">
        <v>978</v>
      </c>
      <c r="C25" s="932"/>
      <c r="D25" s="765">
        <v>100</v>
      </c>
      <c r="E25" s="932"/>
      <c r="F25" s="1053">
        <f>SUMIF(86:86,E25,87:87)-SUMIF(86:86,C25,87:87)+100</f>
        <v>100</v>
      </c>
      <c r="G25" s="932"/>
      <c r="H25" s="765">
        <f>SUMIF(86:86,G25,87:87)-SUMIF(86:86,C25,87:87)+100</f>
        <v>100</v>
      </c>
      <c r="I25" s="932"/>
      <c r="J25" s="765">
        <f>SUMIF(86:86,I25,87:87)-SUMIF(86:86,C25,87:87)+100</f>
        <v>100</v>
      </c>
      <c r="K25" s="1044"/>
      <c r="L25" s="1037"/>
      <c r="M25" s="971"/>
      <c r="N25" s="971"/>
      <c r="O25" s="971"/>
      <c r="P25" s="3367"/>
      <c r="Q25" s="641" t="str">
        <f t="shared" ref="Q25:Q46" si="11">B25</f>
        <v>临街状况</v>
      </c>
      <c r="R25" s="1074" t="s">
        <v>956</v>
      </c>
      <c r="S25" s="1075">
        <f>F25</f>
        <v>100</v>
      </c>
      <c r="T25" s="1074" t="s">
        <v>956</v>
      </c>
      <c r="U25" s="1075">
        <f>H25</f>
        <v>100</v>
      </c>
      <c r="V25" s="1074" t="s">
        <v>956</v>
      </c>
      <c r="W25" s="1075">
        <f>J25</f>
        <v>100</v>
      </c>
      <c r="X25" s="1069"/>
      <c r="Y25" s="3333"/>
      <c r="Z25" s="1058" t="str">
        <f>Q25</f>
        <v>临街状况</v>
      </c>
      <c r="AA25" s="1058">
        <f t="shared" si="3"/>
        <v>1</v>
      </c>
      <c r="AB25" s="1058">
        <f t="shared" si="4"/>
        <v>1</v>
      </c>
      <c r="AC25" s="1058">
        <f t="shared" si="5"/>
        <v>1</v>
      </c>
    </row>
    <row r="26" spans="1:29" ht="15">
      <c r="A26" s="899"/>
      <c r="B26" s="1133" t="s">
        <v>1937</v>
      </c>
      <c r="C26" s="907"/>
      <c r="D26" s="765">
        <v>100</v>
      </c>
      <c r="E26" s="907"/>
      <c r="F26" s="1053">
        <f>SUMIF(88:88,E26,89:89)-SUMIF(88:88,C26,89:89)+100</f>
        <v>100</v>
      </c>
      <c r="G26" s="907"/>
      <c r="H26" s="765">
        <f>SUMIF(88:88,G26,89:89)-SUMIF(88:88,C26,89:89)+100</f>
        <v>100</v>
      </c>
      <c r="I26" s="907"/>
      <c r="J26" s="765">
        <f>SUMIF(88:88,I26,89:89)-SUMIF(88:88,C26,89:89)+100</f>
        <v>100</v>
      </c>
      <c r="K26" s="1043"/>
      <c r="L26" s="1037"/>
      <c r="M26" s="971"/>
      <c r="N26" s="971"/>
      <c r="O26" s="971"/>
      <c r="P26" s="3367"/>
      <c r="Q26" s="641" t="str">
        <f t="shared" si="11"/>
        <v>平面位置/可视性</v>
      </c>
      <c r="R26" s="1074" t="s">
        <v>956</v>
      </c>
      <c r="S26" s="1075">
        <f>F26</f>
        <v>100</v>
      </c>
      <c r="T26" s="1074" t="s">
        <v>956</v>
      </c>
      <c r="U26" s="1075">
        <f>H26</f>
        <v>100</v>
      </c>
      <c r="V26" s="1074" t="s">
        <v>956</v>
      </c>
      <c r="W26" s="1075">
        <f>J26</f>
        <v>100</v>
      </c>
      <c r="X26" s="1069"/>
      <c r="Y26" s="3333"/>
      <c r="Z26" s="1058" t="str">
        <f>Q26</f>
        <v>平面位置/可视性</v>
      </c>
      <c r="AA26" s="1058">
        <f t="shared" si="3"/>
        <v>1</v>
      </c>
      <c r="AB26" s="1058">
        <f t="shared" si="4"/>
        <v>1</v>
      </c>
      <c r="AC26" s="1058">
        <f t="shared" si="5"/>
        <v>1</v>
      </c>
    </row>
    <row r="27" spans="1:29" s="855" customFormat="1" ht="15">
      <c r="A27" s="902"/>
      <c r="B27" s="1211" t="s">
        <v>1938</v>
      </c>
      <c r="C27" s="1381"/>
      <c r="D27" s="926">
        <v>100</v>
      </c>
      <c r="E27" s="1381"/>
      <c r="F27" s="945">
        <f>SUMIF(90:90,E27,91:91)-SUMIF(90:90,C27,91:91)+100</f>
        <v>100</v>
      </c>
      <c r="G27" s="1381"/>
      <c r="H27" s="926">
        <f>SUMIF(90:90,G27,91:91)-SUMIF(90:90,C27,91:91)+100</f>
        <v>100</v>
      </c>
      <c r="I27" s="1381"/>
      <c r="J27" s="926">
        <f>SUMIF(90:90,I27,91:91)-SUMIF(90:90,C27,91:91)+100</f>
        <v>100</v>
      </c>
      <c r="K27" s="1044"/>
      <c r="L27" s="1026"/>
      <c r="M27" s="1027"/>
      <c r="N27" s="1027"/>
      <c r="O27" s="1027"/>
      <c r="P27" s="3367"/>
      <c r="Q27" s="795" t="str">
        <f t="shared" si="11"/>
        <v>人流量</v>
      </c>
      <c r="R27" s="1070" t="s">
        <v>956</v>
      </c>
      <c r="S27" s="1071">
        <f>F27</f>
        <v>100</v>
      </c>
      <c r="T27" s="1070" t="s">
        <v>956</v>
      </c>
      <c r="U27" s="1071">
        <f>H27</f>
        <v>100</v>
      </c>
      <c r="V27" s="1070" t="s">
        <v>956</v>
      </c>
      <c r="W27" s="1071">
        <f>J27</f>
        <v>100</v>
      </c>
      <c r="X27" s="1072"/>
      <c r="Y27" s="3333"/>
      <c r="Z27" s="1082" t="str">
        <f>Q27</f>
        <v>人流量</v>
      </c>
      <c r="AA27" s="1058">
        <f t="shared" si="3"/>
        <v>1</v>
      </c>
      <c r="AB27" s="1058">
        <f t="shared" si="4"/>
        <v>1</v>
      </c>
      <c r="AC27" s="1058">
        <f t="shared" si="5"/>
        <v>1</v>
      </c>
    </row>
    <row r="28" spans="1:29" ht="15">
      <c r="A28" s="899"/>
      <c r="B28" s="896" t="s">
        <v>1939</v>
      </c>
      <c r="C28" s="932"/>
      <c r="D28" s="765">
        <v>100</v>
      </c>
      <c r="E28" s="932"/>
      <c r="F28" s="1053">
        <f>SUMIF(92:92,E28,93:93)-SUMIF(92:92,C28,93:93)+100</f>
        <v>100</v>
      </c>
      <c r="G28" s="932"/>
      <c r="H28" s="765">
        <f>SUMIF(92:92,G28,93:93)-SUMIF(92:92,C28,93:93)+100</f>
        <v>100</v>
      </c>
      <c r="I28" s="932"/>
      <c r="J28" s="765">
        <f>SUMIF(92:92,I28,93:93)-SUMIF(92:92,C28,93:93)+100</f>
        <v>100</v>
      </c>
      <c r="K28" s="1043"/>
      <c r="L28" s="1037"/>
      <c r="M28" s="971"/>
      <c r="N28" s="971"/>
      <c r="O28" s="971"/>
      <c r="P28" s="3367"/>
      <c r="Q28" s="641" t="str">
        <f t="shared" si="11"/>
        <v>楼层</v>
      </c>
      <c r="R28" s="1074" t="s">
        <v>956</v>
      </c>
      <c r="S28" s="1075">
        <f t="shared" ref="S28:S46" si="12">F28</f>
        <v>100</v>
      </c>
      <c r="T28" s="1074" t="s">
        <v>956</v>
      </c>
      <c r="U28" s="1075">
        <f t="shared" ref="U28:U46" si="13">H28</f>
        <v>100</v>
      </c>
      <c r="V28" s="1074" t="s">
        <v>956</v>
      </c>
      <c r="W28" s="1075">
        <f t="shared" ref="W28:W46" si="14">J28</f>
        <v>100</v>
      </c>
      <c r="X28" s="1069"/>
      <c r="Y28" s="3333"/>
      <c r="Z28" s="1058" t="str">
        <f t="shared" ref="Z28:Z46" si="15">Q28</f>
        <v>楼层</v>
      </c>
      <c r="AA28" s="1058">
        <f t="shared" si="3"/>
        <v>1</v>
      </c>
      <c r="AB28" s="1058">
        <f t="shared" si="4"/>
        <v>1</v>
      </c>
      <c r="AC28" s="1058">
        <f t="shared" si="5"/>
        <v>1</v>
      </c>
    </row>
    <row r="29" spans="1:29" ht="15">
      <c r="A29" s="899"/>
      <c r="B29" s="1133">
        <v>111</v>
      </c>
      <c r="C29" s="907"/>
      <c r="D29" s="765">
        <v>100</v>
      </c>
      <c r="E29" s="907"/>
      <c r="F29" s="1053">
        <f>SUMIF(94:94,E29,95:95)-SUMIF(94:94,C29,95:95)+100</f>
        <v>100</v>
      </c>
      <c r="G29" s="907"/>
      <c r="H29" s="765">
        <f>SUMIF(94:94,G29,95:95)-SUMIF(94:94,C29,95:95)+100</f>
        <v>100</v>
      </c>
      <c r="I29" s="907"/>
      <c r="J29" s="765">
        <f>SUMIF(94:94,I29,95:95)-SUMIF(94:94,C29,95:95)+100</f>
        <v>100</v>
      </c>
      <c r="K29" s="1043"/>
      <c r="L29" s="1037"/>
      <c r="M29" s="971"/>
      <c r="N29" s="971"/>
      <c r="O29" s="971"/>
      <c r="P29" s="3367"/>
      <c r="Q29" s="641">
        <f t="shared" si="11"/>
        <v>111</v>
      </c>
      <c r="R29" s="1074" t="s">
        <v>956</v>
      </c>
      <c r="S29" s="1075">
        <f t="shared" si="12"/>
        <v>100</v>
      </c>
      <c r="T29" s="1074" t="s">
        <v>956</v>
      </c>
      <c r="U29" s="1075">
        <f t="shared" si="13"/>
        <v>100</v>
      </c>
      <c r="V29" s="1074" t="s">
        <v>956</v>
      </c>
      <c r="W29" s="1075">
        <f t="shared" si="14"/>
        <v>100</v>
      </c>
      <c r="X29" s="1069"/>
      <c r="Y29" s="3333"/>
      <c r="Z29" s="1058">
        <f t="shared" si="15"/>
        <v>111</v>
      </c>
      <c r="AA29" s="1058">
        <f t="shared" si="3"/>
        <v>1</v>
      </c>
      <c r="AB29" s="1058">
        <f t="shared" si="4"/>
        <v>1</v>
      </c>
      <c r="AC29" s="1058">
        <f t="shared" si="5"/>
        <v>1</v>
      </c>
    </row>
    <row r="30" spans="1:29" ht="15">
      <c r="A30" s="899"/>
      <c r="B30" s="1133">
        <v>111</v>
      </c>
      <c r="C30" s="907"/>
      <c r="D30" s="765">
        <v>100</v>
      </c>
      <c r="E30" s="907"/>
      <c r="F30" s="1053">
        <f>SUMIF(96:96,E30,97:97)-SUMIF(96:96,C30,97:97)+100</f>
        <v>100</v>
      </c>
      <c r="G30" s="907"/>
      <c r="H30" s="765">
        <f>SUMIF(96:96,G30,97:97)-SUMIF(96:96,C30,97:97)+100</f>
        <v>100</v>
      </c>
      <c r="I30" s="907"/>
      <c r="J30" s="765">
        <f>SUMIF(96:96,I30,97:97)-SUMIF(96:96,C30,97:97)+100</f>
        <v>100</v>
      </c>
      <c r="K30" s="1043"/>
      <c r="L30" s="1037"/>
      <c r="M30" s="971"/>
      <c r="N30" s="971"/>
      <c r="O30" s="971"/>
      <c r="P30" s="3367"/>
      <c r="Q30" s="641">
        <f t="shared" si="11"/>
        <v>111</v>
      </c>
      <c r="R30" s="1074" t="s">
        <v>956</v>
      </c>
      <c r="S30" s="1075">
        <f t="shared" si="12"/>
        <v>100</v>
      </c>
      <c r="T30" s="1074" t="s">
        <v>956</v>
      </c>
      <c r="U30" s="1075">
        <f t="shared" si="13"/>
        <v>100</v>
      </c>
      <c r="V30" s="1074" t="s">
        <v>956</v>
      </c>
      <c r="W30" s="1075">
        <f t="shared" si="14"/>
        <v>100</v>
      </c>
      <c r="X30" s="1069"/>
      <c r="Y30" s="3333"/>
      <c r="Z30" s="1058">
        <f t="shared" si="15"/>
        <v>111</v>
      </c>
      <c r="AA30" s="1058">
        <f t="shared" si="3"/>
        <v>1</v>
      </c>
      <c r="AB30" s="1058">
        <f t="shared" si="4"/>
        <v>1</v>
      </c>
      <c r="AC30" s="1058">
        <f t="shared" si="5"/>
        <v>1</v>
      </c>
    </row>
    <row r="31" spans="1:29" ht="15">
      <c r="A31" s="908"/>
      <c r="B31" s="1133">
        <v>111</v>
      </c>
      <c r="C31" s="910"/>
      <c r="D31" s="911">
        <v>100</v>
      </c>
      <c r="E31" s="907"/>
      <c r="F31" s="1225">
        <f>SUMIF(98:98,E31,99:99)-SUMIF(98:98,C31,99:99)+100</f>
        <v>100</v>
      </c>
      <c r="G31" s="907"/>
      <c r="H31" s="911">
        <f>SUMIF(98:98,G31,99:99)-SUMIF(98:98,C31,99:99)+100</f>
        <v>100</v>
      </c>
      <c r="I31" s="907"/>
      <c r="J31" s="911">
        <f>SUMIF(98:98,I31,99:99)-SUMIF(98:98,C31,99:99)+100</f>
        <v>100</v>
      </c>
      <c r="K31" s="1043"/>
      <c r="L31" s="1037"/>
      <c r="M31" s="971"/>
      <c r="N31" s="971"/>
      <c r="O31" s="971"/>
      <c r="P31" s="3367"/>
      <c r="Q31" s="641">
        <f t="shared" si="11"/>
        <v>111</v>
      </c>
      <c r="R31" s="1074" t="s">
        <v>956</v>
      </c>
      <c r="S31" s="1075">
        <f t="shared" si="12"/>
        <v>100</v>
      </c>
      <c r="T31" s="1074" t="s">
        <v>956</v>
      </c>
      <c r="U31" s="1075">
        <f t="shared" si="13"/>
        <v>100</v>
      </c>
      <c r="V31" s="1074" t="s">
        <v>956</v>
      </c>
      <c r="W31" s="1075">
        <f t="shared" si="14"/>
        <v>100</v>
      </c>
      <c r="X31" s="1069"/>
      <c r="Y31" s="3333"/>
      <c r="Z31" s="1058">
        <f t="shared" si="15"/>
        <v>111</v>
      </c>
      <c r="AA31" s="1058">
        <f t="shared" si="3"/>
        <v>1</v>
      </c>
      <c r="AB31" s="1058">
        <f t="shared" si="4"/>
        <v>1</v>
      </c>
      <c r="AC31" s="1058">
        <f t="shared" si="5"/>
        <v>1</v>
      </c>
    </row>
    <row r="32" spans="1:29" ht="15">
      <c r="A32" s="912" t="s">
        <v>983</v>
      </c>
      <c r="B32" s="892" t="s">
        <v>1940</v>
      </c>
      <c r="C32" s="1218"/>
      <c r="D32" s="876">
        <v>100</v>
      </c>
      <c r="E32" s="1218"/>
      <c r="F32" s="1053">
        <f>SUMIF(100:100,E32,101:101)-SUMIF(100:100,C32,101:101)+100</f>
        <v>100</v>
      </c>
      <c r="G32" s="1218"/>
      <c r="H32" s="765">
        <f>SUMIF(100:100,G32,101:101)-SUMIF(100:100,C32,101:101)+100</f>
        <v>100</v>
      </c>
      <c r="I32" s="1218"/>
      <c r="J32" s="876">
        <f>SUMIF(100:100,I32,101:101)-SUMIF(100:100,C32,101:101)+100</f>
        <v>100</v>
      </c>
      <c r="K32" s="1044"/>
      <c r="L32" s="1037"/>
      <c r="M32" s="971"/>
      <c r="N32" s="971"/>
      <c r="O32" s="971"/>
      <c r="P32" s="3368" t="s">
        <v>982</v>
      </c>
      <c r="Q32" s="641" t="str">
        <f t="shared" si="11"/>
        <v>商业类型</v>
      </c>
      <c r="R32" s="1074" t="s">
        <v>956</v>
      </c>
      <c r="S32" s="1075">
        <f t="shared" si="12"/>
        <v>100</v>
      </c>
      <c r="T32" s="1074" t="s">
        <v>956</v>
      </c>
      <c r="U32" s="1075">
        <f t="shared" si="13"/>
        <v>100</v>
      </c>
      <c r="V32" s="1074" t="s">
        <v>956</v>
      </c>
      <c r="W32" s="1075">
        <f t="shared" si="14"/>
        <v>100</v>
      </c>
      <c r="X32" s="1069"/>
      <c r="Y32" s="3335" t="s">
        <v>982</v>
      </c>
      <c r="Z32" s="1058" t="str">
        <f t="shared" si="15"/>
        <v>商业类型</v>
      </c>
      <c r="AA32" s="1058">
        <f t="shared" si="3"/>
        <v>1</v>
      </c>
      <c r="AB32" s="1058">
        <f t="shared" si="4"/>
        <v>1</v>
      </c>
      <c r="AC32" s="1058">
        <f t="shared" si="5"/>
        <v>1</v>
      </c>
    </row>
    <row r="33" spans="1:29" s="857" customFormat="1" ht="15">
      <c r="A33" s="952"/>
      <c r="B33" s="896" t="s">
        <v>1563</v>
      </c>
      <c r="C33" s="1207"/>
      <c r="D33" s="898">
        <v>100</v>
      </c>
      <c r="E33" s="901"/>
      <c r="F33" s="896" t="e">
        <f>LOOKUP(E33,103:103,104:104)-LOOKUP(C33,103:103,104:104)+100</f>
        <v>#N/A</v>
      </c>
      <c r="G33" s="900"/>
      <c r="H33" s="898" t="e">
        <f>LOOKUP(G33,103:103,104:104)-LOOKUP(C33,103:103,104:104)+100</f>
        <v>#N/A</v>
      </c>
      <c r="I33" s="900"/>
      <c r="J33" s="898" t="e">
        <f>LOOKUP(I33,103:103,104:104)-LOOKUP(C33,103:103,104:104)+100</f>
        <v>#N/A</v>
      </c>
      <c r="K33" s="1043"/>
      <c r="L33" s="1035"/>
      <c r="M33" s="1045"/>
      <c r="N33" s="1045"/>
      <c r="O33" s="1045"/>
      <c r="P33" s="3369"/>
      <c r="Q33" s="1244" t="str">
        <f t="shared" si="11"/>
        <v>项目建筑规模</v>
      </c>
      <c r="R33" s="1076" t="s">
        <v>956</v>
      </c>
      <c r="S33" s="1077" t="e">
        <f t="shared" si="12"/>
        <v>#N/A</v>
      </c>
      <c r="T33" s="1076" t="s">
        <v>956</v>
      </c>
      <c r="U33" s="1077" t="e">
        <f t="shared" si="13"/>
        <v>#N/A</v>
      </c>
      <c r="V33" s="1076" t="s">
        <v>956</v>
      </c>
      <c r="W33" s="1077" t="e">
        <f t="shared" si="14"/>
        <v>#N/A</v>
      </c>
      <c r="X33" s="1078"/>
      <c r="Y33" s="3335"/>
      <c r="Z33" s="1083" t="str">
        <f t="shared" si="15"/>
        <v>项目建筑规模</v>
      </c>
      <c r="AA33" s="1058" t="e">
        <f t="shared" si="3"/>
        <v>#N/A</v>
      </c>
      <c r="AB33" s="1058" t="e">
        <f t="shared" si="4"/>
        <v>#N/A</v>
      </c>
      <c r="AC33" s="1058" t="e">
        <f t="shared" si="5"/>
        <v>#N/A</v>
      </c>
    </row>
    <row r="34" spans="1:29" ht="15">
      <c r="A34" s="947"/>
      <c r="B34" s="896" t="s">
        <v>1564</v>
      </c>
      <c r="C34" s="1222"/>
      <c r="D34" s="765">
        <v>100</v>
      </c>
      <c r="E34" s="1222"/>
      <c r="F34" s="1053">
        <f>SUMIF(105:105,E34,106:106)-SUMIF(105:105,C34,106:106)+100</f>
        <v>100</v>
      </c>
      <c r="G34" s="1222"/>
      <c r="H34" s="765">
        <f>SUMIF(105:105,G34,106:106)-SUMIF(105:105,C34,106:106)+100</f>
        <v>100</v>
      </c>
      <c r="I34" s="1222"/>
      <c r="J34" s="765">
        <f>SUMIF(105:105,I34,106:106)-SUMIF(105:105,C34,106:106)+100</f>
        <v>100</v>
      </c>
      <c r="K34" s="1044"/>
      <c r="L34" s="1037"/>
      <c r="M34" s="971"/>
      <c r="N34" s="971"/>
      <c r="O34" s="971"/>
      <c r="P34" s="3369"/>
      <c r="Q34" s="641" t="str">
        <f t="shared" si="11"/>
        <v>建筑结构</v>
      </c>
      <c r="R34" s="1074" t="s">
        <v>956</v>
      </c>
      <c r="S34" s="1075">
        <f t="shared" si="12"/>
        <v>100</v>
      </c>
      <c r="T34" s="1074" t="s">
        <v>956</v>
      </c>
      <c r="U34" s="1075">
        <f t="shared" si="13"/>
        <v>100</v>
      </c>
      <c r="V34" s="1074" t="s">
        <v>956</v>
      </c>
      <c r="W34" s="1075">
        <f t="shared" si="14"/>
        <v>100</v>
      </c>
      <c r="X34" s="1069"/>
      <c r="Y34" s="3335"/>
      <c r="Z34" s="1058" t="str">
        <f t="shared" si="15"/>
        <v>建筑结构</v>
      </c>
      <c r="AA34" s="1058">
        <f t="shared" si="3"/>
        <v>1</v>
      </c>
      <c r="AB34" s="1058">
        <f t="shared" si="4"/>
        <v>1</v>
      </c>
      <c r="AC34" s="1058">
        <f t="shared" si="5"/>
        <v>1</v>
      </c>
    </row>
    <row r="35" spans="1:29" ht="15">
      <c r="A35" s="947"/>
      <c r="B35" s="896" t="s">
        <v>1567</v>
      </c>
      <c r="C35" s="948"/>
      <c r="D35" s="765">
        <v>100</v>
      </c>
      <c r="E35" s="948"/>
      <c r="F35" s="1053">
        <f>SUMIF(107:107,E35,108:108)-SUMIF(107:107,C35,108:108)+100</f>
        <v>100</v>
      </c>
      <c r="G35" s="948"/>
      <c r="H35" s="765">
        <f>SUMIF(107:107,G35,108:108)-SUMIF(107:107,C35,108:108)+100</f>
        <v>100</v>
      </c>
      <c r="I35" s="948"/>
      <c r="J35" s="765">
        <f>SUMIF(107:107,I35,108:108)-SUMIF(107:107,C35,108:108)+100</f>
        <v>100</v>
      </c>
      <c r="K35" s="1044"/>
      <c r="L35" s="1037"/>
      <c r="M35" s="971"/>
      <c r="N35" s="971"/>
      <c r="O35" s="971"/>
      <c r="P35" s="3369"/>
      <c r="Q35" s="641" t="str">
        <f t="shared" si="11"/>
        <v>公共部分装修</v>
      </c>
      <c r="R35" s="1074" t="s">
        <v>956</v>
      </c>
      <c r="S35" s="1075">
        <f t="shared" si="12"/>
        <v>100</v>
      </c>
      <c r="T35" s="1074" t="s">
        <v>956</v>
      </c>
      <c r="U35" s="1075">
        <f t="shared" si="13"/>
        <v>100</v>
      </c>
      <c r="V35" s="1074" t="s">
        <v>956</v>
      </c>
      <c r="W35" s="1075">
        <f t="shared" si="14"/>
        <v>100</v>
      </c>
      <c r="X35" s="1069"/>
      <c r="Y35" s="3335"/>
      <c r="Z35" s="1058" t="str">
        <f t="shared" si="15"/>
        <v>公共部分装修</v>
      </c>
      <c r="AA35" s="1058">
        <f t="shared" si="3"/>
        <v>1</v>
      </c>
      <c r="AB35" s="1058">
        <f t="shared" si="4"/>
        <v>1</v>
      </c>
      <c r="AC35" s="1058">
        <f t="shared" si="5"/>
        <v>1</v>
      </c>
    </row>
    <row r="36" spans="1:29" ht="15">
      <c r="A36" s="947"/>
      <c r="B36" s="896" t="s">
        <v>579</v>
      </c>
      <c r="C36" s="1219"/>
      <c r="D36" s="765">
        <v>100</v>
      </c>
      <c r="E36" s="1219"/>
      <c r="F36" s="1053" t="e">
        <f>LOOKUP(E36,110:110,111:111)-LOOKUP(C36,110:110,111:111)+100</f>
        <v>#N/A</v>
      </c>
      <c r="G36" s="1219"/>
      <c r="H36" s="1053" t="e">
        <f>LOOKUP(G36,110:110,111:111)-LOOKUP(C36,110:110,111:111)+100</f>
        <v>#N/A</v>
      </c>
      <c r="I36" s="1219"/>
      <c r="J36" s="765" t="e">
        <f>LOOKUP(I36,110:110,111:111)-LOOKUP(C36,110:110,111:111)+100</f>
        <v>#N/A</v>
      </c>
      <c r="K36" s="1044"/>
      <c r="L36" s="1037"/>
      <c r="M36" s="971"/>
      <c r="N36" s="971"/>
      <c r="O36" s="971"/>
      <c r="P36" s="3369"/>
      <c r="Q36" s="641" t="str">
        <f t="shared" si="11"/>
        <v>成新度</v>
      </c>
      <c r="R36" s="1074" t="s">
        <v>956</v>
      </c>
      <c r="S36" s="1075" t="e">
        <f t="shared" si="12"/>
        <v>#N/A</v>
      </c>
      <c r="T36" s="1074" t="s">
        <v>956</v>
      </c>
      <c r="U36" s="1075" t="e">
        <f t="shared" si="13"/>
        <v>#N/A</v>
      </c>
      <c r="V36" s="1074" t="s">
        <v>956</v>
      </c>
      <c r="W36" s="1075" t="e">
        <f t="shared" si="14"/>
        <v>#N/A</v>
      </c>
      <c r="X36" s="1069"/>
      <c r="Y36" s="3335"/>
      <c r="Z36" s="1058" t="str">
        <f t="shared" si="15"/>
        <v>成新度</v>
      </c>
      <c r="AA36" s="1058" t="e">
        <f t="shared" si="3"/>
        <v>#N/A</v>
      </c>
      <c r="AB36" s="1058" t="e">
        <f t="shared" si="4"/>
        <v>#N/A</v>
      </c>
      <c r="AC36" s="1058" t="e">
        <f t="shared" si="5"/>
        <v>#N/A</v>
      </c>
    </row>
    <row r="37" spans="1:29" s="855" customFormat="1" ht="15">
      <c r="A37" s="949"/>
      <c r="B37" s="896" t="s">
        <v>1571</v>
      </c>
      <c r="C37" s="948"/>
      <c r="D37" s="898">
        <v>100</v>
      </c>
      <c r="E37" s="948"/>
      <c r="F37" s="1053">
        <f>SUMIF(112:112,E37,113:113)-SUMIF(112:112,C37,113:113)+100</f>
        <v>100</v>
      </c>
      <c r="G37" s="948"/>
      <c r="H37" s="765">
        <f>SUMIF(112:112,G37,113:113)-SUMIF(112:112,C37,113:113)+100</f>
        <v>100</v>
      </c>
      <c r="I37" s="948"/>
      <c r="J37" s="765">
        <f>SUMIF(112:112,I37,113:113)-SUMIF(112:112,C37,113:113)+100</f>
        <v>100</v>
      </c>
      <c r="K37" s="1044"/>
      <c r="L37" s="1026"/>
      <c r="M37" s="1027"/>
      <c r="N37" s="1027"/>
      <c r="O37" s="1027"/>
      <c r="P37" s="3369"/>
      <c r="Q37" s="795" t="str">
        <f t="shared" si="11"/>
        <v>市政基础设施</v>
      </c>
      <c r="R37" s="1070" t="s">
        <v>956</v>
      </c>
      <c r="S37" s="1071">
        <f t="shared" si="12"/>
        <v>100</v>
      </c>
      <c r="T37" s="1070" t="s">
        <v>956</v>
      </c>
      <c r="U37" s="1071">
        <f t="shared" si="13"/>
        <v>100</v>
      </c>
      <c r="V37" s="1070" t="s">
        <v>956</v>
      </c>
      <c r="W37" s="1071">
        <f t="shared" si="14"/>
        <v>100</v>
      </c>
      <c r="X37" s="1072"/>
      <c r="Y37" s="3335"/>
      <c r="Z37" s="1082" t="str">
        <f t="shared" si="15"/>
        <v>市政基础设施</v>
      </c>
      <c r="AA37" s="1082">
        <f t="shared" si="3"/>
        <v>1</v>
      </c>
      <c r="AB37" s="1082">
        <f t="shared" si="4"/>
        <v>1</v>
      </c>
      <c r="AC37" s="1082">
        <f t="shared" si="5"/>
        <v>1</v>
      </c>
    </row>
    <row r="38" spans="1:29" ht="15">
      <c r="A38" s="947"/>
      <c r="B38" s="896" t="s">
        <v>1941</v>
      </c>
      <c r="C38" s="948"/>
      <c r="D38" s="765">
        <v>100</v>
      </c>
      <c r="E38" s="948"/>
      <c r="F38" s="1053">
        <f>SUMIF(114:114,E38,115:115)-SUMIF(114:114,C38,115:115)+100</f>
        <v>100</v>
      </c>
      <c r="G38" s="948"/>
      <c r="H38" s="765">
        <f>SUMIF(114:114,G38,115:115)-SUMIF(114:114,C38,115:115)+100</f>
        <v>100</v>
      </c>
      <c r="I38" s="948"/>
      <c r="J38" s="765">
        <f>SUMIF(114:114,I38,115:115)-SUMIF(114:114,C38,115:115)+100</f>
        <v>100</v>
      </c>
      <c r="K38" s="1044"/>
      <c r="L38" s="1037"/>
      <c r="M38" s="971"/>
      <c r="N38" s="971"/>
      <c r="O38" s="971"/>
      <c r="P38" s="3369" t="s">
        <v>982</v>
      </c>
      <c r="Q38" s="641" t="str">
        <f t="shared" si="11"/>
        <v>业态</v>
      </c>
      <c r="R38" s="1074" t="s">
        <v>956</v>
      </c>
      <c r="S38" s="1075">
        <f t="shared" si="12"/>
        <v>100</v>
      </c>
      <c r="T38" s="1074" t="s">
        <v>956</v>
      </c>
      <c r="U38" s="1075">
        <f t="shared" si="13"/>
        <v>100</v>
      </c>
      <c r="V38" s="1074" t="s">
        <v>956</v>
      </c>
      <c r="W38" s="1075">
        <f t="shared" si="14"/>
        <v>100</v>
      </c>
      <c r="X38" s="1069"/>
      <c r="Y38" s="3335" t="s">
        <v>982</v>
      </c>
      <c r="Z38" s="1058" t="str">
        <f t="shared" si="15"/>
        <v>业态</v>
      </c>
      <c r="AA38" s="1058">
        <f t="shared" si="3"/>
        <v>1</v>
      </c>
      <c r="AB38" s="1058">
        <f t="shared" si="4"/>
        <v>1</v>
      </c>
      <c r="AC38" s="1058">
        <f t="shared" si="5"/>
        <v>1</v>
      </c>
    </row>
    <row r="39" spans="1:29" ht="15">
      <c r="A39" s="947"/>
      <c r="B39" s="896" t="s">
        <v>1942</v>
      </c>
      <c r="C39" s="948"/>
      <c r="D39" s="765">
        <v>100</v>
      </c>
      <c r="E39" s="948"/>
      <c r="F39" s="1053">
        <f>SUMIF(116:116,E39,117:117)-SUMIF(116:116,C39,117:117)+100</f>
        <v>100</v>
      </c>
      <c r="G39" s="948"/>
      <c r="H39" s="765">
        <f>SUMIF(116:116,G39,117:117)-SUMIF(116:116,C39,117:117)+100</f>
        <v>100</v>
      </c>
      <c r="I39" s="948"/>
      <c r="J39" s="765">
        <f>SUMIF(116:116,I39,117:117)-SUMIF(116:116,C39,117:117)+100</f>
        <v>100</v>
      </c>
      <c r="K39" s="1044"/>
      <c r="L39" s="1037"/>
      <c r="M39" s="971"/>
      <c r="N39" s="971"/>
      <c r="O39" s="971"/>
      <c r="P39" s="3369"/>
      <c r="Q39" s="641" t="str">
        <f t="shared" si="11"/>
        <v>层高</v>
      </c>
      <c r="R39" s="1074" t="s">
        <v>956</v>
      </c>
      <c r="S39" s="1075">
        <f t="shared" si="12"/>
        <v>100</v>
      </c>
      <c r="T39" s="1074" t="s">
        <v>956</v>
      </c>
      <c r="U39" s="1075">
        <f t="shared" si="13"/>
        <v>100</v>
      </c>
      <c r="V39" s="1074" t="s">
        <v>956</v>
      </c>
      <c r="W39" s="1075">
        <f t="shared" si="14"/>
        <v>100</v>
      </c>
      <c r="X39" s="1069"/>
      <c r="Y39" s="3335"/>
      <c r="Z39" s="1058" t="str">
        <f t="shared" si="15"/>
        <v>层高</v>
      </c>
      <c r="AA39" s="1058">
        <f t="shared" si="3"/>
        <v>1</v>
      </c>
      <c r="AB39" s="1058">
        <f t="shared" si="4"/>
        <v>1</v>
      </c>
      <c r="AC39" s="1058">
        <f t="shared" si="5"/>
        <v>1</v>
      </c>
    </row>
    <row r="40" spans="1:29" ht="15">
      <c r="A40" s="947"/>
      <c r="B40" s="896" t="s">
        <v>1943</v>
      </c>
      <c r="C40" s="1397"/>
      <c r="D40" s="765">
        <v>100</v>
      </c>
      <c r="E40" s="1398"/>
      <c r="F40" s="1053">
        <f>SUMIF(118:118,E40,119:119)-SUMIF(118:118,C40,119:119)+100</f>
        <v>100</v>
      </c>
      <c r="G40" s="1398"/>
      <c r="H40" s="765">
        <f>SUMIF(118:118,G40,119:119)-SUMIF(118:118,C40,119:119)+100</f>
        <v>100</v>
      </c>
      <c r="I40" s="1398"/>
      <c r="J40" s="765">
        <f>SUMIF(118:118,I40,119:119)-SUMIF(118:118,C40,119:119)+100</f>
        <v>100</v>
      </c>
      <c r="K40" s="1043"/>
      <c r="L40" s="1037"/>
      <c r="M40" s="971"/>
      <c r="N40" s="971"/>
      <c r="O40" s="971"/>
      <c r="P40" s="3369"/>
      <c r="Q40" s="641" t="str">
        <f t="shared" si="11"/>
        <v>单套建筑面积</v>
      </c>
      <c r="R40" s="1074" t="s">
        <v>956</v>
      </c>
      <c r="S40" s="1075">
        <f t="shared" si="12"/>
        <v>100</v>
      </c>
      <c r="T40" s="1074" t="s">
        <v>956</v>
      </c>
      <c r="U40" s="1075">
        <f t="shared" si="13"/>
        <v>100</v>
      </c>
      <c r="V40" s="1074" t="s">
        <v>956</v>
      </c>
      <c r="W40" s="1075">
        <f t="shared" si="14"/>
        <v>100</v>
      </c>
      <c r="X40" s="1069"/>
      <c r="Y40" s="3335"/>
      <c r="Z40" s="1058" t="str">
        <f t="shared" si="15"/>
        <v>单套建筑面积</v>
      </c>
      <c r="AA40" s="1058">
        <f t="shared" si="3"/>
        <v>1</v>
      </c>
      <c r="AB40" s="1058">
        <f t="shared" si="4"/>
        <v>1</v>
      </c>
      <c r="AC40" s="1058">
        <f t="shared" si="5"/>
        <v>1</v>
      </c>
    </row>
    <row r="41" spans="1:29" s="857" customFormat="1" ht="15">
      <c r="A41" s="952"/>
      <c r="B41" s="1053" t="s">
        <v>1944</v>
      </c>
      <c r="C41" s="932"/>
      <c r="D41" s="765">
        <v>100</v>
      </c>
      <c r="E41" s="932"/>
      <c r="F41" s="1053">
        <f>SUMIF(120:120,E41,121:121)-SUMIF(120:120,C41,121:121)+100</f>
        <v>100</v>
      </c>
      <c r="G41" s="932"/>
      <c r="H41" s="765">
        <f>SUMIF(120:120,G41,121:121)-SUMIF(120:120,C41,121:121)+100</f>
        <v>100</v>
      </c>
      <c r="I41" s="932"/>
      <c r="J41" s="765">
        <f>SUMIF(120:120,I41,121:121)-SUMIF(120:120,C41,121:121)+100</f>
        <v>100</v>
      </c>
      <c r="K41" s="1044"/>
      <c r="L41" s="1035"/>
      <c r="M41" s="1045"/>
      <c r="N41" s="1045"/>
      <c r="O41" s="1045"/>
      <c r="P41" s="3369"/>
      <c r="Q41" s="1244" t="str">
        <f t="shared" si="11"/>
        <v>进深比</v>
      </c>
      <c r="R41" s="1076" t="s">
        <v>956</v>
      </c>
      <c r="S41" s="1077">
        <f t="shared" si="12"/>
        <v>100</v>
      </c>
      <c r="T41" s="1076" t="s">
        <v>956</v>
      </c>
      <c r="U41" s="1077">
        <f t="shared" si="13"/>
        <v>100</v>
      </c>
      <c r="V41" s="1076" t="s">
        <v>956</v>
      </c>
      <c r="W41" s="1077">
        <f t="shared" si="14"/>
        <v>100</v>
      </c>
      <c r="X41" s="1078"/>
      <c r="Y41" s="3335"/>
      <c r="Z41" s="1083" t="str">
        <f t="shared" si="15"/>
        <v>进深比</v>
      </c>
      <c r="AA41" s="1058">
        <f t="shared" si="3"/>
        <v>1</v>
      </c>
      <c r="AB41" s="1058">
        <f t="shared" si="4"/>
        <v>1</v>
      </c>
      <c r="AC41" s="1058">
        <f t="shared" si="5"/>
        <v>1</v>
      </c>
    </row>
    <row r="42" spans="1:29" ht="15">
      <c r="A42" s="947"/>
      <c r="B42" s="896" t="s">
        <v>1574</v>
      </c>
      <c r="C42" s="948"/>
      <c r="D42" s="765">
        <v>100</v>
      </c>
      <c r="E42" s="948"/>
      <c r="F42" s="1053">
        <f>SUMIF(122:122,E42,123:123)-SUMIF(122:122,C42,123:123)+100</f>
        <v>100</v>
      </c>
      <c r="G42" s="948"/>
      <c r="H42" s="765">
        <f>SUMIF(122:122,G42,123:123)-SUMIF(122:122,C42,123:123)+100</f>
        <v>100</v>
      </c>
      <c r="I42" s="948"/>
      <c r="J42" s="765">
        <f>SUMIF(122:122,I42,123:123)-SUMIF(122:122,C42,123:123)+100</f>
        <v>100</v>
      </c>
      <c r="K42" s="1044"/>
      <c r="L42" s="1037"/>
      <c r="M42" s="971"/>
      <c r="N42" s="971"/>
      <c r="O42" s="971"/>
      <c r="P42" s="3369"/>
      <c r="Q42" s="641" t="str">
        <f t="shared" si="11"/>
        <v>内部装修</v>
      </c>
      <c r="R42" s="1074" t="s">
        <v>956</v>
      </c>
      <c r="S42" s="1075">
        <f t="shared" si="12"/>
        <v>100</v>
      </c>
      <c r="T42" s="1074" t="s">
        <v>956</v>
      </c>
      <c r="U42" s="1075">
        <f t="shared" si="13"/>
        <v>100</v>
      </c>
      <c r="V42" s="1074" t="s">
        <v>956</v>
      </c>
      <c r="W42" s="1075">
        <f t="shared" si="14"/>
        <v>100</v>
      </c>
      <c r="X42" s="1069"/>
      <c r="Y42" s="3335"/>
      <c r="Z42" s="1058" t="str">
        <f t="shared" si="15"/>
        <v>内部装修</v>
      </c>
      <c r="AA42" s="1058">
        <f t="shared" si="3"/>
        <v>1</v>
      </c>
      <c r="AB42" s="1058">
        <f t="shared" si="4"/>
        <v>1</v>
      </c>
      <c r="AC42" s="1058">
        <f t="shared" si="5"/>
        <v>1</v>
      </c>
    </row>
    <row r="43" spans="1:29" ht="15">
      <c r="A43" s="947"/>
      <c r="B43" s="896" t="s">
        <v>1576</v>
      </c>
      <c r="C43" s="948"/>
      <c r="D43" s="765">
        <v>100</v>
      </c>
      <c r="E43" s="948"/>
      <c r="F43" s="1053">
        <f>SUMIF(124:124,E43,125:125)-SUMIF(124:124,C43,125:125)+100</f>
        <v>100</v>
      </c>
      <c r="G43" s="948"/>
      <c r="H43" s="765">
        <f>SUMIF(124:124,G43,125:125)-SUMIF(124:124,C43,125:125)+100</f>
        <v>100</v>
      </c>
      <c r="I43" s="948"/>
      <c r="J43" s="765">
        <f>SUMIF(124:124,I43,125:125)-SUMIF(124:124,C43,125:125)+100</f>
        <v>100</v>
      </c>
      <c r="K43" s="1044"/>
      <c r="L43" s="1037"/>
      <c r="M43" s="971"/>
      <c r="N43" s="971"/>
      <c r="O43" s="971"/>
      <c r="P43" s="3369"/>
      <c r="Q43" s="641" t="str">
        <f t="shared" si="11"/>
        <v>内部装修维护情况</v>
      </c>
      <c r="R43" s="1074" t="s">
        <v>956</v>
      </c>
      <c r="S43" s="1075">
        <f t="shared" si="12"/>
        <v>100</v>
      </c>
      <c r="T43" s="1074" t="s">
        <v>956</v>
      </c>
      <c r="U43" s="1075">
        <f t="shared" si="13"/>
        <v>100</v>
      </c>
      <c r="V43" s="1074" t="s">
        <v>956</v>
      </c>
      <c r="W43" s="1075">
        <f t="shared" si="14"/>
        <v>100</v>
      </c>
      <c r="X43" s="1069"/>
      <c r="Y43" s="3335"/>
      <c r="Z43" s="1058" t="str">
        <f t="shared" si="15"/>
        <v>内部装修维护情况</v>
      </c>
      <c r="AA43" s="1058">
        <f t="shared" si="3"/>
        <v>1</v>
      </c>
      <c r="AB43" s="1058">
        <f t="shared" si="4"/>
        <v>1</v>
      </c>
      <c r="AC43" s="1058">
        <f t="shared" si="5"/>
        <v>1</v>
      </c>
    </row>
    <row r="44" spans="1:29" s="855" customFormat="1" ht="15">
      <c r="A44" s="949"/>
      <c r="B44" s="1133">
        <v>111</v>
      </c>
      <c r="C44" s="1207"/>
      <c r="D44" s="898">
        <v>100</v>
      </c>
      <c r="E44" s="907"/>
      <c r="F44" s="896">
        <f>SUMIF(126:126,E44,127:127)-SUMIF(126:126,C44,127:127)+100</f>
        <v>100</v>
      </c>
      <c r="G44" s="907"/>
      <c r="H44" s="898">
        <f>SUMIF(126:126,G44,127:127)-SUMIF(126:126,C44,127:127)+100</f>
        <v>100</v>
      </c>
      <c r="I44" s="907"/>
      <c r="J44" s="898">
        <f>SUMIF(126:126,I44,127:127)-SUMIF(126:126,C44,127:127)+100</f>
        <v>100</v>
      </c>
      <c r="K44" s="1043"/>
      <c r="L44" s="1026"/>
      <c r="M44" s="1027"/>
      <c r="N44" s="1027"/>
      <c r="O44" s="1027"/>
      <c r="P44" s="3369"/>
      <c r="Q44" s="795">
        <f t="shared" si="11"/>
        <v>111</v>
      </c>
      <c r="R44" s="1070" t="s">
        <v>956</v>
      </c>
      <c r="S44" s="1071">
        <f t="shared" si="12"/>
        <v>100</v>
      </c>
      <c r="T44" s="1070" t="s">
        <v>956</v>
      </c>
      <c r="U44" s="1071">
        <f t="shared" si="13"/>
        <v>100</v>
      </c>
      <c r="V44" s="1070" t="s">
        <v>956</v>
      </c>
      <c r="W44" s="1071">
        <f t="shared" si="14"/>
        <v>100</v>
      </c>
      <c r="X44" s="1072"/>
      <c r="Y44" s="3335"/>
      <c r="Z44" s="1082">
        <f t="shared" si="15"/>
        <v>111</v>
      </c>
      <c r="AA44" s="1082">
        <f t="shared" si="3"/>
        <v>1</v>
      </c>
      <c r="AB44" s="1082">
        <f t="shared" si="4"/>
        <v>1</v>
      </c>
      <c r="AC44" s="1082">
        <f t="shared" si="5"/>
        <v>1</v>
      </c>
    </row>
    <row r="45" spans="1:29" ht="15">
      <c r="A45" s="947"/>
      <c r="B45" s="1133">
        <v>111</v>
      </c>
      <c r="C45" s="907"/>
      <c r="D45" s="765">
        <v>100</v>
      </c>
      <c r="E45" s="907"/>
      <c r="F45" s="1053">
        <f>SUMIF(128:128,E45,129:129)-SUMIF(128:128,C45,129:129)+100</f>
        <v>100</v>
      </c>
      <c r="G45" s="907"/>
      <c r="H45" s="765">
        <f>SUMIF(128:128,G45,129:129)-SUMIF(128:128,C45,129:129)+100</f>
        <v>100</v>
      </c>
      <c r="I45" s="907"/>
      <c r="J45" s="765">
        <f>SUMIF(128:128,I45,129:129)-SUMIF(128:128,C45,129:129)+100</f>
        <v>100</v>
      </c>
      <c r="K45" s="1043"/>
      <c r="L45" s="1037"/>
      <c r="M45" s="971"/>
      <c r="N45" s="971"/>
      <c r="O45" s="971"/>
      <c r="P45" s="3369"/>
      <c r="Q45" s="641">
        <f t="shared" si="11"/>
        <v>111</v>
      </c>
      <c r="R45" s="1074" t="s">
        <v>956</v>
      </c>
      <c r="S45" s="1075">
        <f t="shared" si="12"/>
        <v>100</v>
      </c>
      <c r="T45" s="1074" t="s">
        <v>956</v>
      </c>
      <c r="U45" s="1075">
        <f t="shared" si="13"/>
        <v>100</v>
      </c>
      <c r="V45" s="1074" t="s">
        <v>956</v>
      </c>
      <c r="W45" s="1075">
        <f t="shared" si="14"/>
        <v>100</v>
      </c>
      <c r="X45" s="1069"/>
      <c r="Y45" s="3335"/>
      <c r="Z45" s="1058">
        <f t="shared" si="15"/>
        <v>111</v>
      </c>
      <c r="AA45" s="1058">
        <f t="shared" si="3"/>
        <v>1</v>
      </c>
      <c r="AB45" s="1058">
        <f t="shared" si="4"/>
        <v>1</v>
      </c>
      <c r="AC45" s="1058">
        <f t="shared" si="5"/>
        <v>1</v>
      </c>
    </row>
    <row r="46" spans="1:29" ht="15">
      <c r="A46" s="1224"/>
      <c r="B46" s="909">
        <v>111</v>
      </c>
      <c r="C46" s="910"/>
      <c r="D46" s="911">
        <v>100</v>
      </c>
      <c r="E46" s="907"/>
      <c r="F46" s="1225">
        <f>SUMIF(130:130,E46,131:131)-SUMIF(130:130,C46,131:131)+100</f>
        <v>100</v>
      </c>
      <c r="G46" s="907"/>
      <c r="H46" s="911">
        <f>SUMIF(130:130,G46,131:131)-SUMIF(130:130,C46,131:131)+100</f>
        <v>100</v>
      </c>
      <c r="I46" s="907"/>
      <c r="J46" s="911">
        <f>SUMIF(130:130,I46,131:131)-SUMIF(130:130,C46,131:131)+100</f>
        <v>100</v>
      </c>
      <c r="K46" s="1043"/>
      <c r="L46" s="1037"/>
      <c r="M46" s="971"/>
      <c r="N46" s="971"/>
      <c r="O46" s="971"/>
      <c r="P46" s="3370"/>
      <c r="Q46" s="641">
        <f t="shared" si="11"/>
        <v>111</v>
      </c>
      <c r="R46" s="1074" t="s">
        <v>956</v>
      </c>
      <c r="S46" s="1075">
        <f t="shared" si="12"/>
        <v>100</v>
      </c>
      <c r="T46" s="1074" t="s">
        <v>956</v>
      </c>
      <c r="U46" s="1075">
        <f t="shared" si="13"/>
        <v>100</v>
      </c>
      <c r="V46" s="1074" t="s">
        <v>956</v>
      </c>
      <c r="W46" s="1075">
        <f t="shared" si="14"/>
        <v>100</v>
      </c>
      <c r="X46" s="1069"/>
      <c r="Y46" s="3371"/>
      <c r="Z46" s="1058">
        <f t="shared" si="15"/>
        <v>111</v>
      </c>
      <c r="AA46" s="1058">
        <f t="shared" si="3"/>
        <v>1</v>
      </c>
      <c r="AB46" s="1058">
        <f t="shared" si="4"/>
        <v>1</v>
      </c>
      <c r="AC46" s="1058">
        <f t="shared" si="5"/>
        <v>1</v>
      </c>
    </row>
    <row r="47" spans="1:29" ht="15">
      <c r="A47" s="954" t="s">
        <v>1577</v>
      </c>
      <c r="B47" s="1226"/>
      <c r="C47" s="1227" t="s">
        <v>124</v>
      </c>
      <c r="D47" s="957"/>
      <c r="E47" s="958"/>
      <c r="F47" s="959"/>
      <c r="G47" s="960"/>
      <c r="H47" s="961"/>
      <c r="I47" s="958"/>
      <c r="J47" s="961"/>
      <c r="K47" s="1049"/>
      <c r="L47" s="1050"/>
      <c r="M47" s="971"/>
      <c r="N47" s="971"/>
      <c r="O47" s="971"/>
      <c r="P47" s="3330" t="str">
        <f>A47</f>
        <v>成交单价（元/平方米）</v>
      </c>
      <c r="Q47" s="3330"/>
      <c r="R47" s="3331">
        <f>E47</f>
        <v>0</v>
      </c>
      <c r="S47" s="3331"/>
      <c r="T47" s="3331">
        <f>G47</f>
        <v>0</v>
      </c>
      <c r="U47" s="3331"/>
      <c r="V47" s="3331">
        <f>I47</f>
        <v>0</v>
      </c>
      <c r="W47" s="3331"/>
      <c r="X47" s="1011"/>
      <c r="Y47" s="1084"/>
      <c r="Z47" s="1011"/>
      <c r="AA47" s="1011"/>
      <c r="AB47" s="1011"/>
      <c r="AC47" s="1011"/>
    </row>
    <row r="48" spans="1:29" ht="15">
      <c r="A48" s="962" t="s">
        <v>993</v>
      </c>
      <c r="B48" s="1228"/>
      <c r="C48" s="1229" t="e">
        <f>R49</f>
        <v>#DIV/0!</v>
      </c>
      <c r="D48" s="965" t="s">
        <v>994</v>
      </c>
      <c r="E48" s="1230" t="e">
        <f>R48</f>
        <v>#DIV/0!</v>
      </c>
      <c r="F48" s="966"/>
      <c r="G48" s="1229" t="e">
        <f>T48</f>
        <v>#DIV/0!</v>
      </c>
      <c r="H48" s="966"/>
      <c r="I48" s="1230" t="e">
        <f>V48</f>
        <v>#DIV/0!</v>
      </c>
      <c r="J48" s="966"/>
      <c r="K48" s="1051">
        <f>F48+H48+J48</f>
        <v>0</v>
      </c>
      <c r="L48" s="1050"/>
      <c r="M48" s="971"/>
      <c r="N48" s="971"/>
      <c r="O48" s="971"/>
      <c r="P48" s="3330" t="str">
        <f>A48</f>
        <v>比较价值（元/平方米）</v>
      </c>
      <c r="Q48" s="3330"/>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1011"/>
      <c r="Y48" s="1011"/>
      <c r="Z48" s="1011"/>
      <c r="AA48" s="1011"/>
      <c r="AB48" s="1011"/>
      <c r="AC48" s="1011"/>
    </row>
    <row r="49" spans="1:29" ht="15">
      <c r="A49" s="968" t="s">
        <v>1578</v>
      </c>
      <c r="B49" s="969"/>
      <c r="C49" s="881" t="e">
        <f>R49</f>
        <v>#DIV/0!</v>
      </c>
      <c r="D49" s="881"/>
      <c r="E49" s="881"/>
      <c r="F49" s="881"/>
      <c r="G49" s="881"/>
      <c r="H49" s="881"/>
      <c r="I49" s="881"/>
      <c r="J49" s="881"/>
      <c r="K49" s="1052"/>
      <c r="L49" s="1050"/>
      <c r="M49" s="971"/>
      <c r="N49" s="971"/>
      <c r="O49" s="971"/>
      <c r="P49" s="3354" t="str">
        <f>A49</f>
        <v>估价对象XX用房的比较价值（楼面单价，元/平方米）</v>
      </c>
      <c r="Q49" s="3355"/>
      <c r="R49" s="3372" t="e">
        <f>IF(F1="售价",ROUND(IF(D48="简单平均",AVERAGE(R48:V48),R48*F48+T48*H48+V48*J48),0),ROUND(IF(D48="简单平均",AVERAGE(R48:V48),R48*F48+T48*H48+V48*J48),1))</f>
        <v>#DIV/0!</v>
      </c>
      <c r="S49" s="3372"/>
      <c r="T49" s="3372"/>
      <c r="U49" s="3372"/>
      <c r="V49" s="3372"/>
      <c r="W49" s="3372"/>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c r="P50" s="1401"/>
      <c r="Q50" s="971"/>
      <c r="R50" s="971"/>
      <c r="S50" s="971"/>
      <c r="T50" s="971"/>
      <c r="U50" s="971"/>
      <c r="V50" s="971"/>
      <c r="W50" s="971"/>
      <c r="X50" s="971"/>
      <c r="Y50" s="971"/>
      <c r="Z50" s="971"/>
      <c r="AA50" s="971"/>
      <c r="AB50" s="971"/>
      <c r="AC50" s="971"/>
    </row>
    <row r="51" spans="1:29">
      <c r="A51" s="971"/>
      <c r="B51" s="971"/>
      <c r="C51" s="971"/>
      <c r="D51" s="971"/>
      <c r="E51" s="971"/>
      <c r="F51" s="971"/>
      <c r="G51" s="971"/>
      <c r="H51" s="971"/>
      <c r="I51" s="971"/>
      <c r="J51" s="971"/>
      <c r="K51" s="1054"/>
      <c r="L51" s="1055"/>
      <c r="M51" s="971"/>
      <c r="N51" s="971"/>
      <c r="O51" s="971"/>
      <c r="P51" s="1401"/>
      <c r="Q51" s="971"/>
      <c r="R51" s="971"/>
      <c r="S51" s="971"/>
      <c r="T51" s="971"/>
      <c r="U51" s="971"/>
      <c r="V51" s="971"/>
      <c r="W51" s="971"/>
      <c r="X51" s="971"/>
      <c r="Y51" s="971"/>
      <c r="Z51" s="971"/>
      <c r="AA51" s="971"/>
      <c r="AB51" s="971"/>
      <c r="AC51" s="971"/>
    </row>
    <row r="52" spans="1:29" ht="13.5" customHeight="1">
      <c r="A52" s="971"/>
      <c r="B52" s="971"/>
      <c r="C52" s="973" t="s">
        <v>996</v>
      </c>
      <c r="D52" s="683"/>
      <c r="E52" s="974" t="e">
        <f>IF(E47&lt;E48,E48/E47-1,E47/E48-1)</f>
        <v>#DIV/0!</v>
      </c>
      <c r="F52" s="975" t="e">
        <f>IF(OR(E52&gt;=0.3,E52&lt;=-0.3),"超过30%","")</f>
        <v>#DIV/0!</v>
      </c>
      <c r="G52" s="974" t="e">
        <f>IF(G47&lt;G48,G48/G47-1,G47/G48-1)</f>
        <v>#DIV/0!</v>
      </c>
      <c r="H52" s="975" t="e">
        <f>IF(OR(G52&gt;=0.3,G52&lt;=-0.3),"超过30%","")</f>
        <v>#DIV/0!</v>
      </c>
      <c r="I52" s="974" t="e">
        <f>IF(I47&lt;I48,I48/I47-1,I47/I48-1)</f>
        <v>#DIV/0!</v>
      </c>
      <c r="J52" s="975" t="e">
        <f>IF(OR(I52&gt;=0.3,I52&lt;=-0.3),"超过30%","")</f>
        <v>#DIV/0!</v>
      </c>
      <c r="K52" s="1054"/>
      <c r="L52" s="1055"/>
      <c r="M52" s="971"/>
      <c r="N52" s="971"/>
      <c r="O52" s="971"/>
      <c r="P52" s="1401"/>
      <c r="Q52" s="971"/>
      <c r="R52" s="971"/>
      <c r="S52" s="971"/>
      <c r="T52" s="971"/>
      <c r="U52" s="971"/>
      <c r="V52" s="971"/>
      <c r="W52" s="971"/>
      <c r="X52" s="971"/>
      <c r="Y52" s="971"/>
      <c r="Z52" s="971"/>
      <c r="AA52" s="971"/>
      <c r="AB52" s="971"/>
      <c r="AC52" s="971"/>
    </row>
    <row r="53" spans="1:29" ht="13.5" customHeight="1">
      <c r="A53" s="971"/>
      <c r="B53" s="971"/>
      <c r="C53" s="973" t="s">
        <v>997</v>
      </c>
      <c r="D53" s="682"/>
      <c r="E53" s="974" t="e">
        <f>IF(E48&lt;G48,G48/E48-1,E48/G48-1)</f>
        <v>#DIV/0!</v>
      </c>
      <c r="F53" s="975" t="e">
        <f>IF(OR(E53&gt;=0.2,E53&lt;=-0.2),"超过20%","")</f>
        <v>#DIV/0!</v>
      </c>
      <c r="G53" s="974" t="e">
        <f>IF(G48&lt;I48,I48/G48-1,G48/I48-1)</f>
        <v>#DIV/0!</v>
      </c>
      <c r="H53" s="975" t="e">
        <f>IF(OR(G53&gt;=0.2,G53&lt;=-0.2),"超过20%","")</f>
        <v>#DIV/0!</v>
      </c>
      <c r="I53" s="974" t="e">
        <f>IF(I48&lt;E48,E48/I48-1,I48/E48-1)</f>
        <v>#DIV/0!</v>
      </c>
      <c r="J53" s="975" t="e">
        <f>IF(OR(I53&gt;=0.2,I53&lt;=-0.2),"超过20%","")</f>
        <v>#DIV/0!</v>
      </c>
      <c r="K53" s="1054"/>
      <c r="L53" s="1055"/>
      <c r="M53" s="971"/>
      <c r="N53" s="971"/>
      <c r="O53" s="971"/>
      <c r="P53" s="1401"/>
      <c r="Q53" s="971"/>
      <c r="R53" s="971"/>
      <c r="S53" s="971"/>
      <c r="T53" s="971"/>
      <c r="U53" s="971"/>
      <c r="V53" s="971"/>
      <c r="W53" s="971"/>
      <c r="X53" s="971"/>
      <c r="Y53" s="971"/>
      <c r="Z53" s="971"/>
      <c r="AA53" s="971"/>
      <c r="AB53" s="971"/>
      <c r="AC53" s="971"/>
    </row>
    <row r="54" spans="1:29" s="858" customFormat="1" ht="13.5" customHeight="1">
      <c r="A54" s="976"/>
      <c r="B54" s="976"/>
      <c r="C54" s="973" t="s">
        <v>998</v>
      </c>
      <c r="D54" s="682"/>
      <c r="E54" s="974" t="e">
        <f>IF(E47&lt;G47,G47/E47-1,E47/G47-1)</f>
        <v>#DIV/0!</v>
      </c>
      <c r="F54" s="975" t="e">
        <f>IF(OR(E54&gt;=0.3,E54&lt;=-0.3),"超过30%","")</f>
        <v>#DIV/0!</v>
      </c>
      <c r="G54" s="974" t="e">
        <f>IF(G47&lt;I47,I47/G47-1,G47/I47-1)</f>
        <v>#DIV/0!</v>
      </c>
      <c r="H54" s="975" t="e">
        <f>IF(OR(G54&gt;=0.3,G54&lt;=-0.3),"超过30%","")</f>
        <v>#DIV/0!</v>
      </c>
      <c r="I54" s="974" t="e">
        <f>IF(I47&lt;E47,E47/I47-1,I47/E47-1)</f>
        <v>#DIV/0!</v>
      </c>
      <c r="J54" s="975" t="e">
        <f>IF(OR(I54&gt;=0.3,I54&lt;=-0.3),"超过30%","")</f>
        <v>#DIV/0!</v>
      </c>
      <c r="K54" s="1056"/>
      <c r="L54" s="1057"/>
      <c r="M54" s="976"/>
      <c r="N54" s="976"/>
      <c r="O54" s="976"/>
      <c r="P54" s="1402"/>
      <c r="Q54" s="976"/>
      <c r="R54" s="976"/>
      <c r="S54" s="976"/>
      <c r="T54" s="976"/>
      <c r="U54" s="976"/>
      <c r="V54" s="976"/>
      <c r="W54" s="976"/>
      <c r="X54" s="976"/>
      <c r="Y54" s="976"/>
      <c r="Z54" s="976"/>
      <c r="AA54" s="976"/>
      <c r="AB54" s="976"/>
      <c r="AC54" s="976"/>
    </row>
    <row r="55" spans="1:29" s="858" customFormat="1">
      <c r="A55" s="976"/>
      <c r="B55" s="977"/>
      <c r="C55" s="1231"/>
      <c r="D55" s="976"/>
      <c r="E55" s="976"/>
      <c r="F55" s="976"/>
      <c r="G55" s="976"/>
      <c r="H55" s="976"/>
      <c r="I55" s="976"/>
      <c r="J55" s="976"/>
      <c r="K55" s="1056"/>
      <c r="L55" s="1057"/>
      <c r="M55" s="976"/>
      <c r="N55" s="976"/>
      <c r="O55" s="976"/>
      <c r="P55" s="1402"/>
      <c r="Q55" s="976"/>
      <c r="R55" s="976"/>
      <c r="S55" s="976"/>
      <c r="T55" s="976"/>
      <c r="U55" s="976"/>
      <c r="V55" s="976"/>
      <c r="W55" s="976"/>
      <c r="X55" s="976"/>
      <c r="Y55" s="976"/>
      <c r="Z55" s="976"/>
      <c r="AA55" s="976"/>
      <c r="AB55" s="976"/>
      <c r="AC55" s="976"/>
    </row>
    <row r="56" spans="1:29">
      <c r="A56" s="971"/>
      <c r="B56" s="977"/>
      <c r="C56" s="1231"/>
      <c r="D56" s="971"/>
      <c r="E56" s="971"/>
      <c r="F56" s="971"/>
      <c r="G56" s="971"/>
      <c r="H56" s="971"/>
      <c r="I56" s="971"/>
      <c r="J56" s="971"/>
      <c r="K56" s="1054"/>
      <c r="L56" s="1055"/>
      <c r="M56" s="971"/>
      <c r="N56" s="971"/>
      <c r="O56" s="971"/>
      <c r="P56" s="1401"/>
      <c r="Q56" s="971"/>
      <c r="R56" s="971"/>
      <c r="S56" s="971"/>
      <c r="T56" s="971"/>
      <c r="U56" s="971"/>
      <c r="V56" s="971"/>
      <c r="W56" s="971"/>
      <c r="X56" s="971"/>
      <c r="Y56" s="971"/>
      <c r="Z56" s="971"/>
      <c r="AA56" s="971"/>
      <c r="AB56" s="971"/>
      <c r="AC56" s="971"/>
    </row>
    <row r="57" spans="1:29" ht="21">
      <c r="A57" s="1010" t="s">
        <v>1023</v>
      </c>
      <c r="B57" s="1011"/>
      <c r="C57" s="1012"/>
      <c r="D57" s="1012"/>
      <c r="E57" s="1012"/>
      <c r="F57" s="1013"/>
      <c r="G57" s="1013"/>
      <c r="H57" s="1012"/>
      <c r="I57" s="1012"/>
      <c r="J57" s="1012"/>
      <c r="K57" s="1064"/>
      <c r="L57" s="1307"/>
      <c r="M57" s="1066"/>
      <c r="N57" s="1066"/>
      <c r="O57" s="1066"/>
      <c r="P57" s="1403"/>
      <c r="Q57" s="1079"/>
      <c r="R57" s="971"/>
      <c r="S57" s="971"/>
      <c r="T57" s="971"/>
      <c r="U57" s="971"/>
      <c r="V57" s="971"/>
      <c r="W57" s="971"/>
      <c r="X57" s="971"/>
      <c r="Y57" s="971"/>
      <c r="Z57" s="971"/>
      <c r="AA57" s="971"/>
      <c r="AB57" s="971"/>
      <c r="AC57" s="971"/>
    </row>
    <row r="58" spans="1:29" s="860" customFormat="1" ht="15">
      <c r="A58" s="1232" t="s">
        <v>954</v>
      </c>
      <c r="B58" s="1233"/>
      <c r="C58" s="1234" t="str">
        <f>YEAR(C7)&amp;"-"&amp;MONTH(C7)</f>
        <v>2024-7</v>
      </c>
      <c r="D58" s="1235">
        <f>EDATE(C58,-1)</f>
        <v>45444</v>
      </c>
      <c r="E58" s="1235">
        <f t="shared" ref="E58:O58" si="16">EDATE(D58,-1)</f>
        <v>45413</v>
      </c>
      <c r="F58" s="1235">
        <f t="shared" si="16"/>
        <v>45383</v>
      </c>
      <c r="G58" s="1235">
        <f t="shared" si="16"/>
        <v>45352</v>
      </c>
      <c r="H58" s="1235">
        <f t="shared" si="16"/>
        <v>45323</v>
      </c>
      <c r="I58" s="1235">
        <f t="shared" si="16"/>
        <v>45292</v>
      </c>
      <c r="J58" s="1235">
        <f t="shared" si="16"/>
        <v>45261</v>
      </c>
      <c r="K58" s="1235">
        <f t="shared" si="16"/>
        <v>45231</v>
      </c>
      <c r="L58" s="1235">
        <f t="shared" si="16"/>
        <v>45200</v>
      </c>
      <c r="M58" s="1235">
        <f t="shared" si="16"/>
        <v>45170</v>
      </c>
      <c r="N58" s="1235">
        <f t="shared" si="16"/>
        <v>45139</v>
      </c>
      <c r="O58" s="1235">
        <f t="shared" si="16"/>
        <v>45108</v>
      </c>
      <c r="P58" s="1404"/>
      <c r="Q58" s="1132"/>
      <c r="R58" s="1132"/>
      <c r="S58" s="1132"/>
      <c r="T58" s="1132"/>
      <c r="U58" s="1132"/>
      <c r="V58" s="1132"/>
      <c r="W58" s="1132"/>
      <c r="X58" s="1132"/>
      <c r="Y58" s="1132"/>
      <c r="Z58" s="1132"/>
      <c r="AA58" s="1132"/>
      <c r="AB58" s="1132"/>
      <c r="AC58" s="1132"/>
    </row>
    <row r="59" spans="1:29" s="855" customFormat="1" ht="15">
      <c r="A59" s="928"/>
      <c r="B59" s="1096"/>
      <c r="C59" s="1236">
        <v>100</v>
      </c>
      <c r="D59" s="1100"/>
      <c r="E59" s="1100"/>
      <c r="F59" s="1100"/>
      <c r="G59" s="1100"/>
      <c r="H59" s="1100"/>
      <c r="I59" s="1100"/>
      <c r="J59" s="1100"/>
      <c r="K59" s="1100"/>
      <c r="L59" s="1100"/>
      <c r="M59" s="903"/>
      <c r="N59" s="1100"/>
      <c r="O59" s="903"/>
      <c r="P59" s="1405"/>
      <c r="Q59" s="1027"/>
      <c r="R59" s="1027"/>
      <c r="S59" s="1027"/>
      <c r="T59" s="1027"/>
      <c r="U59" s="1027"/>
      <c r="V59" s="1027"/>
      <c r="W59" s="1027"/>
      <c r="X59" s="1027"/>
      <c r="Y59" s="1027"/>
      <c r="Z59" s="1027"/>
      <c r="AA59" s="1027"/>
      <c r="AB59" s="1027"/>
      <c r="AC59" s="1027"/>
    </row>
    <row r="60" spans="1:29" s="855" customFormat="1" ht="15">
      <c r="A60" s="1091" t="s">
        <v>1026</v>
      </c>
      <c r="B60" s="1092"/>
      <c r="C60" s="1093"/>
      <c r="D60" s="1094"/>
      <c r="E60" s="1094"/>
      <c r="F60" s="1094"/>
      <c r="G60" s="1094"/>
      <c r="H60" s="1094"/>
      <c r="I60" s="1094"/>
      <c r="J60" s="1094"/>
      <c r="K60" s="1094"/>
      <c r="L60" s="1094"/>
      <c r="M60" s="1134"/>
      <c r="N60" s="1094"/>
      <c r="O60" s="1134"/>
      <c r="P60" s="1405"/>
      <c r="Q60" s="1079"/>
      <c r="R60" s="1027"/>
      <c r="S60" s="1027"/>
      <c r="T60" s="1027"/>
      <c r="U60" s="1027"/>
      <c r="V60" s="1027"/>
      <c r="W60" s="1027"/>
      <c r="X60" s="1027"/>
      <c r="Y60" s="1027"/>
      <c r="Z60" s="1027"/>
      <c r="AA60" s="1027"/>
      <c r="AB60" s="1027"/>
      <c r="AC60" s="1027"/>
    </row>
    <row r="61" spans="1:29" s="855" customFormat="1" ht="15">
      <c r="A61" s="1095" t="s">
        <v>957</v>
      </c>
      <c r="B61" s="1096"/>
      <c r="C61" s="1097" t="s">
        <v>958</v>
      </c>
      <c r="D61" s="1098"/>
      <c r="E61" s="1098"/>
      <c r="F61" s="1098"/>
      <c r="G61" s="1098"/>
      <c r="H61" s="1098"/>
      <c r="I61" s="1098"/>
      <c r="J61" s="1098"/>
      <c r="K61" s="1098"/>
      <c r="L61" s="1136"/>
      <c r="M61" s="1137"/>
      <c r="N61" s="1138"/>
      <c r="O61" s="1138"/>
      <c r="P61" s="1406"/>
      <c r="Q61" s="1079"/>
      <c r="R61" s="1027"/>
      <c r="S61" s="1027"/>
      <c r="T61" s="1027"/>
      <c r="U61" s="1027"/>
      <c r="V61" s="1027"/>
      <c r="W61" s="1027"/>
      <c r="X61" s="1027"/>
      <c r="Y61" s="1027"/>
      <c r="Z61" s="1027"/>
      <c r="AA61" s="1027"/>
      <c r="AB61" s="1027"/>
      <c r="AC61" s="1027"/>
    </row>
    <row r="62" spans="1:29" s="855" customFormat="1" ht="15">
      <c r="A62" s="1095"/>
      <c r="B62" s="1096"/>
      <c r="C62" s="1383">
        <v>100</v>
      </c>
      <c r="D62" s="1100"/>
      <c r="E62" s="1100"/>
      <c r="F62" s="1100"/>
      <c r="G62" s="1100"/>
      <c r="H62" s="1100"/>
      <c r="I62" s="1100"/>
      <c r="J62" s="1100"/>
      <c r="K62" s="1100"/>
      <c r="L62" s="1100"/>
      <c r="M62" s="1139"/>
      <c r="N62" s="1138"/>
      <c r="O62" s="1138"/>
      <c r="P62" s="1405"/>
      <c r="Q62" s="1079"/>
      <c r="R62" s="1027"/>
      <c r="S62" s="1027"/>
      <c r="T62" s="1027"/>
      <c r="U62" s="1027"/>
      <c r="V62" s="1027"/>
      <c r="W62" s="1027"/>
      <c r="X62" s="1027"/>
      <c r="Y62" s="1027"/>
      <c r="Z62" s="1027"/>
      <c r="AA62" s="1027"/>
      <c r="AB62" s="1027"/>
      <c r="AC62" s="1027"/>
    </row>
    <row r="63" spans="1:29">
      <c r="A63" s="912" t="s">
        <v>1027</v>
      </c>
      <c r="B63" s="1101" t="s">
        <v>961</v>
      </c>
      <c r="C63" s="637">
        <f>C9</f>
        <v>0</v>
      </c>
      <c r="D63" s="1047"/>
      <c r="E63" s="1047"/>
      <c r="F63" s="1047"/>
      <c r="G63" s="1047"/>
      <c r="H63" s="1047"/>
      <c r="I63" s="1047"/>
      <c r="J63" s="1047"/>
      <c r="K63" s="1140"/>
      <c r="L63" s="1141"/>
      <c r="M63" s="1142"/>
      <c r="N63" s="1143"/>
      <c r="O63" s="1143"/>
      <c r="P63" s="1407"/>
      <c r="Q63" s="1079"/>
      <c r="R63" s="971"/>
      <c r="S63" s="971"/>
      <c r="T63" s="971"/>
      <c r="U63" s="971"/>
      <c r="V63" s="971"/>
      <c r="W63" s="971"/>
      <c r="X63" s="971"/>
      <c r="Y63" s="971"/>
      <c r="Z63" s="971"/>
      <c r="AA63" s="971"/>
      <c r="AB63" s="971"/>
      <c r="AC63" s="971"/>
    </row>
    <row r="64" spans="1:29" ht="15">
      <c r="A64" s="899"/>
      <c r="B64" s="1102"/>
      <c r="C64" s="1103">
        <v>100</v>
      </c>
      <c r="D64" s="1103"/>
      <c r="E64" s="1103"/>
      <c r="F64" s="1103"/>
      <c r="G64" s="1103"/>
      <c r="H64" s="1103"/>
      <c r="I64" s="1103"/>
      <c r="J64" s="1103"/>
      <c r="K64" s="1103"/>
      <c r="L64" s="1103"/>
      <c r="M64" s="1144"/>
      <c r="N64" s="1145"/>
      <c r="O64" s="1145"/>
      <c r="P64" s="1407"/>
      <c r="Q64" s="1079"/>
      <c r="R64" s="971"/>
      <c r="S64" s="971"/>
      <c r="T64" s="971"/>
      <c r="U64" s="971"/>
      <c r="V64" s="971"/>
      <c r="W64" s="971"/>
      <c r="X64" s="971"/>
      <c r="Y64" s="971"/>
      <c r="Z64" s="971"/>
      <c r="AA64" s="971"/>
      <c r="AB64" s="971"/>
      <c r="AC64" s="971"/>
    </row>
    <row r="65" spans="1:29" ht="27">
      <c r="A65" s="899"/>
      <c r="B65" s="1104" t="s">
        <v>964</v>
      </c>
      <c r="C65" s="1105" t="s">
        <v>1579</v>
      </c>
      <c r="D65" s="1105" t="s">
        <v>1580</v>
      </c>
      <c r="E65" s="1105" t="s">
        <v>1581</v>
      </c>
      <c r="F65" s="1105" t="s">
        <v>1582</v>
      </c>
      <c r="G65" s="1105" t="s">
        <v>1583</v>
      </c>
      <c r="H65" s="1105" t="s">
        <v>1584</v>
      </c>
      <c r="I65" s="1105" t="s">
        <v>1585</v>
      </c>
      <c r="J65" s="1105"/>
      <c r="K65" s="1146"/>
      <c r="L65" s="1147"/>
      <c r="M65" s="1148"/>
      <c r="N65" s="1143"/>
      <c r="O65" s="1143"/>
      <c r="P65" s="1407"/>
      <c r="Q65" s="1079"/>
      <c r="R65" s="971"/>
      <c r="S65" s="971"/>
      <c r="T65" s="971"/>
      <c r="U65" s="971"/>
      <c r="V65" s="971"/>
      <c r="W65" s="971"/>
      <c r="X65" s="971"/>
      <c r="Y65" s="971"/>
      <c r="Z65" s="971"/>
      <c r="AA65" s="971"/>
      <c r="AB65" s="971"/>
      <c r="AC65" s="971"/>
    </row>
    <row r="66" spans="1:29" ht="15">
      <c r="A66" s="899"/>
      <c r="B66" s="1106"/>
      <c r="C66" s="1107" t="s">
        <v>1022</v>
      </c>
      <c r="D66" s="1107" t="s">
        <v>1022</v>
      </c>
      <c r="E66" s="1107" t="s">
        <v>1022</v>
      </c>
      <c r="F66" s="1107">
        <v>100</v>
      </c>
      <c r="G66" s="1107">
        <f>F66-$K10</f>
        <v>100</v>
      </c>
      <c r="H66" s="1107">
        <f>G66-$K10</f>
        <v>100</v>
      </c>
      <c r="I66" s="1107">
        <f>H66-$K10</f>
        <v>100</v>
      </c>
      <c r="J66" s="1107"/>
      <c r="K66" s="1107"/>
      <c r="L66" s="1107"/>
      <c r="M66" s="1149"/>
      <c r="N66" s="1145"/>
      <c r="O66" s="1145"/>
      <c r="P66" s="1407"/>
      <c r="Q66" s="1079"/>
      <c r="R66" s="971"/>
      <c r="S66" s="971"/>
      <c r="T66" s="971"/>
      <c r="U66" s="971"/>
      <c r="V66" s="971"/>
      <c r="W66" s="971"/>
      <c r="X66" s="971"/>
      <c r="Y66" s="971"/>
      <c r="Z66" s="971"/>
      <c r="AA66" s="971"/>
      <c r="AB66" s="971"/>
      <c r="AC66" s="971"/>
    </row>
    <row r="67" spans="1:29" ht="15">
      <c r="A67" s="899"/>
      <c r="B67" s="1108" t="s">
        <v>965</v>
      </c>
      <c r="C67" s="1109" t="str">
        <f>C68&amp;"（含）"&amp;"-"&amp;D68</f>
        <v>（含）-</v>
      </c>
      <c r="D67" s="1109" t="str">
        <f t="shared" ref="D67:L67" si="17">D68&amp;"（含）"&amp;"-"&amp;E68</f>
        <v>（含）-</v>
      </c>
      <c r="E67" s="1109" t="str">
        <f t="shared" si="17"/>
        <v>（含）-</v>
      </c>
      <c r="F67" s="1109" t="str">
        <f t="shared" si="17"/>
        <v>（含）-</v>
      </c>
      <c r="G67" s="1109" t="str">
        <f t="shared" si="17"/>
        <v>（含）-</v>
      </c>
      <c r="H67" s="1109" t="str">
        <f t="shared" si="17"/>
        <v>（含）-</v>
      </c>
      <c r="I67" s="1109" t="str">
        <f t="shared" si="17"/>
        <v>（含）-</v>
      </c>
      <c r="J67" s="1109" t="str">
        <f t="shared" si="17"/>
        <v>（含）-</v>
      </c>
      <c r="K67" s="1109" t="str">
        <f t="shared" si="17"/>
        <v>（含）-</v>
      </c>
      <c r="L67" s="1109" t="str">
        <f t="shared" si="17"/>
        <v>（含）-</v>
      </c>
      <c r="M67" s="919" t="str">
        <f>M68&amp;"（含）"&amp;"-"&amp;P68</f>
        <v>（含）-</v>
      </c>
      <c r="N67" s="1145"/>
      <c r="O67" s="1145"/>
      <c r="P67" s="1407"/>
      <c r="Q67" s="1079"/>
      <c r="R67" s="971"/>
      <c r="S67" s="971"/>
      <c r="T67" s="971"/>
      <c r="U67" s="971"/>
      <c r="V67" s="971"/>
      <c r="W67" s="971"/>
      <c r="X67" s="971"/>
      <c r="Y67" s="971"/>
      <c r="Z67" s="971"/>
      <c r="AA67" s="971"/>
      <c r="AB67" s="971"/>
      <c r="AC67" s="971"/>
    </row>
    <row r="68" spans="1:29" ht="15">
      <c r="A68" s="899"/>
      <c r="B68" s="1110"/>
      <c r="C68" s="905"/>
      <c r="D68" s="905"/>
      <c r="E68" s="905"/>
      <c r="F68" s="905"/>
      <c r="G68" s="905"/>
      <c r="H68" s="905"/>
      <c r="I68" s="905"/>
      <c r="J68" s="905"/>
      <c r="K68" s="1150"/>
      <c r="L68" s="1151"/>
      <c r="M68" s="1152"/>
      <c r="N68" s="1143"/>
      <c r="O68" s="1143"/>
      <c r="P68" s="1407"/>
      <c r="Q68" s="1079"/>
      <c r="R68" s="971"/>
      <c r="S68" s="971"/>
      <c r="T68" s="971"/>
      <c r="U68" s="971"/>
      <c r="V68" s="971"/>
      <c r="W68" s="971"/>
      <c r="X68" s="971"/>
      <c r="Y68" s="971"/>
      <c r="Z68" s="971"/>
      <c r="AA68" s="971"/>
      <c r="AB68" s="971"/>
      <c r="AC68" s="971"/>
    </row>
    <row r="69" spans="1:29" ht="15">
      <c r="A69" s="899"/>
      <c r="B69" s="1102"/>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49">
        <f t="shared" si="18"/>
        <v>100</v>
      </c>
      <c r="N69" s="1145"/>
      <c r="O69" s="1145"/>
      <c r="P69" s="1407"/>
      <c r="Q69" s="1079"/>
      <c r="R69" s="971"/>
      <c r="S69" s="971"/>
      <c r="T69" s="971"/>
      <c r="U69" s="971"/>
      <c r="V69" s="971"/>
      <c r="W69" s="971"/>
      <c r="X69" s="971"/>
      <c r="Y69" s="971"/>
      <c r="Z69" s="971"/>
      <c r="AA69" s="971"/>
      <c r="AB69" s="971"/>
      <c r="AC69" s="971"/>
    </row>
    <row r="70" spans="1:29" s="857" customFormat="1" ht="15">
      <c r="A70" s="1111"/>
      <c r="B70" s="1104">
        <f>B12</f>
        <v>111</v>
      </c>
      <c r="C70" s="1112"/>
      <c r="D70" s="1112"/>
      <c r="E70" s="1112"/>
      <c r="F70" s="1112"/>
      <c r="G70" s="1112"/>
      <c r="H70" s="1113"/>
      <c r="I70" s="1113"/>
      <c r="J70" s="1113"/>
      <c r="K70" s="1113"/>
      <c r="L70" s="1153"/>
      <c r="M70" s="1154"/>
      <c r="N70" s="1155"/>
      <c r="O70" s="1155"/>
      <c r="P70" s="1411"/>
      <c r="Q70" s="1183"/>
      <c r="R70" s="1045"/>
      <c r="S70" s="1045"/>
      <c r="T70" s="1045"/>
      <c r="U70" s="1045"/>
      <c r="V70" s="1045"/>
      <c r="W70" s="1045"/>
      <c r="X70" s="1045"/>
      <c r="Y70" s="1045"/>
      <c r="Z70" s="1045"/>
      <c r="AA70" s="1045"/>
      <c r="AB70" s="1045"/>
      <c r="AC70" s="1045"/>
    </row>
    <row r="71" spans="1:29" s="857" customFormat="1" ht="15">
      <c r="A71" s="1111"/>
      <c r="B71" s="1106"/>
      <c r="C71" s="1114"/>
      <c r="D71" s="1103"/>
      <c r="E71" s="1103"/>
      <c r="F71" s="1103"/>
      <c r="G71" s="1103"/>
      <c r="H71" s="1103"/>
      <c r="I71" s="1103"/>
      <c r="J71" s="1103"/>
      <c r="K71" s="1103"/>
      <c r="L71" s="1103"/>
      <c r="M71" s="1144"/>
      <c r="N71" s="1145"/>
      <c r="O71" s="1145"/>
      <c r="P71" s="1411"/>
      <c r="Q71" s="1183"/>
      <c r="R71" s="1045"/>
      <c r="S71" s="1045"/>
      <c r="T71" s="1045"/>
      <c r="U71" s="1045"/>
      <c r="V71" s="1045"/>
      <c r="W71" s="1045"/>
      <c r="X71" s="1045"/>
      <c r="Y71" s="1045"/>
      <c r="Z71" s="1045"/>
      <c r="AA71" s="1045"/>
      <c r="AB71" s="1045"/>
      <c r="AC71" s="1045"/>
    </row>
    <row r="72" spans="1:29" s="857" customFormat="1" ht="15">
      <c r="A72" s="1111"/>
      <c r="B72" s="1104">
        <f>B13</f>
        <v>111</v>
      </c>
      <c r="C72" s="1112"/>
      <c r="D72" s="1112"/>
      <c r="E72" s="1112"/>
      <c r="F72" s="1112"/>
      <c r="G72" s="1112"/>
      <c r="H72" s="1113"/>
      <c r="I72" s="1113"/>
      <c r="J72" s="1113"/>
      <c r="K72" s="1113"/>
      <c r="L72" s="1153"/>
      <c r="M72" s="1154"/>
      <c r="N72" s="1155"/>
      <c r="O72" s="1155"/>
      <c r="P72" s="1412"/>
      <c r="Q72" s="1184"/>
      <c r="R72" s="1045"/>
      <c r="S72" s="1045"/>
      <c r="T72" s="1045"/>
      <c r="U72" s="1045"/>
      <c r="V72" s="1045"/>
      <c r="W72" s="1045"/>
      <c r="X72" s="1045"/>
      <c r="Y72" s="1045"/>
      <c r="Z72" s="1045"/>
      <c r="AA72" s="1045"/>
      <c r="AB72" s="1045"/>
      <c r="AC72" s="1045"/>
    </row>
    <row r="73" spans="1:29" s="857" customFormat="1" ht="15">
      <c r="A73" s="1111"/>
      <c r="B73" s="1106"/>
      <c r="C73" s="1114"/>
      <c r="D73" s="1103"/>
      <c r="E73" s="1103"/>
      <c r="F73" s="1103"/>
      <c r="G73" s="1114"/>
      <c r="H73" s="1115"/>
      <c r="I73" s="1115"/>
      <c r="J73" s="1115"/>
      <c r="K73" s="1115"/>
      <c r="L73" s="1115"/>
      <c r="M73" s="1156"/>
      <c r="N73" s="1155"/>
      <c r="O73" s="1155"/>
      <c r="P73" s="1411"/>
      <c r="Q73" s="1183"/>
      <c r="R73" s="1045"/>
      <c r="S73" s="1045"/>
      <c r="T73" s="1045"/>
      <c r="U73" s="1045"/>
      <c r="V73" s="1045"/>
      <c r="W73" s="1045"/>
      <c r="X73" s="1045"/>
      <c r="Y73" s="1045"/>
      <c r="Z73" s="1045"/>
      <c r="AA73" s="1045"/>
      <c r="AB73" s="1045"/>
      <c r="AC73" s="1045"/>
    </row>
    <row r="74" spans="1:29" s="857" customFormat="1" ht="15">
      <c r="A74" s="1111"/>
      <c r="B74" s="1108">
        <f>B14</f>
        <v>111</v>
      </c>
      <c r="C74" s="1112"/>
      <c r="D74" s="1112"/>
      <c r="E74" s="1112"/>
      <c r="F74" s="1112"/>
      <c r="G74" s="1098"/>
      <c r="H74" s="1116"/>
      <c r="I74" s="1116"/>
      <c r="J74" s="1116"/>
      <c r="K74" s="1116"/>
      <c r="L74" s="1157"/>
      <c r="M74" s="1158"/>
      <c r="N74" s="1155"/>
      <c r="O74" s="1155"/>
      <c r="P74" s="1413"/>
      <c r="Q74" s="1183"/>
      <c r="R74" s="1045"/>
      <c r="S74" s="1045"/>
      <c r="T74" s="1045"/>
      <c r="U74" s="1045"/>
      <c r="V74" s="1045"/>
      <c r="W74" s="1045"/>
      <c r="X74" s="1045"/>
      <c r="Y74" s="1045"/>
      <c r="Z74" s="1045"/>
      <c r="AA74" s="1045"/>
      <c r="AB74" s="1045"/>
      <c r="AC74" s="1045"/>
    </row>
    <row r="75" spans="1:29" s="857" customFormat="1" ht="15">
      <c r="A75" s="1117"/>
      <c r="B75" s="1118"/>
      <c r="C75" s="1119"/>
      <c r="D75" s="1119"/>
      <c r="E75" s="1119"/>
      <c r="F75" s="1119"/>
      <c r="G75" s="1119"/>
      <c r="H75" s="1120"/>
      <c r="I75" s="1120"/>
      <c r="J75" s="1120"/>
      <c r="K75" s="1120"/>
      <c r="L75" s="1120"/>
      <c r="M75" s="1160"/>
      <c r="N75" s="1155"/>
      <c r="O75" s="1155"/>
      <c r="P75" s="1411"/>
      <c r="Q75" s="1183"/>
      <c r="R75" s="1045"/>
      <c r="S75" s="1045"/>
      <c r="T75" s="1045"/>
      <c r="U75" s="1045"/>
      <c r="V75" s="1045"/>
      <c r="W75" s="1045"/>
      <c r="X75" s="1045"/>
      <c r="Y75" s="1045"/>
      <c r="Z75" s="1045"/>
      <c r="AA75" s="1045"/>
      <c r="AB75" s="1045"/>
      <c r="AC75" s="1045"/>
    </row>
    <row r="76" spans="1:29">
      <c r="A76" s="912" t="s">
        <v>967</v>
      </c>
      <c r="B76" s="1101" t="s">
        <v>968</v>
      </c>
      <c r="C76" s="1121" t="s">
        <v>1028</v>
      </c>
      <c r="D76" s="1121" t="s">
        <v>1029</v>
      </c>
      <c r="E76" s="1121" t="s">
        <v>1030</v>
      </c>
      <c r="F76" s="1121" t="s">
        <v>1031</v>
      </c>
      <c r="G76" s="1121" t="s">
        <v>1032</v>
      </c>
      <c r="H76" s="637"/>
      <c r="I76" s="637"/>
      <c r="J76" s="637"/>
      <c r="K76" s="1161"/>
      <c r="L76" s="1162"/>
      <c r="M76" s="1163"/>
      <c r="N76" s="1143"/>
      <c r="O76" s="1143"/>
      <c r="P76" s="1414"/>
      <c r="Q76" s="1079"/>
      <c r="R76" s="971"/>
      <c r="S76" s="971"/>
      <c r="T76" s="971"/>
      <c r="U76" s="971"/>
      <c r="V76" s="971"/>
      <c r="W76" s="971"/>
      <c r="X76" s="971"/>
      <c r="Y76" s="971"/>
      <c r="Z76" s="971"/>
      <c r="AA76" s="971"/>
      <c r="AB76" s="971"/>
      <c r="AC76" s="971"/>
    </row>
    <row r="77" spans="1:29" ht="15">
      <c r="A77" s="899"/>
      <c r="B77" s="1106"/>
      <c r="C77" s="1107">
        <v>100</v>
      </c>
      <c r="D77" s="1107">
        <f>C77-$K15</f>
        <v>100</v>
      </c>
      <c r="E77" s="1107">
        <f>D77-$K15</f>
        <v>100</v>
      </c>
      <c r="F77" s="1107">
        <f>E77-$K15</f>
        <v>100</v>
      </c>
      <c r="G77" s="1107">
        <f>F77-$K15</f>
        <v>100</v>
      </c>
      <c r="H77" s="1107"/>
      <c r="I77" s="1107"/>
      <c r="J77" s="1107"/>
      <c r="K77" s="1107"/>
      <c r="L77" s="1107"/>
      <c r="M77" s="1149"/>
      <c r="N77" s="1145"/>
      <c r="O77" s="1145"/>
      <c r="P77" s="1407"/>
      <c r="Q77" s="1079"/>
      <c r="R77" s="971"/>
      <c r="S77" s="971"/>
      <c r="T77" s="971"/>
      <c r="U77" s="971"/>
      <c r="V77" s="971"/>
      <c r="W77" s="971"/>
      <c r="X77" s="971"/>
      <c r="Y77" s="971"/>
      <c r="Z77" s="971"/>
      <c r="AA77" s="971"/>
      <c r="AB77" s="971"/>
      <c r="AC77" s="971"/>
    </row>
    <row r="78" spans="1:29" ht="15">
      <c r="A78" s="899"/>
      <c r="B78" s="1104" t="s">
        <v>973</v>
      </c>
      <c r="C78" s="1122" t="s">
        <v>1028</v>
      </c>
      <c r="D78" s="1122" t="s">
        <v>1029</v>
      </c>
      <c r="E78" s="1122" t="s">
        <v>1030</v>
      </c>
      <c r="F78" s="1122" t="s">
        <v>1031</v>
      </c>
      <c r="G78" s="1122" t="s">
        <v>1032</v>
      </c>
      <c r="H78" s="1105"/>
      <c r="I78" s="1105"/>
      <c r="J78" s="1105"/>
      <c r="K78" s="1146"/>
      <c r="L78" s="1147"/>
      <c r="M78" s="1148"/>
      <c r="N78" s="1143"/>
      <c r="O78" s="1143"/>
      <c r="P78" s="1407"/>
      <c r="Q78" s="1079"/>
      <c r="R78" s="971"/>
      <c r="S78" s="971"/>
      <c r="T78" s="971"/>
      <c r="U78" s="971"/>
      <c r="V78" s="971"/>
      <c r="W78" s="971"/>
      <c r="X78" s="971"/>
      <c r="Y78" s="971"/>
      <c r="Z78" s="971"/>
      <c r="AA78" s="971"/>
      <c r="AB78" s="971"/>
      <c r="AC78" s="971"/>
    </row>
    <row r="79" spans="1:29" ht="15">
      <c r="A79" s="899"/>
      <c r="B79" s="1106"/>
      <c r="C79" s="1107">
        <v>100</v>
      </c>
      <c r="D79" s="1107">
        <f>C79-$K17</f>
        <v>100</v>
      </c>
      <c r="E79" s="1107">
        <f>D79-$K17</f>
        <v>100</v>
      </c>
      <c r="F79" s="1107">
        <f>E79-$K17</f>
        <v>100</v>
      </c>
      <c r="G79" s="1107">
        <f>F79-$K17</f>
        <v>100</v>
      </c>
      <c r="H79" s="1107"/>
      <c r="I79" s="1107"/>
      <c r="J79" s="1107"/>
      <c r="K79" s="1107"/>
      <c r="L79" s="1107"/>
      <c r="M79" s="1149"/>
      <c r="N79" s="1145"/>
      <c r="O79" s="1145"/>
      <c r="P79" s="1407"/>
      <c r="Q79" s="1079"/>
      <c r="R79" s="971"/>
      <c r="S79" s="971"/>
      <c r="T79" s="971"/>
      <c r="U79" s="971"/>
      <c r="V79" s="971"/>
      <c r="W79" s="971"/>
      <c r="X79" s="971"/>
      <c r="Y79" s="971"/>
      <c r="Z79" s="971"/>
      <c r="AA79" s="971"/>
      <c r="AB79" s="971"/>
      <c r="AC79" s="971"/>
    </row>
    <row r="80" spans="1:29" ht="15">
      <c r="A80" s="899"/>
      <c r="B80" s="1104" t="s">
        <v>976</v>
      </c>
      <c r="C80" s="1122" t="s">
        <v>1028</v>
      </c>
      <c r="D80" s="1122" t="s">
        <v>1029</v>
      </c>
      <c r="E80" s="1122" t="s">
        <v>1030</v>
      </c>
      <c r="F80" s="1122" t="s">
        <v>1031</v>
      </c>
      <c r="G80" s="1122" t="s">
        <v>1032</v>
      </c>
      <c r="H80" s="1105"/>
      <c r="I80" s="1105"/>
      <c r="J80" s="1105"/>
      <c r="K80" s="1146"/>
      <c r="L80" s="1147"/>
      <c r="M80" s="1148"/>
      <c r="N80" s="1143"/>
      <c r="O80" s="1143"/>
      <c r="P80" s="1407"/>
      <c r="Q80" s="1079"/>
      <c r="R80" s="971"/>
      <c r="S80" s="971"/>
      <c r="T80" s="971"/>
      <c r="U80" s="971"/>
      <c r="V80" s="971"/>
      <c r="W80" s="971"/>
      <c r="X80" s="971"/>
      <c r="Y80" s="971"/>
      <c r="Z80" s="971"/>
      <c r="AA80" s="971"/>
      <c r="AB80" s="971"/>
      <c r="AC80" s="971"/>
    </row>
    <row r="81" spans="1:29" ht="15">
      <c r="A81" s="899"/>
      <c r="B81" s="1106"/>
      <c r="C81" s="1107">
        <v>100</v>
      </c>
      <c r="D81" s="1107">
        <f>C81-$K19</f>
        <v>100</v>
      </c>
      <c r="E81" s="1107">
        <f>D81-$K19</f>
        <v>100</v>
      </c>
      <c r="F81" s="1107">
        <f>E81-$K19</f>
        <v>100</v>
      </c>
      <c r="G81" s="1107">
        <f>F81-$K19</f>
        <v>100</v>
      </c>
      <c r="H81" s="1107"/>
      <c r="I81" s="1107"/>
      <c r="J81" s="1107"/>
      <c r="K81" s="1107"/>
      <c r="L81" s="1107"/>
      <c r="M81" s="1149"/>
      <c r="N81" s="1145"/>
      <c r="O81" s="1145"/>
      <c r="P81" s="1407"/>
      <c r="Q81" s="1079"/>
      <c r="R81" s="971"/>
      <c r="S81" s="971"/>
      <c r="T81" s="971"/>
      <c r="U81" s="971"/>
      <c r="V81" s="971"/>
      <c r="W81" s="971"/>
      <c r="X81" s="971"/>
      <c r="Y81" s="971"/>
      <c r="Z81" s="971"/>
      <c r="AA81" s="971"/>
      <c r="AB81" s="971"/>
      <c r="AC81" s="971"/>
    </row>
    <row r="82" spans="1:29" ht="15">
      <c r="A82" s="899"/>
      <c r="B82" s="1108" t="s">
        <v>977</v>
      </c>
      <c r="C82" s="1039" t="s">
        <v>1033</v>
      </c>
      <c r="D82" s="1039" t="s">
        <v>1034</v>
      </c>
      <c r="E82" s="1039" t="s">
        <v>1035</v>
      </c>
      <c r="F82" s="1039" t="s">
        <v>1036</v>
      </c>
      <c r="G82" s="1039" t="s">
        <v>1037</v>
      </c>
      <c r="H82" s="1105"/>
      <c r="I82" s="1105"/>
      <c r="J82" s="1105"/>
      <c r="K82" s="1105"/>
      <c r="L82" s="1105"/>
      <c r="M82" s="1248"/>
      <c r="N82" s="1145"/>
      <c r="O82" s="1145"/>
      <c r="P82" s="1407"/>
      <c r="Q82" s="1079"/>
      <c r="R82" s="971"/>
      <c r="S82" s="971"/>
      <c r="T82" s="971"/>
      <c r="U82" s="971"/>
      <c r="V82" s="971"/>
      <c r="W82" s="971"/>
      <c r="X82" s="971"/>
      <c r="Y82" s="971"/>
      <c r="Z82" s="971"/>
      <c r="AA82" s="971"/>
      <c r="AB82" s="971"/>
      <c r="AC82" s="971"/>
    </row>
    <row r="83" spans="1:29" ht="15">
      <c r="A83" s="899"/>
      <c r="B83" s="1108"/>
      <c r="C83" s="1107">
        <v>100</v>
      </c>
      <c r="D83" s="1107">
        <f>C83-$K21</f>
        <v>100</v>
      </c>
      <c r="E83" s="1107">
        <f t="shared" ref="E83:G83" si="19">D83-$K21</f>
        <v>100</v>
      </c>
      <c r="F83" s="1107">
        <f t="shared" si="19"/>
        <v>100</v>
      </c>
      <c r="G83" s="1107">
        <f t="shared" si="19"/>
        <v>100</v>
      </c>
      <c r="H83" s="1039"/>
      <c r="I83" s="1039"/>
      <c r="J83" s="1039"/>
      <c r="K83" s="1039"/>
      <c r="L83" s="1039"/>
      <c r="M83" s="921"/>
      <c r="N83" s="1145"/>
      <c r="O83" s="1145"/>
      <c r="P83" s="1407"/>
      <c r="Q83" s="1079"/>
      <c r="R83" s="971"/>
      <c r="S83" s="971"/>
      <c r="T83" s="971"/>
      <c r="U83" s="971"/>
      <c r="V83" s="971"/>
      <c r="W83" s="971"/>
      <c r="X83" s="971"/>
      <c r="Y83" s="971"/>
      <c r="Z83" s="971"/>
      <c r="AA83" s="971"/>
      <c r="AB83" s="971"/>
      <c r="AC83" s="971"/>
    </row>
    <row r="84" spans="1:29" ht="15">
      <c r="A84" s="899"/>
      <c r="B84" s="1104" t="s">
        <v>1557</v>
      </c>
      <c r="C84" s="1122" t="s">
        <v>1028</v>
      </c>
      <c r="D84" s="1122" t="s">
        <v>1029</v>
      </c>
      <c r="E84" s="1122" t="s">
        <v>1030</v>
      </c>
      <c r="F84" s="1122" t="s">
        <v>1031</v>
      </c>
      <c r="G84" s="1122" t="s">
        <v>1032</v>
      </c>
      <c r="H84" s="1105"/>
      <c r="I84" s="1105"/>
      <c r="J84" s="1105"/>
      <c r="K84" s="1146"/>
      <c r="L84" s="1147"/>
      <c r="M84" s="1148"/>
      <c r="N84" s="1143"/>
      <c r="O84" s="1143"/>
      <c r="P84" s="1407"/>
      <c r="Q84" s="1079"/>
      <c r="R84" s="971"/>
      <c r="S84" s="971"/>
      <c r="T84" s="971"/>
      <c r="U84" s="971"/>
      <c r="V84" s="971"/>
      <c r="W84" s="971"/>
      <c r="X84" s="971"/>
      <c r="Y84" s="971"/>
      <c r="Z84" s="971"/>
      <c r="AA84" s="971"/>
      <c r="AB84" s="971"/>
      <c r="AC84" s="971"/>
    </row>
    <row r="85" spans="1:29" ht="15">
      <c r="A85" s="899"/>
      <c r="B85" s="1106"/>
      <c r="C85" s="1107">
        <v>100</v>
      </c>
      <c r="D85" s="1107">
        <f>C85-$K23</f>
        <v>100</v>
      </c>
      <c r="E85" s="1107">
        <f>D85-$K23</f>
        <v>100</v>
      </c>
      <c r="F85" s="1107">
        <f>E85-$K23</f>
        <v>100</v>
      </c>
      <c r="G85" s="1107">
        <f>F85-$K23</f>
        <v>100</v>
      </c>
      <c r="H85" s="1107"/>
      <c r="I85" s="1107"/>
      <c r="J85" s="1107"/>
      <c r="K85" s="1107"/>
      <c r="L85" s="1107"/>
      <c r="M85" s="1149"/>
      <c r="N85" s="1145"/>
      <c r="O85" s="1145"/>
      <c r="P85" s="1407"/>
      <c r="Q85" s="1079"/>
      <c r="R85" s="971"/>
      <c r="S85" s="971"/>
      <c r="T85" s="971"/>
      <c r="U85" s="971"/>
      <c r="V85" s="971"/>
      <c r="W85" s="971"/>
      <c r="X85" s="971"/>
      <c r="Y85" s="971"/>
      <c r="Z85" s="971"/>
      <c r="AA85" s="971"/>
      <c r="AB85" s="971"/>
      <c r="AC85" s="971"/>
    </row>
    <row r="86" spans="1:29" s="855" customFormat="1" ht="15">
      <c r="A86" s="902"/>
      <c r="B86" s="1104" t="s">
        <v>978</v>
      </c>
      <c r="C86" s="1112"/>
      <c r="D86" s="1112"/>
      <c r="E86" s="1112"/>
      <c r="F86" s="1112"/>
      <c r="G86" s="1112"/>
      <c r="H86" s="1112"/>
      <c r="I86" s="1112"/>
      <c r="J86" s="1112"/>
      <c r="K86" s="1112"/>
      <c r="L86" s="1249"/>
      <c r="M86" s="1250"/>
      <c r="N86" s="1138"/>
      <c r="O86" s="1138"/>
      <c r="P86" s="1407"/>
      <c r="Q86" s="1079"/>
      <c r="R86" s="1027"/>
      <c r="S86" s="1027"/>
      <c r="T86" s="1027"/>
      <c r="U86" s="1027"/>
      <c r="V86" s="1027"/>
      <c r="W86" s="1027"/>
      <c r="X86" s="1027"/>
      <c r="Y86" s="1027"/>
      <c r="Z86" s="1027"/>
      <c r="AA86" s="1027"/>
      <c r="AB86" s="1027"/>
      <c r="AC86" s="1027"/>
    </row>
    <row r="87" spans="1:29" s="855" customFormat="1" ht="15">
      <c r="A87" s="902"/>
      <c r="B87" s="1106"/>
      <c r="C87" s="1123">
        <v>100</v>
      </c>
      <c r="D87" s="1107">
        <f t="shared" ref="D87:M87" si="20">C87-$K25</f>
        <v>100</v>
      </c>
      <c r="E87" s="1107">
        <f t="shared" si="20"/>
        <v>100</v>
      </c>
      <c r="F87" s="1107">
        <f t="shared" si="20"/>
        <v>100</v>
      </c>
      <c r="G87" s="1107">
        <f t="shared" si="20"/>
        <v>100</v>
      </c>
      <c r="H87" s="1107">
        <f t="shared" si="20"/>
        <v>100</v>
      </c>
      <c r="I87" s="1107">
        <f t="shared" si="20"/>
        <v>100</v>
      </c>
      <c r="J87" s="1107">
        <f t="shared" si="20"/>
        <v>100</v>
      </c>
      <c r="K87" s="1107">
        <f t="shared" si="20"/>
        <v>100</v>
      </c>
      <c r="L87" s="1107">
        <f t="shared" si="20"/>
        <v>100</v>
      </c>
      <c r="M87" s="1107">
        <f t="shared" si="20"/>
        <v>100</v>
      </c>
      <c r="N87" s="1145"/>
      <c r="O87" s="1145"/>
      <c r="P87" s="1407"/>
      <c r="Q87" s="1079"/>
      <c r="R87" s="1027"/>
      <c r="S87" s="1027"/>
      <c r="T87" s="1027"/>
      <c r="U87" s="1027"/>
      <c r="V87" s="1027"/>
      <c r="W87" s="1027"/>
      <c r="X87" s="1027"/>
      <c r="Y87" s="1027"/>
      <c r="Z87" s="1027"/>
      <c r="AA87" s="1027"/>
      <c r="AB87" s="1027"/>
      <c r="AC87" s="1027"/>
    </row>
    <row r="88" spans="1:29" s="855" customFormat="1" ht="15">
      <c r="A88" s="902"/>
      <c r="B88" s="1104" t="str">
        <f>B26</f>
        <v>平面位置/可视性</v>
      </c>
      <c r="C88" s="1112"/>
      <c r="D88" s="1112"/>
      <c r="E88" s="1112"/>
      <c r="F88" s="1389"/>
      <c r="G88" s="1112"/>
      <c r="H88" s="1112"/>
      <c r="I88" s="1112"/>
      <c r="J88" s="1112"/>
      <c r="K88" s="1112"/>
      <c r="L88" s="1112"/>
      <c r="M88" s="1250"/>
      <c r="N88" s="1138"/>
      <c r="O88" s="1138"/>
      <c r="P88" s="1407"/>
      <c r="Q88" s="1079"/>
      <c r="R88" s="1027"/>
      <c r="S88" s="1027"/>
      <c r="T88" s="1027"/>
      <c r="U88" s="1027"/>
      <c r="V88" s="1027"/>
      <c r="W88" s="1027"/>
      <c r="X88" s="1027"/>
      <c r="Y88" s="1027"/>
      <c r="Z88" s="1027"/>
      <c r="AA88" s="1027"/>
      <c r="AB88" s="1027"/>
      <c r="AC88" s="1027"/>
    </row>
    <row r="89" spans="1:29" s="855" customFormat="1" ht="15">
      <c r="A89" s="902"/>
      <c r="B89" s="1106"/>
      <c r="C89" s="1114"/>
      <c r="D89" s="1103"/>
      <c r="E89" s="1103"/>
      <c r="F89" s="1103"/>
      <c r="G89" s="1103"/>
      <c r="H89" s="1103"/>
      <c r="I89" s="1103"/>
      <c r="J89" s="1103"/>
      <c r="K89" s="1103"/>
      <c r="L89" s="1103"/>
      <c r="M89" s="1103"/>
      <c r="N89" s="1145"/>
      <c r="O89" s="1145"/>
      <c r="P89" s="1407"/>
      <c r="Q89" s="1079"/>
      <c r="R89" s="1027"/>
      <c r="S89" s="1027"/>
      <c r="T89" s="1027"/>
      <c r="U89" s="1027"/>
      <c r="V89" s="1027"/>
      <c r="W89" s="1027"/>
      <c r="X89" s="1027"/>
      <c r="Y89" s="1027"/>
      <c r="Z89" s="1027"/>
      <c r="AA89" s="1027"/>
      <c r="AB89" s="1027"/>
      <c r="AC89" s="1027"/>
    </row>
    <row r="90" spans="1:29" s="857" customFormat="1" ht="15">
      <c r="A90" s="1111"/>
      <c r="B90" s="1104" t="str">
        <f>B27</f>
        <v>人流量</v>
      </c>
      <c r="C90" s="1112"/>
      <c r="D90" s="1112"/>
      <c r="E90" s="1112"/>
      <c r="F90" s="1112"/>
      <c r="G90" s="1112"/>
      <c r="H90" s="1113"/>
      <c r="I90" s="1113"/>
      <c r="J90" s="1113"/>
      <c r="K90" s="1113"/>
      <c r="L90" s="1153"/>
      <c r="M90" s="1154"/>
      <c r="N90" s="1155"/>
      <c r="O90" s="1155"/>
      <c r="P90" s="1411"/>
      <c r="Q90" s="1183"/>
      <c r="R90" s="1045"/>
      <c r="S90" s="1045"/>
      <c r="T90" s="1045"/>
      <c r="U90" s="1045"/>
      <c r="V90" s="1045"/>
      <c r="W90" s="1045"/>
      <c r="X90" s="1045"/>
      <c r="Y90" s="1045"/>
      <c r="Z90" s="1045"/>
      <c r="AA90" s="1045"/>
      <c r="AB90" s="1045"/>
      <c r="AC90" s="1045"/>
    </row>
    <row r="91" spans="1:29" s="857" customFormat="1" ht="15">
      <c r="A91" s="1111"/>
      <c r="B91" s="1106"/>
      <c r="C91" s="1123">
        <v>100</v>
      </c>
      <c r="D91" s="1107">
        <f>C91-$K27</f>
        <v>100</v>
      </c>
      <c r="E91" s="1107">
        <f t="shared" ref="E91:M91" si="21">D91-$K27</f>
        <v>100</v>
      </c>
      <c r="F91" s="1107">
        <f t="shared" si="21"/>
        <v>100</v>
      </c>
      <c r="G91" s="1107">
        <f t="shared" si="21"/>
        <v>100</v>
      </c>
      <c r="H91" s="1107">
        <f t="shared" si="21"/>
        <v>100</v>
      </c>
      <c r="I91" s="1107">
        <f t="shared" si="21"/>
        <v>100</v>
      </c>
      <c r="J91" s="1107">
        <f t="shared" si="21"/>
        <v>100</v>
      </c>
      <c r="K91" s="1107">
        <f t="shared" si="21"/>
        <v>100</v>
      </c>
      <c r="L91" s="1107">
        <f t="shared" si="21"/>
        <v>100</v>
      </c>
      <c r="M91" s="1107">
        <f t="shared" si="21"/>
        <v>100</v>
      </c>
      <c r="N91" s="1155"/>
      <c r="O91" s="1155"/>
      <c r="P91" s="1411"/>
      <c r="Q91" s="1183"/>
      <c r="R91" s="1045"/>
      <c r="S91" s="1045"/>
      <c r="T91" s="1045"/>
      <c r="U91" s="1045"/>
      <c r="V91" s="1045"/>
      <c r="W91" s="1045"/>
      <c r="X91" s="1045"/>
      <c r="Y91" s="1045"/>
      <c r="Z91" s="1045"/>
      <c r="AA91" s="1045"/>
      <c r="AB91" s="1045"/>
      <c r="AC91" s="1045"/>
    </row>
    <row r="92" spans="1:29" ht="15">
      <c r="A92" s="899"/>
      <c r="B92" s="1104" t="str">
        <f>B28</f>
        <v>楼层</v>
      </c>
      <c r="C92" s="1112"/>
      <c r="D92" s="1112"/>
      <c r="E92" s="1112"/>
      <c r="F92" s="1112"/>
      <c r="G92" s="1112"/>
      <c r="H92" s="1112"/>
      <c r="I92" s="1112"/>
      <c r="J92" s="1112"/>
      <c r="K92" s="1112"/>
      <c r="L92" s="1249"/>
      <c r="M92" s="1250"/>
      <c r="N92" s="1143"/>
      <c r="O92" s="1143"/>
      <c r="P92" s="1407"/>
      <c r="Q92" s="1079"/>
      <c r="R92" s="971"/>
      <c r="S92" s="971"/>
      <c r="T92" s="971"/>
      <c r="U92" s="971"/>
      <c r="V92" s="971"/>
      <c r="W92" s="971"/>
      <c r="X92" s="971"/>
      <c r="Y92" s="971"/>
      <c r="Z92" s="971"/>
      <c r="AA92" s="971"/>
      <c r="AB92" s="971"/>
      <c r="AC92" s="971"/>
    </row>
    <row r="93" spans="1:29" ht="15">
      <c r="A93" s="899"/>
      <c r="B93" s="1106"/>
      <c r="C93" s="1103"/>
      <c r="D93" s="1103"/>
      <c r="E93" s="1103"/>
      <c r="F93" s="1103"/>
      <c r="G93" s="1103"/>
      <c r="H93" s="1103"/>
      <c r="I93" s="1103"/>
      <c r="J93" s="1103"/>
      <c r="K93" s="1103"/>
      <c r="L93" s="1103"/>
      <c r="M93" s="1144"/>
      <c r="N93" s="1145"/>
      <c r="O93" s="1145"/>
      <c r="P93" s="1407"/>
      <c r="Q93" s="1079"/>
      <c r="R93" s="971"/>
      <c r="S93" s="971"/>
      <c r="T93" s="971"/>
      <c r="U93" s="971"/>
      <c r="V93" s="971"/>
      <c r="W93" s="971"/>
      <c r="X93" s="971"/>
      <c r="Y93" s="971"/>
      <c r="Z93" s="971"/>
      <c r="AA93" s="971"/>
      <c r="AB93" s="971"/>
      <c r="AC93" s="971"/>
    </row>
    <row r="94" spans="1:29" ht="15">
      <c r="A94" s="899"/>
      <c r="B94" s="1104">
        <f>B29</f>
        <v>111</v>
      </c>
      <c r="C94" s="1112"/>
      <c r="D94" s="1112"/>
      <c r="E94" s="1112"/>
      <c r="F94" s="1112"/>
      <c r="G94" s="1126"/>
      <c r="H94" s="1126"/>
      <c r="I94" s="1126"/>
      <c r="J94" s="1126"/>
      <c r="K94" s="1171"/>
      <c r="L94" s="1172"/>
      <c r="M94" s="1173"/>
      <c r="N94" s="1143"/>
      <c r="O94" s="1143"/>
      <c r="P94" s="1407"/>
      <c r="Q94" s="1079"/>
      <c r="R94" s="971"/>
      <c r="S94" s="971"/>
      <c r="T94" s="971"/>
      <c r="U94" s="971"/>
      <c r="V94" s="971"/>
      <c r="W94" s="971"/>
      <c r="X94" s="971"/>
      <c r="Y94" s="971"/>
      <c r="Z94" s="971"/>
      <c r="AA94" s="971"/>
      <c r="AB94" s="971"/>
      <c r="AC94" s="971"/>
    </row>
    <row r="95" spans="1:29" ht="15">
      <c r="A95" s="899"/>
      <c r="B95" s="1106"/>
      <c r="C95" s="1114"/>
      <c r="D95" s="1103"/>
      <c r="E95" s="1103"/>
      <c r="F95" s="1103"/>
      <c r="G95" s="1103"/>
      <c r="H95" s="1103"/>
      <c r="I95" s="1103"/>
      <c r="J95" s="1103"/>
      <c r="K95" s="1103"/>
      <c r="L95" s="1103"/>
      <c r="M95" s="1144"/>
      <c r="N95" s="1145"/>
      <c r="O95" s="1145"/>
      <c r="P95" s="1407"/>
      <c r="Q95" s="1079"/>
      <c r="R95" s="971"/>
      <c r="S95" s="971"/>
      <c r="T95" s="971"/>
      <c r="U95" s="971"/>
      <c r="V95" s="971"/>
      <c r="W95" s="971"/>
      <c r="X95" s="971"/>
      <c r="Y95" s="971"/>
      <c r="Z95" s="971"/>
      <c r="AA95" s="971"/>
      <c r="AB95" s="971"/>
      <c r="AC95" s="971"/>
    </row>
    <row r="96" spans="1:29" ht="15">
      <c r="A96" s="899"/>
      <c r="B96" s="1104">
        <f>B30</f>
        <v>111</v>
      </c>
      <c r="C96" s="1112"/>
      <c r="D96" s="1112"/>
      <c r="E96" s="1112"/>
      <c r="F96" s="1112"/>
      <c r="G96" s="1126"/>
      <c r="H96" s="1126"/>
      <c r="I96" s="1126"/>
      <c r="J96" s="1126"/>
      <c r="K96" s="1171"/>
      <c r="L96" s="1172"/>
      <c r="M96" s="1173"/>
      <c r="N96" s="1143"/>
      <c r="O96" s="1143"/>
      <c r="P96" s="1407"/>
      <c r="Q96" s="1079"/>
      <c r="R96" s="971"/>
      <c r="S96" s="971"/>
      <c r="T96" s="971"/>
      <c r="U96" s="971"/>
      <c r="V96" s="971"/>
      <c r="W96" s="971"/>
      <c r="X96" s="971"/>
      <c r="Y96" s="971"/>
      <c r="Z96" s="971"/>
      <c r="AA96" s="971"/>
      <c r="AB96" s="971"/>
      <c r="AC96" s="971"/>
    </row>
    <row r="97" spans="1:29" ht="15">
      <c r="A97" s="899"/>
      <c r="B97" s="1106"/>
      <c r="C97" s="1114"/>
      <c r="D97" s="1103"/>
      <c r="E97" s="1103"/>
      <c r="F97" s="1103"/>
      <c r="G97" s="1103"/>
      <c r="H97" s="1103"/>
      <c r="I97" s="1103"/>
      <c r="J97" s="1103"/>
      <c r="K97" s="1103"/>
      <c r="L97" s="1103"/>
      <c r="M97" s="1144"/>
      <c r="N97" s="1145"/>
      <c r="O97" s="1145"/>
      <c r="P97" s="1407"/>
      <c r="Q97" s="1079"/>
      <c r="R97" s="971"/>
      <c r="S97" s="971"/>
      <c r="T97" s="971"/>
      <c r="U97" s="971"/>
      <c r="V97" s="971"/>
      <c r="W97" s="971"/>
      <c r="X97" s="971"/>
      <c r="Y97" s="971"/>
      <c r="Z97" s="971"/>
      <c r="AA97" s="971"/>
      <c r="AB97" s="971"/>
      <c r="AC97" s="971"/>
    </row>
    <row r="98" spans="1:29" ht="15">
      <c r="A98" s="899"/>
      <c r="B98" s="1108">
        <f>B31</f>
        <v>111</v>
      </c>
      <c r="C98" s="1112"/>
      <c r="D98" s="1112"/>
      <c r="E98" s="1112"/>
      <c r="F98" s="1112"/>
      <c r="G98" s="1127"/>
      <c r="H98" s="1127"/>
      <c r="I98" s="1127"/>
      <c r="J98" s="1127"/>
      <c r="K98" s="1174"/>
      <c r="L98" s="1175"/>
      <c r="M98" s="1176"/>
      <c r="N98" s="1143"/>
      <c r="O98" s="1143"/>
      <c r="P98" s="1407"/>
      <c r="Q98" s="1079"/>
      <c r="R98" s="971"/>
      <c r="S98" s="971"/>
      <c r="T98" s="971"/>
      <c r="U98" s="971"/>
      <c r="V98" s="971"/>
      <c r="W98" s="971"/>
      <c r="X98" s="971"/>
      <c r="Y98" s="971"/>
      <c r="Z98" s="971"/>
      <c r="AA98" s="971"/>
      <c r="AB98" s="971"/>
      <c r="AC98" s="971"/>
    </row>
    <row r="99" spans="1:29" ht="15">
      <c r="A99" s="908"/>
      <c r="B99" s="1118"/>
      <c r="C99" s="1119"/>
      <c r="D99" s="1119"/>
      <c r="E99" s="1119"/>
      <c r="F99" s="1119"/>
      <c r="G99" s="1128"/>
      <c r="H99" s="1128"/>
      <c r="I99" s="1128"/>
      <c r="J99" s="1128"/>
      <c r="K99" s="1128"/>
      <c r="L99" s="1128"/>
      <c r="M99" s="1177"/>
      <c r="N99" s="1145"/>
      <c r="O99" s="1145"/>
      <c r="P99" s="1407"/>
      <c r="Q99" s="1079"/>
      <c r="R99" s="971"/>
      <c r="S99" s="971"/>
      <c r="T99" s="971"/>
      <c r="U99" s="971"/>
      <c r="V99" s="971"/>
      <c r="W99" s="971"/>
      <c r="X99" s="971"/>
      <c r="Y99" s="971"/>
      <c r="Z99" s="971"/>
      <c r="AA99" s="971"/>
      <c r="AB99" s="971"/>
      <c r="AC99" s="971"/>
    </row>
    <row r="100" spans="1:29">
      <c r="A100" s="912" t="s">
        <v>983</v>
      </c>
      <c r="B100" s="1101" t="s">
        <v>1940</v>
      </c>
      <c r="C100" s="1047"/>
      <c r="D100" s="1047"/>
      <c r="E100" s="1047"/>
      <c r="F100" s="1047"/>
      <c r="G100" s="1047"/>
      <c r="H100" s="1047"/>
      <c r="I100" s="1047"/>
      <c r="J100" s="1047"/>
      <c r="K100" s="1140"/>
      <c r="L100" s="1141"/>
      <c r="M100" s="1142"/>
      <c r="N100" s="1143"/>
      <c r="O100" s="1143"/>
      <c r="P100" s="1407"/>
      <c r="Q100" s="1079"/>
      <c r="R100" s="971"/>
      <c r="S100" s="971"/>
      <c r="T100" s="971"/>
      <c r="U100" s="971"/>
      <c r="V100" s="971"/>
      <c r="W100" s="971"/>
      <c r="X100" s="971"/>
      <c r="Y100" s="971"/>
      <c r="Z100" s="971"/>
      <c r="AA100" s="971"/>
      <c r="AB100" s="971"/>
      <c r="AC100" s="971"/>
    </row>
    <row r="101" spans="1:29" ht="15">
      <c r="A101" s="899"/>
      <c r="B101" s="1106"/>
      <c r="C101" s="1107">
        <v>100</v>
      </c>
      <c r="D101" s="1107">
        <f t="shared" ref="D101:M101" si="22">C101-$K32</f>
        <v>100</v>
      </c>
      <c r="E101" s="1107">
        <f t="shared" si="22"/>
        <v>100</v>
      </c>
      <c r="F101" s="1107">
        <f t="shared" si="22"/>
        <v>100</v>
      </c>
      <c r="G101" s="1107">
        <f t="shared" si="22"/>
        <v>100</v>
      </c>
      <c r="H101" s="1107">
        <f t="shared" si="22"/>
        <v>100</v>
      </c>
      <c r="I101" s="1107">
        <f t="shared" si="22"/>
        <v>100</v>
      </c>
      <c r="J101" s="1107">
        <f t="shared" si="22"/>
        <v>100</v>
      </c>
      <c r="K101" s="1107">
        <f t="shared" si="22"/>
        <v>100</v>
      </c>
      <c r="L101" s="1107">
        <f t="shared" si="22"/>
        <v>100</v>
      </c>
      <c r="M101" s="1149">
        <f t="shared" si="22"/>
        <v>100</v>
      </c>
      <c r="N101" s="1145"/>
      <c r="O101" s="1145"/>
      <c r="P101" s="1407"/>
      <c r="Q101" s="1079"/>
      <c r="R101" s="971"/>
      <c r="S101" s="971"/>
      <c r="T101" s="971"/>
      <c r="U101" s="971"/>
      <c r="V101" s="971"/>
      <c r="W101" s="971"/>
      <c r="X101" s="971"/>
      <c r="Y101" s="971"/>
      <c r="Z101" s="971"/>
      <c r="AA101" s="971"/>
      <c r="AB101" s="971"/>
      <c r="AC101" s="971"/>
    </row>
    <row r="102" spans="1:29" ht="15">
      <c r="A102" s="899"/>
      <c r="B102" s="1104" t="s">
        <v>1563</v>
      </c>
      <c r="C102" s="1122" t="str">
        <f>C103&amp;"(含)"&amp;"-"&amp;D103</f>
        <v>(含)-</v>
      </c>
      <c r="D102" s="1122" t="str">
        <f t="shared" ref="D102:L102" si="23">D103&amp;"(含)"&amp;"-"&amp;E103</f>
        <v>(含)-</v>
      </c>
      <c r="E102" s="1122" t="str">
        <f t="shared" si="23"/>
        <v>(含)-</v>
      </c>
      <c r="F102" s="1122" t="str">
        <f t="shared" si="23"/>
        <v>(含)-</v>
      </c>
      <c r="G102" s="1122" t="str">
        <f t="shared" si="23"/>
        <v>(含)-</v>
      </c>
      <c r="H102" s="1122" t="str">
        <f t="shared" si="23"/>
        <v>(含)-</v>
      </c>
      <c r="I102" s="1122" t="str">
        <f t="shared" si="23"/>
        <v>(含)-</v>
      </c>
      <c r="J102" s="1122" t="str">
        <f t="shared" si="23"/>
        <v>(含)-</v>
      </c>
      <c r="K102" s="1122" t="str">
        <f t="shared" si="23"/>
        <v>(含)-</v>
      </c>
      <c r="L102" s="1122" t="str">
        <f t="shared" si="23"/>
        <v>(含)-</v>
      </c>
      <c r="M102" s="1166" t="str">
        <f>M103&amp;"(含)"&amp;"-"&amp;P103</f>
        <v>(含)-</v>
      </c>
      <c r="N102" s="1138"/>
      <c r="O102" s="1138"/>
      <c r="P102" s="1407"/>
      <c r="Q102" s="1079"/>
      <c r="R102" s="971"/>
      <c r="S102" s="971"/>
      <c r="T102" s="971"/>
      <c r="U102" s="971"/>
      <c r="V102" s="971"/>
      <c r="W102" s="971"/>
      <c r="X102" s="971"/>
      <c r="Y102" s="971"/>
      <c r="Z102" s="971"/>
      <c r="AA102" s="971"/>
      <c r="AB102" s="971"/>
      <c r="AC102" s="971"/>
    </row>
    <row r="103" spans="1:29" s="857" customFormat="1">
      <c r="A103" s="952"/>
      <c r="B103" s="1129"/>
      <c r="C103" s="1090"/>
      <c r="D103" s="1090"/>
      <c r="E103" s="1090"/>
      <c r="F103" s="1090"/>
      <c r="G103" s="1090"/>
      <c r="H103" s="1090"/>
      <c r="I103" s="1090"/>
      <c r="J103" s="1178"/>
      <c r="K103" s="1178"/>
      <c r="L103" s="1179"/>
      <c r="M103" s="1180"/>
      <c r="N103" s="1155"/>
      <c r="O103" s="1155"/>
      <c r="P103" s="1411"/>
      <c r="Q103" s="1183"/>
      <c r="R103" s="1045"/>
      <c r="S103" s="1045"/>
      <c r="T103" s="1045"/>
      <c r="U103" s="1045"/>
      <c r="V103" s="1045"/>
      <c r="W103" s="1045"/>
      <c r="X103" s="1045"/>
      <c r="Y103" s="1045"/>
      <c r="Z103" s="1045"/>
      <c r="AA103" s="1045"/>
      <c r="AB103" s="1045"/>
      <c r="AC103" s="1045"/>
    </row>
    <row r="104" spans="1:29" s="857" customFormat="1" ht="15">
      <c r="A104" s="1111"/>
      <c r="B104" s="1106"/>
      <c r="C104" s="1114"/>
      <c r="D104" s="1103"/>
      <c r="E104" s="1103"/>
      <c r="F104" s="1103"/>
      <c r="G104" s="1103"/>
      <c r="H104" s="1103"/>
      <c r="I104" s="1103"/>
      <c r="J104" s="1103"/>
      <c r="K104" s="1103"/>
      <c r="L104" s="1103"/>
      <c r="M104" s="1144"/>
      <c r="N104" s="1145"/>
      <c r="O104" s="1145"/>
      <c r="P104" s="1411"/>
      <c r="Q104" s="1183"/>
      <c r="R104" s="1045"/>
      <c r="S104" s="1045"/>
      <c r="T104" s="1045"/>
      <c r="U104" s="1045"/>
      <c r="V104" s="1045"/>
      <c r="W104" s="1045"/>
      <c r="X104" s="1045"/>
      <c r="Y104" s="1045"/>
      <c r="Z104" s="1045"/>
      <c r="AA104" s="1045"/>
      <c r="AB104" s="1045"/>
      <c r="AC104" s="1045"/>
    </row>
    <row r="105" spans="1:29">
      <c r="A105" s="947"/>
      <c r="B105" s="1104" t="s">
        <v>1564</v>
      </c>
      <c r="C105" s="1112"/>
      <c r="D105" s="1112"/>
      <c r="E105" s="1126"/>
      <c r="F105" s="1126"/>
      <c r="G105" s="1126"/>
      <c r="H105" s="1126"/>
      <c r="I105" s="1126"/>
      <c r="J105" s="1126"/>
      <c r="K105" s="1171"/>
      <c r="L105" s="1172"/>
      <c r="M105" s="1173"/>
      <c r="N105" s="1143"/>
      <c r="O105" s="1143"/>
      <c r="P105" s="1407"/>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4">C106-$K34</f>
        <v>100</v>
      </c>
      <c r="E106" s="1107">
        <f t="shared" si="24"/>
        <v>100</v>
      </c>
      <c r="F106" s="1107">
        <f t="shared" si="24"/>
        <v>100</v>
      </c>
      <c r="G106" s="1107">
        <f t="shared" si="24"/>
        <v>100</v>
      </c>
      <c r="H106" s="1107">
        <f t="shared" si="24"/>
        <v>100</v>
      </c>
      <c r="I106" s="1107">
        <f t="shared" si="24"/>
        <v>100</v>
      </c>
      <c r="J106" s="1107">
        <f t="shared" si="24"/>
        <v>100</v>
      </c>
      <c r="K106" s="1107">
        <f t="shared" si="24"/>
        <v>100</v>
      </c>
      <c r="L106" s="1107">
        <f t="shared" si="24"/>
        <v>100</v>
      </c>
      <c r="M106" s="1149">
        <f t="shared" si="24"/>
        <v>100</v>
      </c>
      <c r="N106" s="1145"/>
      <c r="O106" s="1145"/>
      <c r="P106" s="1407"/>
      <c r="Q106" s="1079"/>
      <c r="R106" s="971"/>
      <c r="S106" s="971"/>
      <c r="T106" s="971"/>
      <c r="U106" s="971"/>
      <c r="V106" s="971"/>
      <c r="W106" s="971"/>
      <c r="X106" s="971"/>
      <c r="Y106" s="971"/>
      <c r="Z106" s="971"/>
      <c r="AA106" s="971"/>
      <c r="AB106" s="971"/>
      <c r="AC106" s="971"/>
    </row>
    <row r="107" spans="1:29">
      <c r="A107" s="947"/>
      <c r="B107" s="1104" t="s">
        <v>1567</v>
      </c>
      <c r="C107" s="1112"/>
      <c r="D107" s="1112"/>
      <c r="E107" s="1112"/>
      <c r="F107" s="1126"/>
      <c r="G107" s="1126"/>
      <c r="H107" s="1126"/>
      <c r="I107" s="1126"/>
      <c r="J107" s="1126"/>
      <c r="K107" s="1171"/>
      <c r="L107" s="1172"/>
      <c r="M107" s="1173"/>
      <c r="N107" s="1143"/>
      <c r="O107" s="1143"/>
      <c r="P107" s="1407"/>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5">C108-$K35</f>
        <v>100</v>
      </c>
      <c r="E108" s="1107">
        <f t="shared" si="25"/>
        <v>100</v>
      </c>
      <c r="F108" s="1107">
        <f t="shared" si="25"/>
        <v>100</v>
      </c>
      <c r="G108" s="1107">
        <f t="shared" si="25"/>
        <v>100</v>
      </c>
      <c r="H108" s="1107">
        <f t="shared" si="25"/>
        <v>100</v>
      </c>
      <c r="I108" s="1107">
        <f t="shared" si="25"/>
        <v>100</v>
      </c>
      <c r="J108" s="1107">
        <f t="shared" si="25"/>
        <v>100</v>
      </c>
      <c r="K108" s="1107">
        <f t="shared" si="25"/>
        <v>100</v>
      </c>
      <c r="L108" s="1107">
        <f t="shared" si="25"/>
        <v>100</v>
      </c>
      <c r="M108" s="1149">
        <f t="shared" si="25"/>
        <v>100</v>
      </c>
      <c r="N108" s="1145"/>
      <c r="O108" s="1145"/>
      <c r="P108" s="1407"/>
      <c r="Q108" s="1079"/>
      <c r="R108" s="971"/>
      <c r="S108" s="971"/>
      <c r="T108" s="971"/>
      <c r="U108" s="971"/>
      <c r="V108" s="971"/>
      <c r="W108" s="971"/>
      <c r="X108" s="971"/>
      <c r="Y108" s="971"/>
      <c r="Z108" s="971"/>
      <c r="AA108" s="971"/>
      <c r="AB108" s="971"/>
      <c r="AC108" s="971"/>
    </row>
    <row r="109" spans="1:29">
      <c r="A109" s="947"/>
      <c r="B109" s="1104" t="s">
        <v>579</v>
      </c>
      <c r="C109" s="1122" t="str">
        <f>C110&amp;"(含)"&amp;"-"&amp;D110</f>
        <v>0.5(含)-0.6</v>
      </c>
      <c r="D109" s="1122" t="str">
        <f>D110&amp;"(含)"&amp;"-"&amp;E110</f>
        <v>0.6(含)-0.7</v>
      </c>
      <c r="E109" s="1122" t="str">
        <f>E110&amp;"(含)"&amp;"-"&amp;F110</f>
        <v>0.7(含)-0.8</v>
      </c>
      <c r="F109" s="1122" t="str">
        <f>F110&amp;"(含)"&amp;"-"&amp;G110</f>
        <v>0.8(含)-0.9</v>
      </c>
      <c r="G109" s="1122" t="str">
        <f>G110&amp;"(含)"&amp;"-"&amp;ROUND(H110,0)&amp;"(含)"</f>
        <v>0.9(含)-1(含)</v>
      </c>
      <c r="H109" s="1122"/>
      <c r="I109" s="1126"/>
      <c r="J109" s="1126"/>
      <c r="K109" s="1171"/>
      <c r="L109" s="1172"/>
      <c r="M109" s="1173"/>
      <c r="N109" s="1143"/>
      <c r="O109" s="1143"/>
      <c r="P109" s="1407"/>
      <c r="Q109" s="1079"/>
      <c r="R109" s="971"/>
      <c r="S109" s="971"/>
      <c r="T109" s="971"/>
      <c r="U109" s="971"/>
      <c r="V109" s="971"/>
      <c r="W109" s="971"/>
      <c r="X109" s="971"/>
      <c r="Y109" s="971"/>
      <c r="Z109" s="971"/>
      <c r="AA109" s="971"/>
      <c r="AB109" s="971"/>
      <c r="AC109" s="971"/>
    </row>
    <row r="110" spans="1:29">
      <c r="A110" s="947"/>
      <c r="B110" s="1108"/>
      <c r="C110" s="795">
        <v>0.5</v>
      </c>
      <c r="D110" s="795">
        <v>0.6</v>
      </c>
      <c r="E110" s="795">
        <v>0.7</v>
      </c>
      <c r="F110" s="795">
        <v>0.8</v>
      </c>
      <c r="G110" s="795">
        <v>0.9</v>
      </c>
      <c r="H110" s="795">
        <v>1.0001</v>
      </c>
      <c r="I110" s="1328"/>
      <c r="J110" s="1328"/>
      <c r="K110" s="1329"/>
      <c r="L110" s="1330"/>
      <c r="M110" s="1331"/>
      <c r="N110" s="1143"/>
      <c r="O110" s="1143"/>
      <c r="P110" s="1407"/>
      <c r="Q110" s="1079"/>
      <c r="R110" s="971"/>
      <c r="S110" s="971"/>
      <c r="T110" s="971"/>
      <c r="U110" s="971"/>
      <c r="V110" s="971"/>
      <c r="W110" s="971"/>
      <c r="X110" s="971"/>
      <c r="Y110" s="971"/>
      <c r="Z110" s="971"/>
      <c r="AA110" s="971"/>
      <c r="AB110" s="971"/>
      <c r="AC110" s="971"/>
    </row>
    <row r="111" spans="1:29" ht="15">
      <c r="A111" s="899"/>
      <c r="B111" s="1106"/>
      <c r="C111" s="1123">
        <v>100</v>
      </c>
      <c r="D111" s="1107">
        <f>C111+$K36</f>
        <v>100</v>
      </c>
      <c r="E111" s="1107">
        <f t="shared" ref="E111:M111" si="26">D111+$K36</f>
        <v>100</v>
      </c>
      <c r="F111" s="1107">
        <f t="shared" si="26"/>
        <v>100</v>
      </c>
      <c r="G111" s="1107">
        <f t="shared" si="26"/>
        <v>100</v>
      </c>
      <c r="H111" s="1107">
        <f t="shared" si="26"/>
        <v>100</v>
      </c>
      <c r="I111" s="1107">
        <f t="shared" si="26"/>
        <v>100</v>
      </c>
      <c r="J111" s="1107">
        <f t="shared" si="26"/>
        <v>100</v>
      </c>
      <c r="K111" s="1107">
        <f t="shared" si="26"/>
        <v>100</v>
      </c>
      <c r="L111" s="1107">
        <f t="shared" si="26"/>
        <v>100</v>
      </c>
      <c r="M111" s="1107">
        <f t="shared" si="26"/>
        <v>100</v>
      </c>
      <c r="N111" s="1145"/>
      <c r="O111" s="1145"/>
      <c r="P111" s="1407"/>
      <c r="Q111" s="1079"/>
      <c r="R111" s="971"/>
      <c r="S111" s="971"/>
      <c r="T111" s="971"/>
      <c r="U111" s="971"/>
      <c r="V111" s="971"/>
      <c r="W111" s="971"/>
      <c r="X111" s="971"/>
      <c r="Y111" s="971"/>
      <c r="Z111" s="971"/>
      <c r="AA111" s="971"/>
      <c r="AB111" s="971"/>
      <c r="AC111" s="971"/>
    </row>
    <row r="112" spans="1:29" s="857" customFormat="1">
      <c r="A112" s="952"/>
      <c r="B112" s="1104" t="s">
        <v>1571</v>
      </c>
      <c r="C112" s="1112"/>
      <c r="D112" s="1112"/>
      <c r="E112" s="1112"/>
      <c r="F112" s="1112"/>
      <c r="G112" s="1112"/>
      <c r="H112" s="1126"/>
      <c r="I112" s="1126"/>
      <c r="J112" s="1126"/>
      <c r="K112" s="1171"/>
      <c r="L112" s="1172"/>
      <c r="M112" s="1173"/>
      <c r="N112" s="1155"/>
      <c r="O112" s="1155"/>
      <c r="P112" s="1411"/>
      <c r="Q112" s="1183"/>
      <c r="R112" s="1045"/>
      <c r="S112" s="1045"/>
      <c r="T112" s="1045"/>
      <c r="U112" s="1045"/>
      <c r="V112" s="1045"/>
      <c r="W112" s="1045"/>
      <c r="X112" s="1045"/>
      <c r="Y112" s="1045"/>
      <c r="Z112" s="1045"/>
      <c r="AA112" s="1045"/>
      <c r="AB112" s="1045"/>
      <c r="AC112" s="1045"/>
    </row>
    <row r="113" spans="1:29" s="857" customFormat="1" ht="15">
      <c r="A113" s="1111"/>
      <c r="B113" s="1106"/>
      <c r="C113" s="1107">
        <v>100</v>
      </c>
      <c r="D113" s="1107">
        <f>C113-$K37</f>
        <v>100</v>
      </c>
      <c r="E113" s="1107">
        <f t="shared" ref="E113:M113" si="27">D113-$K37</f>
        <v>100</v>
      </c>
      <c r="F113" s="1107">
        <f t="shared" si="27"/>
        <v>100</v>
      </c>
      <c r="G113" s="1107">
        <f t="shared" si="27"/>
        <v>100</v>
      </c>
      <c r="H113" s="1107">
        <f t="shared" si="27"/>
        <v>100</v>
      </c>
      <c r="I113" s="1107">
        <f t="shared" si="27"/>
        <v>100</v>
      </c>
      <c r="J113" s="1107">
        <f t="shared" si="27"/>
        <v>100</v>
      </c>
      <c r="K113" s="1107">
        <f t="shared" si="27"/>
        <v>100</v>
      </c>
      <c r="L113" s="1107">
        <f t="shared" si="27"/>
        <v>100</v>
      </c>
      <c r="M113" s="1107">
        <f t="shared" si="27"/>
        <v>100</v>
      </c>
      <c r="N113" s="1155"/>
      <c r="O113" s="1155"/>
      <c r="P113" s="1411"/>
      <c r="Q113" s="1183"/>
      <c r="R113" s="1045"/>
      <c r="S113" s="1045"/>
      <c r="T113" s="1045"/>
      <c r="U113" s="1045"/>
      <c r="V113" s="1045"/>
      <c r="W113" s="1045"/>
      <c r="X113" s="1045"/>
      <c r="Y113" s="1045"/>
      <c r="Z113" s="1045"/>
      <c r="AA113" s="1045"/>
      <c r="AB113" s="1045"/>
      <c r="AC113" s="1045"/>
    </row>
    <row r="114" spans="1:29">
      <c r="A114" s="947"/>
      <c r="B114" s="1104" t="s">
        <v>1941</v>
      </c>
      <c r="C114" s="1112"/>
      <c r="D114" s="1112"/>
      <c r="E114" s="1126"/>
      <c r="F114" s="1126"/>
      <c r="G114" s="1126"/>
      <c r="H114" s="1126"/>
      <c r="I114" s="1126"/>
      <c r="J114" s="1126"/>
      <c r="K114" s="1171"/>
      <c r="L114" s="1172"/>
      <c r="M114" s="1173"/>
      <c r="N114" s="1143"/>
      <c r="O114" s="1143"/>
      <c r="P114" s="1407"/>
      <c r="Q114" s="1079"/>
      <c r="R114" s="971"/>
      <c r="S114" s="971"/>
      <c r="T114" s="971"/>
      <c r="U114" s="971"/>
      <c r="V114" s="971"/>
      <c r="W114" s="971"/>
      <c r="X114" s="971"/>
      <c r="Y114" s="971"/>
      <c r="Z114" s="971"/>
      <c r="AA114" s="971"/>
      <c r="AB114" s="971"/>
      <c r="AC114" s="971"/>
    </row>
    <row r="115" spans="1:29" ht="15">
      <c r="A115" s="899"/>
      <c r="B115" s="1106"/>
      <c r="C115" s="1107">
        <v>100</v>
      </c>
      <c r="D115" s="1107">
        <f t="shared" ref="D115:M115" si="28">C115-$K38</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407"/>
      <c r="Q115" s="1079"/>
      <c r="R115" s="971"/>
      <c r="S115" s="971"/>
      <c r="T115" s="971"/>
      <c r="U115" s="971"/>
      <c r="V115" s="971"/>
      <c r="W115" s="971"/>
      <c r="X115" s="971"/>
      <c r="Y115" s="971"/>
      <c r="Z115" s="971"/>
      <c r="AA115" s="971"/>
      <c r="AB115" s="971"/>
      <c r="AC115" s="971"/>
    </row>
    <row r="116" spans="1:29">
      <c r="A116" s="947"/>
      <c r="B116" s="1104" t="s">
        <v>1942</v>
      </c>
      <c r="C116" s="1112"/>
      <c r="D116" s="1112"/>
      <c r="E116" s="1112"/>
      <c r="F116" s="1112"/>
      <c r="G116" s="1112"/>
      <c r="H116" s="1126"/>
      <c r="I116" s="1126"/>
      <c r="J116" s="1126"/>
      <c r="K116" s="1171"/>
      <c r="L116" s="1172"/>
      <c r="M116" s="1173"/>
      <c r="N116" s="1143"/>
      <c r="O116" s="1143"/>
      <c r="P116" s="1407"/>
      <c r="Q116" s="1079"/>
      <c r="R116" s="971"/>
      <c r="S116" s="971"/>
      <c r="T116" s="971"/>
      <c r="U116" s="971"/>
      <c r="V116" s="971"/>
      <c r="W116" s="971"/>
      <c r="X116" s="971"/>
      <c r="Y116" s="971"/>
      <c r="Z116" s="971"/>
      <c r="AA116" s="971"/>
      <c r="AB116" s="971"/>
      <c r="AC116" s="971"/>
    </row>
    <row r="117" spans="1:29" ht="15">
      <c r="A117" s="899"/>
      <c r="B117" s="1106"/>
      <c r="C117" s="1107">
        <v>100</v>
      </c>
      <c r="D117" s="1107">
        <f>C117-$K39</f>
        <v>100</v>
      </c>
      <c r="E117" s="1107">
        <f>D117-$K39</f>
        <v>100</v>
      </c>
      <c r="F117" s="1107">
        <f>E117-$K39</f>
        <v>100</v>
      </c>
      <c r="G117" s="1107">
        <f>F117-$K39</f>
        <v>100</v>
      </c>
      <c r="H117" s="1107"/>
      <c r="I117" s="1107"/>
      <c r="J117" s="1107"/>
      <c r="K117" s="1107"/>
      <c r="L117" s="1107"/>
      <c r="M117" s="1149"/>
      <c r="N117" s="1145"/>
      <c r="O117" s="1145"/>
      <c r="P117" s="1407"/>
      <c r="Q117" s="1079"/>
      <c r="R117" s="971"/>
      <c r="S117" s="971"/>
      <c r="T117" s="971"/>
      <c r="U117" s="971"/>
      <c r="V117" s="971"/>
      <c r="W117" s="971"/>
      <c r="X117" s="971"/>
      <c r="Y117" s="971"/>
      <c r="Z117" s="971"/>
      <c r="AA117" s="971"/>
      <c r="AB117" s="971"/>
      <c r="AC117" s="971"/>
    </row>
    <row r="118" spans="1:29">
      <c r="A118" s="947"/>
      <c r="B118" s="1104" t="s">
        <v>1943</v>
      </c>
      <c r="C118" s="1410"/>
      <c r="D118" s="1410"/>
      <c r="E118" s="1410"/>
      <c r="F118" s="1410"/>
      <c r="G118" s="1410"/>
      <c r="H118" s="1113"/>
      <c r="I118" s="1113"/>
      <c r="J118" s="1113"/>
      <c r="K118" s="1113"/>
      <c r="L118" s="1153"/>
      <c r="M118" s="1154"/>
      <c r="N118" s="1143"/>
      <c r="O118" s="1143"/>
      <c r="P118" s="1407"/>
      <c r="Q118" s="1079"/>
      <c r="R118" s="971"/>
      <c r="S118" s="971"/>
      <c r="T118" s="971"/>
      <c r="U118" s="971"/>
      <c r="V118" s="971"/>
      <c r="W118" s="971"/>
      <c r="X118" s="971"/>
      <c r="Y118" s="971"/>
      <c r="Z118" s="971"/>
      <c r="AA118" s="971"/>
      <c r="AB118" s="971"/>
      <c r="AC118" s="971"/>
    </row>
    <row r="119" spans="1:29" ht="15">
      <c r="A119" s="899"/>
      <c r="B119" s="1106"/>
      <c r="C119" s="1114"/>
      <c r="D119" s="1103"/>
      <c r="E119" s="1103"/>
      <c r="F119" s="1103"/>
      <c r="G119" s="1103"/>
      <c r="H119" s="1103"/>
      <c r="I119" s="1103"/>
      <c r="J119" s="1103"/>
      <c r="K119" s="1103"/>
      <c r="L119" s="1103"/>
      <c r="M119" s="1144"/>
      <c r="N119" s="1145"/>
      <c r="O119" s="1145"/>
      <c r="P119" s="1407"/>
      <c r="Q119" s="1079"/>
      <c r="R119" s="971"/>
      <c r="S119" s="971"/>
      <c r="T119" s="971"/>
      <c r="U119" s="971"/>
      <c r="V119" s="971"/>
      <c r="W119" s="971"/>
      <c r="X119" s="971"/>
      <c r="Y119" s="971"/>
      <c r="Z119" s="971"/>
      <c r="AA119" s="971"/>
      <c r="AB119" s="971"/>
      <c r="AC119" s="971"/>
    </row>
    <row r="120" spans="1:29" s="857" customFormat="1">
      <c r="A120" s="952"/>
      <c r="B120" s="1104" t="s">
        <v>1945</v>
      </c>
      <c r="C120" s="1126"/>
      <c r="D120" s="1126"/>
      <c r="E120" s="1126"/>
      <c r="F120" s="1126"/>
      <c r="G120" s="1113"/>
      <c r="H120" s="1113"/>
      <c r="I120" s="1113"/>
      <c r="J120" s="1113"/>
      <c r="K120" s="1113"/>
      <c r="L120" s="1153"/>
      <c r="M120" s="1154"/>
      <c r="N120" s="1155"/>
      <c r="O120" s="1155"/>
      <c r="P120" s="1411"/>
      <c r="Q120" s="1183"/>
      <c r="R120" s="1045"/>
      <c r="S120" s="1045"/>
      <c r="T120" s="1045"/>
      <c r="U120" s="1045"/>
      <c r="V120" s="1045"/>
      <c r="W120" s="1045"/>
      <c r="X120" s="1045"/>
      <c r="Y120" s="1045"/>
      <c r="Z120" s="1045"/>
      <c r="AA120" s="1045"/>
      <c r="AB120" s="1045"/>
      <c r="AC120" s="1045"/>
    </row>
    <row r="121" spans="1:29" s="857" customFormat="1" ht="15">
      <c r="A121" s="1111"/>
      <c r="B121" s="1102"/>
      <c r="C121" s="1123">
        <v>100</v>
      </c>
      <c r="D121" s="1107">
        <f>C121-$K41</f>
        <v>100</v>
      </c>
      <c r="E121" s="1107">
        <f t="shared" ref="E121:M121" si="29">D121-$K41</f>
        <v>100</v>
      </c>
      <c r="F121" s="1107">
        <f t="shared" si="29"/>
        <v>100</v>
      </c>
      <c r="G121" s="1107">
        <f t="shared" si="29"/>
        <v>100</v>
      </c>
      <c r="H121" s="1107">
        <f t="shared" si="29"/>
        <v>100</v>
      </c>
      <c r="I121" s="1107">
        <f t="shared" si="29"/>
        <v>100</v>
      </c>
      <c r="J121" s="1107">
        <f t="shared" si="29"/>
        <v>100</v>
      </c>
      <c r="K121" s="1107">
        <f t="shared" si="29"/>
        <v>100</v>
      </c>
      <c r="L121" s="1107">
        <f t="shared" si="29"/>
        <v>100</v>
      </c>
      <c r="M121" s="1149">
        <f t="shared" si="29"/>
        <v>100</v>
      </c>
      <c r="N121" s="1155"/>
      <c r="O121" s="1155"/>
      <c r="P121" s="1411"/>
      <c r="Q121" s="1183"/>
      <c r="R121" s="1045"/>
      <c r="S121" s="1045"/>
      <c r="T121" s="1045"/>
      <c r="U121" s="1045"/>
      <c r="V121" s="1045"/>
      <c r="W121" s="1045"/>
      <c r="X121" s="1045"/>
      <c r="Y121" s="1045"/>
      <c r="Z121" s="1045"/>
      <c r="AA121" s="1045"/>
      <c r="AB121" s="1045"/>
      <c r="AC121" s="1045"/>
    </row>
    <row r="122" spans="1:29">
      <c r="A122" s="947"/>
      <c r="B122" s="1104" t="s">
        <v>1574</v>
      </c>
      <c r="C122" s="1112"/>
      <c r="D122" s="1112"/>
      <c r="E122" s="1112"/>
      <c r="F122" s="1126"/>
      <c r="G122" s="1126"/>
      <c r="H122" s="1126"/>
      <c r="I122" s="1126"/>
      <c r="J122" s="1126"/>
      <c r="K122" s="1171"/>
      <c r="L122" s="1172"/>
      <c r="M122" s="1173"/>
      <c r="N122" s="1143"/>
      <c r="O122" s="1143"/>
      <c r="P122" s="1407"/>
      <c r="Q122" s="1079"/>
      <c r="R122" s="971"/>
      <c r="S122" s="971"/>
      <c r="T122" s="971"/>
      <c r="U122" s="971"/>
      <c r="V122" s="971"/>
      <c r="W122" s="971"/>
      <c r="X122" s="971"/>
      <c r="Y122" s="971"/>
      <c r="Z122" s="971"/>
      <c r="AA122" s="971"/>
      <c r="AB122" s="971"/>
      <c r="AC122" s="971"/>
    </row>
    <row r="123" spans="1:29" ht="15">
      <c r="A123" s="899"/>
      <c r="B123" s="1106"/>
      <c r="C123" s="1107">
        <v>100</v>
      </c>
      <c r="D123" s="1107">
        <f t="shared" ref="D123:M123" si="30">C123-$K42</f>
        <v>100</v>
      </c>
      <c r="E123" s="1107">
        <f t="shared" si="30"/>
        <v>100</v>
      </c>
      <c r="F123" s="1107">
        <f t="shared" si="30"/>
        <v>100</v>
      </c>
      <c r="G123" s="1107">
        <f t="shared" si="30"/>
        <v>100</v>
      </c>
      <c r="H123" s="1107">
        <f t="shared" si="30"/>
        <v>100</v>
      </c>
      <c r="I123" s="1107">
        <f t="shared" si="30"/>
        <v>100</v>
      </c>
      <c r="J123" s="1107">
        <f t="shared" si="30"/>
        <v>100</v>
      </c>
      <c r="K123" s="1107">
        <f t="shared" si="30"/>
        <v>100</v>
      </c>
      <c r="L123" s="1107">
        <f t="shared" si="30"/>
        <v>100</v>
      </c>
      <c r="M123" s="1149">
        <f t="shared" si="30"/>
        <v>100</v>
      </c>
      <c r="N123" s="1145"/>
      <c r="O123" s="1145"/>
      <c r="P123" s="1407"/>
      <c r="Q123" s="1079"/>
      <c r="R123" s="971"/>
      <c r="S123" s="971"/>
      <c r="T123" s="971"/>
      <c r="U123" s="971"/>
      <c r="V123" s="971"/>
      <c r="W123" s="971"/>
      <c r="X123" s="971"/>
      <c r="Y123" s="971"/>
      <c r="Z123" s="971"/>
      <c r="AA123" s="971"/>
      <c r="AB123" s="971"/>
      <c r="AC123" s="971"/>
    </row>
    <row r="124" spans="1:29">
      <c r="A124" s="947"/>
      <c r="B124" s="1104" t="s">
        <v>1576</v>
      </c>
      <c r="C124" s="1122" t="s">
        <v>1028</v>
      </c>
      <c r="D124" s="1122" t="s">
        <v>1029</v>
      </c>
      <c r="E124" s="1122" t="s">
        <v>1030</v>
      </c>
      <c r="F124" s="1122" t="s">
        <v>1031</v>
      </c>
      <c r="G124" s="1122" t="s">
        <v>1032</v>
      </c>
      <c r="H124" s="1105"/>
      <c r="I124" s="1105"/>
      <c r="J124" s="1105"/>
      <c r="K124" s="1146"/>
      <c r="L124" s="1147"/>
      <c r="M124" s="1148"/>
      <c r="N124" s="1143"/>
      <c r="O124" s="1143"/>
      <c r="P124" s="1411"/>
      <c r="Q124" s="1079"/>
      <c r="R124" s="971"/>
      <c r="S124" s="971"/>
      <c r="T124" s="971"/>
      <c r="U124" s="971"/>
      <c r="V124" s="971"/>
      <c r="W124" s="971"/>
      <c r="X124" s="971"/>
      <c r="Y124" s="971"/>
      <c r="Z124" s="971"/>
      <c r="AA124" s="971"/>
      <c r="AB124" s="971"/>
      <c r="AC124" s="971"/>
    </row>
    <row r="125" spans="1:29" ht="15">
      <c r="A125" s="899"/>
      <c r="B125" s="1106"/>
      <c r="C125" s="1107">
        <v>100</v>
      </c>
      <c r="D125" s="1107">
        <f>C125-$K43</f>
        <v>100</v>
      </c>
      <c r="E125" s="1107">
        <f>D125-$K43</f>
        <v>100</v>
      </c>
      <c r="F125" s="1107">
        <f>E125-$K43</f>
        <v>100</v>
      </c>
      <c r="G125" s="1107">
        <f>F125-$K43</f>
        <v>100</v>
      </c>
      <c r="H125" s="1107"/>
      <c r="I125" s="1107"/>
      <c r="J125" s="1107"/>
      <c r="K125" s="1107"/>
      <c r="L125" s="1107"/>
      <c r="M125" s="1149"/>
      <c r="N125" s="1145"/>
      <c r="O125" s="1145"/>
      <c r="P125" s="1407"/>
      <c r="Q125" s="1079"/>
      <c r="R125" s="971"/>
      <c r="S125" s="971"/>
      <c r="T125" s="971"/>
      <c r="U125" s="971"/>
      <c r="V125" s="971"/>
      <c r="W125" s="971"/>
      <c r="X125" s="971"/>
      <c r="Y125" s="971"/>
      <c r="Z125" s="971"/>
      <c r="AA125" s="971"/>
      <c r="AB125" s="971"/>
      <c r="AC125" s="971"/>
    </row>
    <row r="126" spans="1:29" s="857" customFormat="1">
      <c r="A126" s="952"/>
      <c r="B126" s="1104">
        <f>B44</f>
        <v>111</v>
      </c>
      <c r="C126" s="1112"/>
      <c r="D126" s="1112"/>
      <c r="E126" s="1112"/>
      <c r="F126" s="1112"/>
      <c r="G126" s="1112"/>
      <c r="H126" s="1113"/>
      <c r="I126" s="1113"/>
      <c r="J126" s="1113"/>
      <c r="K126" s="1113"/>
      <c r="L126" s="1153"/>
      <c r="M126" s="1154"/>
      <c r="N126" s="1155"/>
      <c r="O126" s="1155"/>
      <c r="P126" s="1411"/>
      <c r="Q126" s="1183"/>
      <c r="R126" s="1045"/>
      <c r="S126" s="1045"/>
      <c r="T126" s="1045"/>
      <c r="U126" s="1045"/>
      <c r="V126" s="1045"/>
      <c r="W126" s="1045"/>
      <c r="X126" s="1045"/>
      <c r="Y126" s="1045"/>
      <c r="Z126" s="1045"/>
      <c r="AA126" s="1045"/>
      <c r="AB126" s="1045"/>
      <c r="AC126" s="1045"/>
    </row>
    <row r="127" spans="1:29" s="857" customFormat="1" ht="15">
      <c r="A127" s="1111"/>
      <c r="B127" s="1106"/>
      <c r="C127" s="1114"/>
      <c r="D127" s="1103"/>
      <c r="E127" s="1103"/>
      <c r="F127" s="1103"/>
      <c r="G127" s="1114"/>
      <c r="H127" s="1115"/>
      <c r="I127" s="1115"/>
      <c r="J127" s="1115"/>
      <c r="K127" s="1115"/>
      <c r="L127" s="1115"/>
      <c r="M127" s="1156"/>
      <c r="N127" s="1155"/>
      <c r="O127" s="1155"/>
      <c r="P127" s="1411"/>
      <c r="Q127" s="1183"/>
      <c r="R127" s="1045"/>
      <c r="S127" s="1045"/>
      <c r="T127" s="1045"/>
      <c r="U127" s="1045"/>
      <c r="V127" s="1045"/>
      <c r="W127" s="1045"/>
      <c r="X127" s="1045"/>
      <c r="Y127" s="1045"/>
      <c r="Z127" s="1045"/>
      <c r="AA127" s="1045"/>
      <c r="AB127" s="1045"/>
      <c r="AC127" s="1045"/>
    </row>
    <row r="128" spans="1:29">
      <c r="A128" s="947"/>
      <c r="B128" s="1104">
        <f>B45</f>
        <v>111</v>
      </c>
      <c r="C128" s="1112"/>
      <c r="D128" s="1112"/>
      <c r="E128" s="1112"/>
      <c r="F128" s="1112"/>
      <c r="G128" s="1126"/>
      <c r="H128" s="1126"/>
      <c r="I128" s="1126"/>
      <c r="J128" s="1126"/>
      <c r="K128" s="1171"/>
      <c r="L128" s="1172"/>
      <c r="M128" s="1173"/>
      <c r="N128" s="1143"/>
      <c r="O128" s="1143"/>
      <c r="P128" s="1407"/>
      <c r="Q128" s="1079"/>
      <c r="R128" s="971"/>
      <c r="S128" s="971"/>
      <c r="T128" s="971"/>
      <c r="U128" s="971"/>
      <c r="V128" s="971"/>
      <c r="W128" s="971"/>
      <c r="X128" s="971"/>
      <c r="Y128" s="971"/>
      <c r="Z128" s="971"/>
      <c r="AA128" s="971"/>
      <c r="AB128" s="971"/>
      <c r="AC128" s="971"/>
    </row>
    <row r="129" spans="1:29" ht="15">
      <c r="A129" s="899"/>
      <c r="B129" s="1106"/>
      <c r="C129" s="1114"/>
      <c r="D129" s="1103"/>
      <c r="E129" s="1103"/>
      <c r="F129" s="1103"/>
      <c r="G129" s="1103"/>
      <c r="H129" s="1103"/>
      <c r="I129" s="1103"/>
      <c r="J129" s="1103"/>
      <c r="K129" s="1103"/>
      <c r="L129" s="1103"/>
      <c r="M129" s="1144"/>
      <c r="N129" s="1145"/>
      <c r="O129" s="1145"/>
      <c r="P129" s="1407"/>
      <c r="Q129" s="1079"/>
      <c r="R129" s="971"/>
      <c r="S129" s="971"/>
      <c r="T129" s="971"/>
      <c r="U129" s="971"/>
      <c r="V129" s="971"/>
      <c r="W129" s="971"/>
      <c r="X129" s="971"/>
      <c r="Y129" s="971"/>
      <c r="Z129" s="971"/>
      <c r="AA129" s="971"/>
      <c r="AB129" s="971"/>
      <c r="AC129" s="971"/>
    </row>
    <row r="130" spans="1:29">
      <c r="A130" s="947"/>
      <c r="B130" s="1108">
        <f>B46</f>
        <v>111</v>
      </c>
      <c r="C130" s="1112"/>
      <c r="D130" s="1112"/>
      <c r="E130" s="1112"/>
      <c r="F130" s="1112"/>
      <c r="G130" s="1127"/>
      <c r="H130" s="1127"/>
      <c r="I130" s="1127"/>
      <c r="J130" s="1127"/>
      <c r="K130" s="1098"/>
      <c r="L130" s="1136"/>
      <c r="M130" s="1176"/>
      <c r="N130" s="1143"/>
      <c r="O130" s="1143"/>
      <c r="P130" s="1407"/>
      <c r="Q130" s="1079"/>
      <c r="R130" s="971"/>
      <c r="S130" s="971"/>
      <c r="T130" s="971"/>
      <c r="U130" s="971"/>
      <c r="V130" s="971"/>
      <c r="W130" s="971"/>
      <c r="X130" s="971"/>
      <c r="Y130" s="971"/>
      <c r="Z130" s="971"/>
      <c r="AA130" s="971"/>
      <c r="AB130" s="971"/>
      <c r="AC130" s="971"/>
    </row>
    <row r="131" spans="1:29" ht="15">
      <c r="A131" s="908"/>
      <c r="B131" s="1118"/>
      <c r="C131" s="1119"/>
      <c r="D131" s="1119"/>
      <c r="E131" s="1119"/>
      <c r="F131" s="1119"/>
      <c r="G131" s="1128"/>
      <c r="H131" s="1128"/>
      <c r="I131" s="1128"/>
      <c r="J131" s="1128"/>
      <c r="K131" s="1128"/>
      <c r="L131" s="1128"/>
      <c r="M131" s="1177"/>
      <c r="N131" s="1145"/>
      <c r="O131" s="1145"/>
      <c r="P131" s="1407"/>
      <c r="Q131" s="1079"/>
      <c r="R131" s="971"/>
      <c r="S131" s="971"/>
      <c r="T131" s="971"/>
      <c r="U131" s="971"/>
      <c r="V131" s="971"/>
      <c r="W131" s="971"/>
      <c r="X131" s="971"/>
      <c r="Y131" s="971"/>
      <c r="Z131" s="971"/>
      <c r="AA131" s="971"/>
      <c r="AB131" s="971"/>
      <c r="AC131"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1" customWidth="1"/>
    <col min="2" max="2" width="15.75" style="861" customWidth="1"/>
    <col min="3" max="3" width="15.6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1551</v>
      </c>
      <c r="B1" s="1333" t="s">
        <v>1946</v>
      </c>
      <c r="C1" s="1188" t="s">
        <v>1553</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IF(C2="——",ROUND(C50*D3/10000,0),ROUND(C50*D3/10000,0)-D2)</f>
        <v>#DIV/0!</v>
      </c>
      <c r="C2" s="1195"/>
      <c r="D2" s="1373" t="e">
        <f ca="1">SUMIF(INDIRECT("'"&amp;F2&amp;"'"&amp;"!A:A"),"承租人权益价值",INDIRECT("'"&amp;F2&amp;"'"&amp;"!c:c"))</f>
        <v>#REF!</v>
      </c>
      <c r="E2" s="1197" t="s">
        <v>1397</v>
      </c>
      <c r="F2" s="1198"/>
      <c r="G2" s="870"/>
      <c r="H2" s="870"/>
      <c r="I2" s="870"/>
      <c r="J2" s="870"/>
      <c r="K2" s="870"/>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IF(C2="——",C50,ROUND(B2*10000/D3,0))</f>
        <v>#DIV/0!</v>
      </c>
      <c r="C3" s="1199" t="s">
        <v>943</v>
      </c>
      <c r="D3" s="1200">
        <f>IF(D1="",'数据-汇总表'!E3,SUMIF('数据-汇总表'!$C19:$C33,D1,'数据-汇总表'!$E19:$E33))</f>
        <v>72308.930000000008</v>
      </c>
      <c r="E3" s="1374"/>
      <c r="F3" s="871"/>
      <c r="G3" s="870"/>
      <c r="H3" s="870"/>
      <c r="I3" s="870"/>
      <c r="J3" s="870"/>
      <c r="K3" s="1017"/>
      <c r="L3" s="1018"/>
      <c r="M3" s="1019"/>
      <c r="N3" s="1019"/>
      <c r="O3" s="1019"/>
      <c r="P3" s="866"/>
      <c r="Q3" s="866"/>
      <c r="R3" s="866"/>
      <c r="S3" s="866"/>
      <c r="T3" s="866"/>
      <c r="U3" s="866"/>
      <c r="V3" s="866"/>
      <c r="W3" s="866"/>
      <c r="X3" s="866"/>
      <c r="Y3" s="866"/>
      <c r="Z3" s="866"/>
      <c r="AA3" s="866"/>
      <c r="AB3" s="866"/>
      <c r="AC3" s="1080"/>
    </row>
    <row r="4" spans="1:29" ht="15">
      <c r="A4" s="874" t="s">
        <v>944</v>
      </c>
      <c r="B4" s="875"/>
      <c r="C4" s="3315" t="s">
        <v>945</v>
      </c>
      <c r="D4" s="3316"/>
      <c r="E4" s="3317" t="s">
        <v>946</v>
      </c>
      <c r="F4" s="3318"/>
      <c r="G4" s="3315" t="s">
        <v>947</v>
      </c>
      <c r="H4" s="3316"/>
      <c r="I4" s="3315" t="s">
        <v>948</v>
      </c>
      <c r="J4" s="3316"/>
      <c r="K4" s="1020" t="s">
        <v>949</v>
      </c>
      <c r="L4" s="1021"/>
      <c r="M4" s="971"/>
      <c r="N4" s="971"/>
      <c r="O4" s="971"/>
      <c r="P4" s="3413" t="s">
        <v>950</v>
      </c>
      <c r="Q4" s="3414"/>
      <c r="R4" s="3417" t="s">
        <v>946</v>
      </c>
      <c r="S4" s="3418"/>
      <c r="T4" s="3417" t="s">
        <v>947</v>
      </c>
      <c r="U4" s="3418"/>
      <c r="V4" s="3419" t="s">
        <v>948</v>
      </c>
      <c r="W4" s="3419"/>
      <c r="X4" s="1384"/>
      <c r="Y4" s="3417" t="s">
        <v>950</v>
      </c>
      <c r="Z4" s="3418"/>
      <c r="AA4" s="3409" t="s">
        <v>946</v>
      </c>
      <c r="AB4" s="3409" t="s">
        <v>947</v>
      </c>
      <c r="AC4" s="3410" t="s">
        <v>948</v>
      </c>
    </row>
    <row r="5" spans="1:29" ht="15">
      <c r="A5" s="878"/>
      <c r="B5" s="879"/>
      <c r="C5" s="3319" t="s">
        <v>951</v>
      </c>
      <c r="D5" s="3320"/>
      <c r="E5" s="3321" t="s">
        <v>1934</v>
      </c>
      <c r="F5" s="3322"/>
      <c r="G5" s="3319" t="s">
        <v>1935</v>
      </c>
      <c r="H5" s="3320"/>
      <c r="I5" s="3319" t="s">
        <v>1936</v>
      </c>
      <c r="J5" s="3320"/>
      <c r="K5" s="1020"/>
      <c r="L5" s="1021"/>
      <c r="M5" s="971"/>
      <c r="N5" s="971"/>
      <c r="O5" s="971"/>
      <c r="P5" s="3415"/>
      <c r="Q5" s="3344"/>
      <c r="R5" s="3349"/>
      <c r="S5" s="3350"/>
      <c r="T5" s="3349"/>
      <c r="U5" s="3350"/>
      <c r="V5" s="3331"/>
      <c r="W5" s="3331"/>
      <c r="X5" s="1069"/>
      <c r="Y5" s="3349"/>
      <c r="Z5" s="3350"/>
      <c r="AA5" s="3337"/>
      <c r="AB5" s="3337"/>
      <c r="AC5" s="3411"/>
    </row>
    <row r="6" spans="1:29" ht="15">
      <c r="A6" s="880"/>
      <c r="B6" s="881"/>
      <c r="C6" s="3323" t="s">
        <v>952</v>
      </c>
      <c r="D6" s="3324"/>
      <c r="E6" s="3325" t="s">
        <v>952</v>
      </c>
      <c r="F6" s="3326"/>
      <c r="G6" s="3323" t="s">
        <v>952</v>
      </c>
      <c r="H6" s="3324"/>
      <c r="I6" s="3323" t="s">
        <v>952</v>
      </c>
      <c r="J6" s="3324"/>
      <c r="K6" s="1020" t="s">
        <v>953</v>
      </c>
      <c r="L6" s="1021"/>
      <c r="M6" s="971"/>
      <c r="N6" s="971"/>
      <c r="O6" s="971"/>
      <c r="P6" s="3416"/>
      <c r="Q6" s="3346"/>
      <c r="R6" s="3349"/>
      <c r="S6" s="3350"/>
      <c r="T6" s="3351"/>
      <c r="U6" s="3352"/>
      <c r="V6" s="3331"/>
      <c r="W6" s="3331"/>
      <c r="X6" s="1069"/>
      <c r="Y6" s="3351"/>
      <c r="Z6" s="3352"/>
      <c r="AA6" s="3338"/>
      <c r="AB6" s="3338"/>
      <c r="AC6" s="3412"/>
    </row>
    <row r="7" spans="1:29" s="855" customFormat="1" ht="15">
      <c r="A7" s="883" t="s">
        <v>954</v>
      </c>
      <c r="B7" s="884"/>
      <c r="C7" s="885">
        <f>'数据-取费表'!B2</f>
        <v>45475</v>
      </c>
      <c r="D7" s="886">
        <v>100</v>
      </c>
      <c r="E7" s="887"/>
      <c r="F7" s="888">
        <f>SUMIF(59:59,YEAR(E7)&amp;"-"&amp;MONTH(E7),60:60)</f>
        <v>0</v>
      </c>
      <c r="G7" s="887"/>
      <c r="H7" s="886">
        <f>SUMIF(59:59,YEAR(G7)&amp;"-"&amp;MONTH(G7),60:60)</f>
        <v>0</v>
      </c>
      <c r="I7" s="887"/>
      <c r="J7" s="886">
        <f>SUMIF(59:59,YEAR(I7)&amp;"-"&amp;MONTH(I7),60:60)</f>
        <v>0</v>
      </c>
      <c r="K7" s="1025"/>
      <c r="L7" s="1026"/>
      <c r="M7" s="1027"/>
      <c r="N7" s="1027"/>
      <c r="O7" s="1027"/>
      <c r="P7" s="3405" t="s">
        <v>955</v>
      </c>
      <c r="Q7" s="3328"/>
      <c r="R7" s="1070" t="s">
        <v>956</v>
      </c>
      <c r="S7" s="1071">
        <f t="shared" ref="S7:S15" si="0">F7</f>
        <v>0</v>
      </c>
      <c r="T7" s="1070" t="s">
        <v>956</v>
      </c>
      <c r="U7" s="1071">
        <f t="shared" ref="U7:U15" si="1">H7</f>
        <v>0</v>
      </c>
      <c r="V7" s="1070" t="s">
        <v>956</v>
      </c>
      <c r="W7" s="1071">
        <f t="shared" ref="W7:W15" si="2">J7</f>
        <v>0</v>
      </c>
      <c r="X7" s="1072"/>
      <c r="Y7" s="3327" t="s">
        <v>955</v>
      </c>
      <c r="Z7" s="3329"/>
      <c r="AA7" s="1082" t="e">
        <f>D7/F7</f>
        <v>#DIV/0!</v>
      </c>
      <c r="AB7" s="1082" t="e">
        <f>D7/H7</f>
        <v>#DIV/0!</v>
      </c>
      <c r="AC7" s="1386" t="e">
        <f>D7/J7</f>
        <v>#DIV/0!</v>
      </c>
    </row>
    <row r="8" spans="1:29" s="855" customFormat="1" ht="15">
      <c r="A8" s="883" t="s">
        <v>957</v>
      </c>
      <c r="B8" s="884"/>
      <c r="C8" s="890" t="s">
        <v>958</v>
      </c>
      <c r="D8" s="886">
        <v>100</v>
      </c>
      <c r="E8" s="890"/>
      <c r="F8" s="888">
        <f>SUMIF(62:62,E8,63:63)-SUMIF(62:62,C8,63:63)+100</f>
        <v>0</v>
      </c>
      <c r="G8" s="890"/>
      <c r="H8" s="886">
        <f>SUMIF(62:62,G8,63:63)-SUMIF(62:62,C8,63:63)+100</f>
        <v>0</v>
      </c>
      <c r="I8" s="890"/>
      <c r="J8" s="886">
        <f>SUMIF(62:62,I8,63:63)-SUMIF(62:62,C8,63:63)+100</f>
        <v>0</v>
      </c>
      <c r="K8" s="1025"/>
      <c r="L8" s="1026"/>
      <c r="M8" s="1027"/>
      <c r="N8" s="1027"/>
      <c r="O8" s="1027"/>
      <c r="P8" s="3405" t="s">
        <v>959</v>
      </c>
      <c r="Q8" s="3329"/>
      <c r="R8" s="1070" t="s">
        <v>956</v>
      </c>
      <c r="S8" s="1071">
        <f t="shared" si="0"/>
        <v>0</v>
      </c>
      <c r="T8" s="1070" t="s">
        <v>956</v>
      </c>
      <c r="U8" s="1071">
        <f t="shared" si="1"/>
        <v>0</v>
      </c>
      <c r="V8" s="1070" t="s">
        <v>956</v>
      </c>
      <c r="W8" s="1071">
        <f t="shared" si="2"/>
        <v>0</v>
      </c>
      <c r="X8" s="1072"/>
      <c r="Y8" s="3327" t="s">
        <v>959</v>
      </c>
      <c r="Z8" s="3329"/>
      <c r="AA8" s="1082" t="e">
        <f t="shared" ref="AA8:AA47" si="3">D8/F8</f>
        <v>#DIV/0!</v>
      </c>
      <c r="AB8" s="1082" t="e">
        <f t="shared" ref="AB8:AB47" si="4">D8/H8</f>
        <v>#DIV/0!</v>
      </c>
      <c r="AC8" s="1386" t="e">
        <f t="shared" ref="AC8:AC47" si="5">D8/J8</f>
        <v>#DIV/0!</v>
      </c>
    </row>
    <row r="9" spans="1:29" s="855" customFormat="1">
      <c r="A9" s="891" t="s">
        <v>960</v>
      </c>
      <c r="B9" s="892" t="s">
        <v>961</v>
      </c>
      <c r="C9" s="1203"/>
      <c r="D9" s="894">
        <v>100</v>
      </c>
      <c r="E9" s="1334"/>
      <c r="F9" s="894">
        <f>SUMIF(64:64,E9,65:65)-SUMIF(64:64,C9,65:65)+100</f>
        <v>100</v>
      </c>
      <c r="G9" s="1335"/>
      <c r="H9" s="894">
        <f>SUMIF(64:64,G9,65:65)-SUMIF(64:64,C9,65:65)+100</f>
        <v>100</v>
      </c>
      <c r="I9" s="1335"/>
      <c r="J9" s="894">
        <f>SUMIF(64:64,I9,65:65)-SUMIF(64:64,C9,65:65)+100</f>
        <v>100</v>
      </c>
      <c r="K9" s="1025"/>
      <c r="L9" s="1026"/>
      <c r="M9" s="1027"/>
      <c r="N9" s="1027"/>
      <c r="O9" s="1027"/>
      <c r="P9" s="334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386">
        <f t="shared" si="5"/>
        <v>1</v>
      </c>
    </row>
    <row r="10" spans="1:29" s="856" customFormat="1" ht="27">
      <c r="A10" s="895"/>
      <c r="B10" s="896" t="s">
        <v>964</v>
      </c>
      <c r="C10" s="1206"/>
      <c r="D10" s="898">
        <v>100</v>
      </c>
      <c r="E10" s="1206"/>
      <c r="F10" s="898">
        <f>SUMIF(66:66,E10,67:67)-SUMIF(66:66,C10,67:67)+100</f>
        <v>100</v>
      </c>
      <c r="G10" s="1336"/>
      <c r="H10" s="898">
        <f>SUMIF(66:66,G10,67:67)-SUMIF(66:66,C10,67:67)+100</f>
        <v>100</v>
      </c>
      <c r="I10" s="1206"/>
      <c r="J10" s="898">
        <f>SUMIF(66:66,I10,67:67)-SUMIF(66:66,C10,67:67)+100</f>
        <v>100</v>
      </c>
      <c r="K10" s="1044"/>
      <c r="L10" s="1031"/>
      <c r="M10" s="1032"/>
      <c r="N10" s="1032"/>
      <c r="O10" s="1032"/>
      <c r="P10" s="334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386">
        <f t="shared" si="5"/>
        <v>1</v>
      </c>
    </row>
    <row r="11" spans="1:29" ht="15">
      <c r="A11" s="899"/>
      <c r="B11" s="896" t="s">
        <v>965</v>
      </c>
      <c r="C11" s="900"/>
      <c r="D11" s="898">
        <v>100</v>
      </c>
      <c r="E11" s="900"/>
      <c r="F11" s="898" t="e">
        <f>LOOKUP(E11,69:69,70:70)-LOOKUP(C11,69:69,70:70)+100</f>
        <v>#N/A</v>
      </c>
      <c r="G11" s="901"/>
      <c r="H11" s="898" t="e">
        <f>LOOKUP(G11,69:69,70:70)-LOOKUP(C11,69:69,70:70)+100</f>
        <v>#N/A</v>
      </c>
      <c r="I11" s="900"/>
      <c r="J11" s="898" t="e">
        <f>LOOKUP(I11,69:69,70:70)-LOOKUP(C11,69:69,70:70)+100</f>
        <v>#N/A</v>
      </c>
      <c r="K11" s="1044"/>
      <c r="L11" s="1035"/>
      <c r="M11" s="971"/>
      <c r="N11" s="971"/>
      <c r="O11" s="971"/>
      <c r="P11" s="3340"/>
      <c r="Q11" s="795" t="str">
        <f t="shared" si="6"/>
        <v>容积率</v>
      </c>
      <c r="R11" s="1070" t="s">
        <v>956</v>
      </c>
      <c r="S11" s="1071" t="e">
        <f t="shared" si="0"/>
        <v>#N/A</v>
      </c>
      <c r="T11" s="1070" t="s">
        <v>956</v>
      </c>
      <c r="U11" s="1071" t="e">
        <f t="shared" si="1"/>
        <v>#N/A</v>
      </c>
      <c r="V11" s="1070" t="s">
        <v>956</v>
      </c>
      <c r="W11" s="1071" t="e">
        <f t="shared" si="2"/>
        <v>#N/A</v>
      </c>
      <c r="X11" s="1072"/>
      <c r="Y11" s="3306"/>
      <c r="Z11" s="1082" t="str">
        <f t="shared" si="7"/>
        <v>容积率</v>
      </c>
      <c r="AA11" s="1082" t="e">
        <f t="shared" si="3"/>
        <v>#N/A</v>
      </c>
      <c r="AB11" s="1082" t="e">
        <f t="shared" si="4"/>
        <v>#N/A</v>
      </c>
      <c r="AC11" s="1386" t="e">
        <f t="shared" si="5"/>
        <v>#N/A</v>
      </c>
    </row>
    <row r="12" spans="1:29" s="855" customFormat="1" ht="15">
      <c r="A12" s="902"/>
      <c r="B12" s="903">
        <v>111</v>
      </c>
      <c r="C12" s="897"/>
      <c r="D12" s="904">
        <v>100</v>
      </c>
      <c r="E12" s="897"/>
      <c r="F12" s="898">
        <f>SUMIF(71:71,E12,72:72)-SUMIF(71:71,C12,72:72)+100</f>
        <v>100</v>
      </c>
      <c r="G12" s="1375"/>
      <c r="H12" s="898">
        <f>SUMIF(71:71,G12,72:72)-SUMIF(71:71,C12,72:72)+100</f>
        <v>100</v>
      </c>
      <c r="I12" s="897"/>
      <c r="J12" s="898">
        <f>SUMIF(71:71,I12,72:72)-SUMIF(71:71,C12,72:72)+100</f>
        <v>100</v>
      </c>
      <c r="K12" s="1043"/>
      <c r="L12" s="1026"/>
      <c r="M12" s="1027"/>
      <c r="N12" s="1027"/>
      <c r="O12" s="1027"/>
      <c r="P12" s="334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386">
        <f t="shared" si="5"/>
        <v>1</v>
      </c>
    </row>
    <row r="13" spans="1:29" ht="15">
      <c r="A13" s="899"/>
      <c r="B13" s="903">
        <v>111</v>
      </c>
      <c r="C13" s="907"/>
      <c r="D13" s="765">
        <v>100</v>
      </c>
      <c r="E13" s="897"/>
      <c r="F13" s="898">
        <f>SUMIF(73:73,E13,74:74)-SUMIF(73:73,C13,74:74)+100</f>
        <v>100</v>
      </c>
      <c r="G13" s="1375"/>
      <c r="H13" s="765">
        <f>SUMIF(73:73,G13,74:74)-SUMIF(73:73,C13,74:74)+100</f>
        <v>100</v>
      </c>
      <c r="I13" s="897"/>
      <c r="J13" s="765">
        <f>SUMIF(73:73,I13,74:74)-SUMIF(73:73,C13,74:74)+100</f>
        <v>100</v>
      </c>
      <c r="K13" s="1043"/>
      <c r="L13" s="1037"/>
      <c r="M13" s="971"/>
      <c r="N13" s="971"/>
      <c r="O13" s="971"/>
      <c r="P13" s="334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386">
        <f t="shared" si="5"/>
        <v>1</v>
      </c>
    </row>
    <row r="14" spans="1:29" ht="15">
      <c r="A14" s="908"/>
      <c r="B14" s="909">
        <v>111</v>
      </c>
      <c r="C14" s="910"/>
      <c r="D14" s="911">
        <v>100</v>
      </c>
      <c r="E14" s="1376"/>
      <c r="F14" s="911">
        <f>SUMIF(75:75,E14,76:76)-SUMIF(75:75,C14,76:76)+100</f>
        <v>100</v>
      </c>
      <c r="G14" s="1375"/>
      <c r="H14" s="911">
        <f>SUMIF(75:75,G14,76:76)-SUMIF(75:75,C14,76:76)+100</f>
        <v>100</v>
      </c>
      <c r="I14" s="897"/>
      <c r="J14" s="911">
        <f>SUMIF(75:75,I14,76:76)-SUMIF(75:75,C14,76:76)+100</f>
        <v>100</v>
      </c>
      <c r="K14" s="1043"/>
      <c r="L14" s="1037"/>
      <c r="M14" s="971"/>
      <c r="N14" s="971"/>
      <c r="O14" s="971"/>
      <c r="P14" s="334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386">
        <f t="shared" si="5"/>
        <v>1</v>
      </c>
    </row>
    <row r="15" spans="1:29" ht="15">
      <c r="A15" s="912" t="s">
        <v>967</v>
      </c>
      <c r="B15" s="913" t="s">
        <v>972</v>
      </c>
      <c r="C15" s="1377">
        <f>估价对象房地状况!C5</f>
        <v>0</v>
      </c>
      <c r="D15" s="915">
        <v>100</v>
      </c>
      <c r="E15" s="1038"/>
      <c r="F15" s="915">
        <f>SUMIF(77:77,E16,78:78)-SUMIF(77:77,C16,78:78)+100</f>
        <v>100</v>
      </c>
      <c r="G15" s="916"/>
      <c r="H15" s="915">
        <f>SUMIF(77:77,G16,78:78)-SUMIF(77:77,C16,78:78)+100</f>
        <v>100</v>
      </c>
      <c r="I15" s="916"/>
      <c r="J15" s="915">
        <f>SUMIF(77:77,I16,78:78)-SUMIF(77:77,C16,78:78)+100</f>
        <v>100</v>
      </c>
      <c r="K15" s="1241"/>
      <c r="L15" s="1037"/>
      <c r="M15" s="971"/>
      <c r="N15" s="971"/>
      <c r="O15" s="971"/>
      <c r="P15" s="3366" t="s">
        <v>969</v>
      </c>
      <c r="Q15" s="641" t="str">
        <f t="shared" si="6"/>
        <v>办公集聚程度</v>
      </c>
      <c r="R15" s="1074" t="s">
        <v>956</v>
      </c>
      <c r="S15" s="1075">
        <f t="shared" si="0"/>
        <v>100</v>
      </c>
      <c r="T15" s="1074" t="s">
        <v>956</v>
      </c>
      <c r="U15" s="1075">
        <f t="shared" si="1"/>
        <v>100</v>
      </c>
      <c r="V15" s="1074" t="s">
        <v>956</v>
      </c>
      <c r="W15" s="1075">
        <f t="shared" si="2"/>
        <v>100</v>
      </c>
      <c r="X15" s="1069"/>
      <c r="Y15" s="3332" t="s">
        <v>969</v>
      </c>
      <c r="Z15" s="1058" t="str">
        <f t="shared" si="7"/>
        <v>办公集聚程度</v>
      </c>
      <c r="AA15" s="1058">
        <f t="shared" si="3"/>
        <v>1</v>
      </c>
      <c r="AB15" s="1058">
        <f t="shared" si="4"/>
        <v>1</v>
      </c>
      <c r="AC15" s="1387">
        <f t="shared" si="5"/>
        <v>1</v>
      </c>
    </row>
    <row r="16" spans="1:29" ht="15">
      <c r="A16" s="899"/>
      <c r="B16" s="917"/>
      <c r="C16" s="920"/>
      <c r="D16" s="919"/>
      <c r="E16" s="918"/>
      <c r="F16" s="919"/>
      <c r="G16" s="920"/>
      <c r="H16" s="921"/>
      <c r="I16" s="918"/>
      <c r="J16" s="919"/>
      <c r="K16" s="1242"/>
      <c r="L16" s="1037"/>
      <c r="M16" s="971"/>
      <c r="N16" s="971"/>
      <c r="O16" s="971"/>
      <c r="P16" s="3367"/>
      <c r="Q16" s="641"/>
      <c r="R16" s="1074"/>
      <c r="S16" s="1075"/>
      <c r="T16" s="1074"/>
      <c r="U16" s="1075"/>
      <c r="V16" s="1074"/>
      <c r="W16" s="1075"/>
      <c r="X16" s="1069"/>
      <c r="Y16" s="3333"/>
      <c r="Z16" s="1058"/>
      <c r="AA16" s="1058">
        <v>1</v>
      </c>
      <c r="AB16" s="1058">
        <v>1</v>
      </c>
      <c r="AC16" s="1387">
        <v>1</v>
      </c>
    </row>
    <row r="17" spans="1:29" ht="15">
      <c r="A17" s="899"/>
      <c r="B17" s="922" t="s">
        <v>973</v>
      </c>
      <c r="C17" s="1068" t="str">
        <f>估价对象房地状况!C6</f>
        <v>一般</v>
      </c>
      <c r="D17" s="921">
        <v>100</v>
      </c>
      <c r="E17" s="1040"/>
      <c r="F17" s="921">
        <f>SUMIF(79:79,E18,80:80)-SUMIF(79:79,C18,80:80)+100</f>
        <v>100</v>
      </c>
      <c r="G17" s="924"/>
      <c r="H17" s="925">
        <f>SUMIF(79:79,G18,80:80)-SUMIF(79:79,C18,80:80)+100</f>
        <v>100</v>
      </c>
      <c r="I17" s="924"/>
      <c r="J17" s="925">
        <f>SUMIF(79:79,I18,80:80)-SUMIF(79:79,C18,80:80)+100</f>
        <v>100</v>
      </c>
      <c r="K17" s="1241"/>
      <c r="L17" s="1037"/>
      <c r="M17" s="971"/>
      <c r="N17" s="971"/>
      <c r="O17" s="971"/>
      <c r="P17" s="3367"/>
      <c r="Q17" s="641" t="str">
        <f>B17</f>
        <v>交通便捷度</v>
      </c>
      <c r="R17" s="1074" t="s">
        <v>956</v>
      </c>
      <c r="S17" s="1075">
        <f>F17</f>
        <v>100</v>
      </c>
      <c r="T17" s="1074" t="s">
        <v>956</v>
      </c>
      <c r="U17" s="1075">
        <f>H17</f>
        <v>100</v>
      </c>
      <c r="V17" s="1074" t="s">
        <v>956</v>
      </c>
      <c r="W17" s="1075">
        <f>J17</f>
        <v>100</v>
      </c>
      <c r="X17" s="1069"/>
      <c r="Y17" s="3333"/>
      <c r="Z17" s="1058" t="str">
        <f>Q17</f>
        <v>交通便捷度</v>
      </c>
      <c r="AA17" s="1058">
        <f t="shared" si="3"/>
        <v>1</v>
      </c>
      <c r="AB17" s="1058">
        <f t="shared" si="4"/>
        <v>1</v>
      </c>
      <c r="AC17" s="1387">
        <f t="shared" si="5"/>
        <v>1</v>
      </c>
    </row>
    <row r="18" spans="1:29" ht="15">
      <c r="A18" s="899"/>
      <c r="B18" s="926"/>
      <c r="C18" s="1378"/>
      <c r="D18" s="921"/>
      <c r="E18" s="1339"/>
      <c r="F18" s="921"/>
      <c r="G18" s="1338"/>
      <c r="H18" s="919"/>
      <c r="I18" s="1338"/>
      <c r="J18" s="919"/>
      <c r="K18" s="1242"/>
      <c r="L18" s="1037"/>
      <c r="M18" s="971"/>
      <c r="N18" s="971"/>
      <c r="O18" s="971"/>
      <c r="P18" s="3367"/>
      <c r="Q18" s="641"/>
      <c r="R18" s="1074"/>
      <c r="S18" s="1075"/>
      <c r="T18" s="1074"/>
      <c r="U18" s="1075"/>
      <c r="V18" s="1074"/>
      <c r="W18" s="1075"/>
      <c r="X18" s="1069"/>
      <c r="Y18" s="3333"/>
      <c r="Z18" s="1058"/>
      <c r="AA18" s="1058">
        <v>1</v>
      </c>
      <c r="AB18" s="1058">
        <v>1</v>
      </c>
      <c r="AC18" s="1387">
        <v>1</v>
      </c>
    </row>
    <row r="19" spans="1:29" ht="15">
      <c r="A19" s="899"/>
      <c r="B19" s="922" t="s">
        <v>976</v>
      </c>
      <c r="C19" s="1068" t="str">
        <f>估价对象房地状况!C7</f>
        <v>一般</v>
      </c>
      <c r="D19" s="925">
        <v>100</v>
      </c>
      <c r="E19" s="1213"/>
      <c r="F19" s="925">
        <f>SUMIF(81:81,E20,82:82)-SUMIF(81:81,C20,82:82)+100</f>
        <v>100</v>
      </c>
      <c r="G19" s="1212"/>
      <c r="H19" s="921">
        <f>SUMIF(81:81,G20,82:82)-SUMIF(81:81,C20,82:82)+100</f>
        <v>100</v>
      </c>
      <c r="I19" s="1212"/>
      <c r="J19" s="921">
        <f>SUMIF(81:81,I20,82:82)-SUMIF(81:81,C20,82:82)+100</f>
        <v>100</v>
      </c>
      <c r="K19" s="1241"/>
      <c r="L19" s="1037"/>
      <c r="M19" s="971"/>
      <c r="N19" s="971"/>
      <c r="O19" s="971"/>
      <c r="P19" s="3367"/>
      <c r="Q19" s="641" t="str">
        <f>B19</f>
        <v>公共配套设施</v>
      </c>
      <c r="R19" s="1074" t="s">
        <v>956</v>
      </c>
      <c r="S19" s="1075">
        <f>F19</f>
        <v>100</v>
      </c>
      <c r="T19" s="1074" t="s">
        <v>956</v>
      </c>
      <c r="U19" s="1075">
        <f>H19</f>
        <v>100</v>
      </c>
      <c r="V19" s="1074" t="s">
        <v>956</v>
      </c>
      <c r="W19" s="1075">
        <f>J19</f>
        <v>100</v>
      </c>
      <c r="X19" s="1069"/>
      <c r="Y19" s="3333"/>
      <c r="Z19" s="1058" t="str">
        <f>Q19</f>
        <v>公共配套设施</v>
      </c>
      <c r="AA19" s="1058">
        <f t="shared" si="3"/>
        <v>1</v>
      </c>
      <c r="AB19" s="1058">
        <f t="shared" si="4"/>
        <v>1</v>
      </c>
      <c r="AC19" s="1387">
        <f t="shared" si="5"/>
        <v>1</v>
      </c>
    </row>
    <row r="20" spans="1:29" ht="15">
      <c r="A20" s="899"/>
      <c r="B20" s="926"/>
      <c r="C20" s="920"/>
      <c r="D20" s="919"/>
      <c r="E20" s="1041"/>
      <c r="F20" s="919"/>
      <c r="G20" s="927"/>
      <c r="H20" s="919"/>
      <c r="I20" s="927"/>
      <c r="J20" s="919"/>
      <c r="K20" s="1242"/>
      <c r="L20" s="1037"/>
      <c r="M20" s="971"/>
      <c r="N20" s="971"/>
      <c r="O20" s="971"/>
      <c r="P20" s="3367"/>
      <c r="Q20" s="641"/>
      <c r="R20" s="1074"/>
      <c r="S20" s="1075"/>
      <c r="T20" s="1074"/>
      <c r="U20" s="1075"/>
      <c r="V20" s="1074"/>
      <c r="W20" s="1075"/>
      <c r="X20" s="1069"/>
      <c r="Y20" s="3333"/>
      <c r="Z20" s="1058"/>
      <c r="AA20" s="1058">
        <v>1</v>
      </c>
      <c r="AB20" s="1058">
        <v>1</v>
      </c>
      <c r="AC20" s="1387">
        <v>1</v>
      </c>
    </row>
    <row r="21" spans="1:29" ht="15">
      <c r="A21" s="899"/>
      <c r="B21" s="929" t="s">
        <v>977</v>
      </c>
      <c r="C21" s="1068" t="str">
        <f>估价对象房地状况!C8</f>
        <v>七通</v>
      </c>
      <c r="D21" s="921">
        <v>100</v>
      </c>
      <c r="E21" s="1213"/>
      <c r="F21" s="925">
        <f>SUMIF(83:83,E22,84:84)-SUMIF(83:83,C22,84:84)+100</f>
        <v>100</v>
      </c>
      <c r="G21" s="1212"/>
      <c r="H21" s="921">
        <f>SUMIF(83:83,G22,84:84)-SUMIF(83:83,C22,84:84)+100</f>
        <v>100</v>
      </c>
      <c r="I21" s="1212"/>
      <c r="J21" s="921">
        <f>SUMIF(83:83,I22,84:84)-SUMIF(83:83,C22,84:84)+100</f>
        <v>100</v>
      </c>
      <c r="K21" s="1241"/>
      <c r="L21" s="1037"/>
      <c r="M21" s="971"/>
      <c r="N21" s="971"/>
      <c r="O21" s="971"/>
      <c r="P21" s="3367"/>
      <c r="Q21" s="641" t="str">
        <f>B21</f>
        <v>基础设施水平</v>
      </c>
      <c r="R21" s="1074" t="s">
        <v>956</v>
      </c>
      <c r="S21" s="1075">
        <f>F21</f>
        <v>100</v>
      </c>
      <c r="T21" s="1074" t="s">
        <v>956</v>
      </c>
      <c r="U21" s="1075">
        <f>H21</f>
        <v>100</v>
      </c>
      <c r="V21" s="1074" t="s">
        <v>956</v>
      </c>
      <c r="W21" s="1075">
        <f>J21</f>
        <v>100</v>
      </c>
      <c r="X21" s="1069"/>
      <c r="Y21" s="3333"/>
      <c r="Z21" s="1058" t="str">
        <f>Q21</f>
        <v>基础设施水平</v>
      </c>
      <c r="AA21" s="1058">
        <f t="shared" ref="AA21" si="8">D21/F21</f>
        <v>1</v>
      </c>
      <c r="AB21" s="1058">
        <f t="shared" ref="AB21" si="9">D21/H21</f>
        <v>1</v>
      </c>
      <c r="AC21" s="1387">
        <f t="shared" ref="AC21" si="10">D21/J21</f>
        <v>1</v>
      </c>
    </row>
    <row r="22" spans="1:29" ht="15">
      <c r="A22" s="899"/>
      <c r="B22" s="929"/>
      <c r="C22" s="1378"/>
      <c r="D22" s="919"/>
      <c r="E22" s="918"/>
      <c r="F22" s="919"/>
      <c r="G22" s="920"/>
      <c r="H22" s="919"/>
      <c r="I22" s="920"/>
      <c r="J22" s="919"/>
      <c r="K22" s="1243"/>
      <c r="L22" s="1037"/>
      <c r="M22" s="971"/>
      <c r="N22" s="971"/>
      <c r="O22" s="971"/>
      <c r="P22" s="3367"/>
      <c r="Q22" s="641"/>
      <c r="R22" s="1074"/>
      <c r="S22" s="1075"/>
      <c r="T22" s="1074"/>
      <c r="U22" s="1075"/>
      <c r="V22" s="1074"/>
      <c r="W22" s="1075"/>
      <c r="X22" s="1069"/>
      <c r="Y22" s="3333"/>
      <c r="Z22" s="1058"/>
      <c r="AA22" s="1058">
        <v>1</v>
      </c>
      <c r="AB22" s="1058">
        <v>1</v>
      </c>
      <c r="AC22" s="1387">
        <v>1</v>
      </c>
    </row>
    <row r="23" spans="1:29" ht="15">
      <c r="A23" s="899"/>
      <c r="B23" s="922" t="s">
        <v>1947</v>
      </c>
      <c r="C23" s="1068" t="str">
        <f>估价对象房地状况!C9</f>
        <v>一般</v>
      </c>
      <c r="D23" s="921">
        <v>100</v>
      </c>
      <c r="E23" s="1040"/>
      <c r="F23" s="921">
        <f>SUMIF(85:85,E24,86:86)-SUMIF(85:85,C24,86:86)+100</f>
        <v>100</v>
      </c>
      <c r="G23" s="924"/>
      <c r="H23" s="921">
        <f>SUMIF(85:85,G24,86:86)-SUMIF(85:85,C24,86:86)+100</f>
        <v>100</v>
      </c>
      <c r="I23" s="924"/>
      <c r="J23" s="921">
        <f>SUMIF(85:85,I24,86:86)-SUMIF(85:85,C24,86:86)+100</f>
        <v>100</v>
      </c>
      <c r="K23" s="1241"/>
      <c r="L23" s="1037"/>
      <c r="M23" s="971"/>
      <c r="N23" s="971"/>
      <c r="O23" s="971"/>
      <c r="P23" s="3367"/>
      <c r="Q23" s="641" t="str">
        <f>B23</f>
        <v>环境质量</v>
      </c>
      <c r="R23" s="1074" t="s">
        <v>956</v>
      </c>
      <c r="S23" s="1075">
        <f>F23</f>
        <v>100</v>
      </c>
      <c r="T23" s="1074" t="s">
        <v>956</v>
      </c>
      <c r="U23" s="1075">
        <f>H23</f>
        <v>100</v>
      </c>
      <c r="V23" s="1074" t="s">
        <v>956</v>
      </c>
      <c r="W23" s="1075">
        <f>J23</f>
        <v>100</v>
      </c>
      <c r="X23" s="1069"/>
      <c r="Y23" s="3333"/>
      <c r="Z23" s="1058" t="str">
        <f>Q23</f>
        <v>环境质量</v>
      </c>
      <c r="AA23" s="1058">
        <f t="shared" si="3"/>
        <v>1</v>
      </c>
      <c r="AB23" s="1058">
        <f t="shared" si="4"/>
        <v>1</v>
      </c>
      <c r="AC23" s="1387">
        <f t="shared" si="5"/>
        <v>1</v>
      </c>
    </row>
    <row r="24" spans="1:29" ht="15">
      <c r="A24" s="899"/>
      <c r="B24" s="929"/>
      <c r="C24" s="920"/>
      <c r="D24" s="919"/>
      <c r="E24" s="1041"/>
      <c r="F24" s="919"/>
      <c r="G24" s="927"/>
      <c r="H24" s="919"/>
      <c r="I24" s="927"/>
      <c r="J24" s="919"/>
      <c r="K24" s="1242"/>
      <c r="L24" s="1037"/>
      <c r="M24" s="971"/>
      <c r="N24" s="971"/>
      <c r="O24" s="971"/>
      <c r="P24" s="3367"/>
      <c r="Q24" s="641"/>
      <c r="R24" s="1074"/>
      <c r="S24" s="1075"/>
      <c r="T24" s="1074"/>
      <c r="U24" s="1075"/>
      <c r="V24" s="1074"/>
      <c r="W24" s="1075"/>
      <c r="X24" s="1069"/>
      <c r="Y24" s="3333"/>
      <c r="Z24" s="1058"/>
      <c r="AA24" s="1058">
        <v>1</v>
      </c>
      <c r="AB24" s="1058">
        <v>1</v>
      </c>
      <c r="AC24" s="1387">
        <v>1</v>
      </c>
    </row>
    <row r="25" spans="1:29" ht="27">
      <c r="A25" s="878"/>
      <c r="B25" s="922" t="s">
        <v>980</v>
      </c>
      <c r="C25" s="1379"/>
      <c r="D25" s="765">
        <v>100</v>
      </c>
      <c r="E25" s="907"/>
      <c r="F25" s="765">
        <f>SUMIF(87:87,E26,88:88)-SUMIF(87:87,C26,88:88)+100</f>
        <v>100</v>
      </c>
      <c r="G25" s="1379"/>
      <c r="H25" s="765">
        <f>SUMIF(87:87,G26,88:88)-SUMIF(87:87,C26,88:88)+100</f>
        <v>100</v>
      </c>
      <c r="I25" s="907"/>
      <c r="J25" s="765">
        <f>SUMIF(87:87,I26,88:88)-SUMIF(87:87,C26,88:88)+100</f>
        <v>100</v>
      </c>
      <c r="K25" s="1241"/>
      <c r="L25" s="1037"/>
      <c r="M25" s="971"/>
      <c r="N25" s="971"/>
      <c r="O25" s="971"/>
      <c r="P25" s="3367"/>
      <c r="Q25" s="641" t="str">
        <f>B25</f>
        <v>毗邻道路的类型与等级</v>
      </c>
      <c r="R25" s="1074" t="s">
        <v>956</v>
      </c>
      <c r="S25" s="1075">
        <f>F25</f>
        <v>100</v>
      </c>
      <c r="T25" s="1074" t="s">
        <v>956</v>
      </c>
      <c r="U25" s="1075">
        <f>H25</f>
        <v>100</v>
      </c>
      <c r="V25" s="1074" t="s">
        <v>956</v>
      </c>
      <c r="W25" s="1075">
        <f>J25</f>
        <v>100</v>
      </c>
      <c r="X25" s="1069"/>
      <c r="Y25" s="3333"/>
      <c r="Z25" s="1058" t="str">
        <f>Q25</f>
        <v>毗邻道路的类型与等级</v>
      </c>
      <c r="AA25" s="1058">
        <f t="shared" si="3"/>
        <v>1</v>
      </c>
      <c r="AB25" s="1058">
        <f t="shared" si="4"/>
        <v>1</v>
      </c>
      <c r="AC25" s="1387">
        <f t="shared" si="5"/>
        <v>1</v>
      </c>
    </row>
    <row r="26" spans="1:29" ht="15">
      <c r="A26" s="878"/>
      <c r="B26" s="926"/>
      <c r="C26" s="933"/>
      <c r="D26" s="765"/>
      <c r="E26" s="932"/>
      <c r="F26" s="765"/>
      <c r="G26" s="933"/>
      <c r="H26" s="765"/>
      <c r="I26" s="932"/>
      <c r="J26" s="765"/>
      <c r="K26" s="1242"/>
      <c r="L26" s="1037"/>
      <c r="M26" s="971"/>
      <c r="N26" s="971"/>
      <c r="O26" s="971"/>
      <c r="P26" s="3367"/>
      <c r="Q26" s="641"/>
      <c r="R26" s="1074"/>
      <c r="S26" s="1075"/>
      <c r="T26" s="1074"/>
      <c r="U26" s="1075"/>
      <c r="V26" s="1074"/>
      <c r="W26" s="1075"/>
      <c r="X26" s="1069"/>
      <c r="Y26" s="3333"/>
      <c r="Z26" s="1058"/>
      <c r="AA26" s="1058">
        <v>1</v>
      </c>
      <c r="AB26" s="1058">
        <v>1</v>
      </c>
      <c r="AC26" s="1387">
        <v>1</v>
      </c>
    </row>
    <row r="27" spans="1:29" ht="15">
      <c r="A27" s="899"/>
      <c r="B27" s="926" t="s">
        <v>1939</v>
      </c>
      <c r="C27" s="933"/>
      <c r="D27" s="765">
        <v>100</v>
      </c>
      <c r="E27" s="932"/>
      <c r="F27" s="765">
        <f>SUMIF(89:89,E27,90:90)-SUMIF(89:89,C27,90:90)+100</f>
        <v>100</v>
      </c>
      <c r="G27" s="933"/>
      <c r="H27" s="765">
        <f>SUMIF(89:89,G27,90:90)-SUMIF(89:89,C27,90:90)+100</f>
        <v>100</v>
      </c>
      <c r="I27" s="932"/>
      <c r="J27" s="765">
        <f>SUMIF(89:89,I27,90:90)-SUMIF(89:89,C27,90:90)+100</f>
        <v>100</v>
      </c>
      <c r="K27" s="1044"/>
      <c r="L27" s="1037"/>
      <c r="M27" s="971"/>
      <c r="N27" s="971"/>
      <c r="O27" s="971"/>
      <c r="P27" s="3367"/>
      <c r="Q27" s="641" t="str">
        <f t="shared" ref="Q27:Q47" si="11">B27</f>
        <v>楼层</v>
      </c>
      <c r="R27" s="1074" t="s">
        <v>956</v>
      </c>
      <c r="S27" s="1075">
        <f>F27</f>
        <v>100</v>
      </c>
      <c r="T27" s="1074" t="s">
        <v>956</v>
      </c>
      <c r="U27" s="1075">
        <f>H27</f>
        <v>100</v>
      </c>
      <c r="V27" s="1074" t="s">
        <v>956</v>
      </c>
      <c r="W27" s="1075">
        <f>J27</f>
        <v>100</v>
      </c>
      <c r="X27" s="1069"/>
      <c r="Y27" s="3333"/>
      <c r="Z27" s="1058" t="str">
        <f>Q27</f>
        <v>楼层</v>
      </c>
      <c r="AA27" s="1058">
        <f t="shared" si="3"/>
        <v>1</v>
      </c>
      <c r="AB27" s="1058">
        <f t="shared" si="4"/>
        <v>1</v>
      </c>
      <c r="AC27" s="1387">
        <f t="shared" si="5"/>
        <v>1</v>
      </c>
    </row>
    <row r="28" spans="1:29" s="855" customFormat="1" ht="15">
      <c r="A28" s="902"/>
      <c r="B28" s="922" t="s">
        <v>1559</v>
      </c>
      <c r="C28" s="1380"/>
      <c r="D28" s="926">
        <v>100</v>
      </c>
      <c r="E28" s="1381"/>
      <c r="F28" s="926">
        <f>SUMIF(91:91,E28,92:92)-SUMIF(91:91,C28,92:92)+100</f>
        <v>100</v>
      </c>
      <c r="G28" s="1380"/>
      <c r="H28" s="926">
        <f>SUMIF(91:91,G28,92:92)-SUMIF(91:91,C28,92:92)+100</f>
        <v>100</v>
      </c>
      <c r="I28" s="1381"/>
      <c r="J28" s="926">
        <f>SUMIF(91:91,I28,92:92)-SUMIF(91:91,C28,92:92)+100</f>
        <v>100</v>
      </c>
      <c r="K28" s="1044"/>
      <c r="L28" s="1026"/>
      <c r="M28" s="1027"/>
      <c r="N28" s="1027"/>
      <c r="O28" s="1027"/>
      <c r="P28" s="3367"/>
      <c r="Q28" s="795" t="str">
        <f t="shared" si="11"/>
        <v>朝向</v>
      </c>
      <c r="R28" s="1070" t="s">
        <v>956</v>
      </c>
      <c r="S28" s="1071">
        <f>F28</f>
        <v>100</v>
      </c>
      <c r="T28" s="1070" t="s">
        <v>956</v>
      </c>
      <c r="U28" s="1071">
        <f>H28</f>
        <v>100</v>
      </c>
      <c r="V28" s="1070" t="s">
        <v>956</v>
      </c>
      <c r="W28" s="1071">
        <f>J28</f>
        <v>100</v>
      </c>
      <c r="X28" s="1072"/>
      <c r="Y28" s="3333"/>
      <c r="Z28" s="1082" t="str">
        <f>Q28</f>
        <v>朝向</v>
      </c>
      <c r="AA28" s="1058">
        <f t="shared" si="3"/>
        <v>1</v>
      </c>
      <c r="AB28" s="1058">
        <f t="shared" si="4"/>
        <v>1</v>
      </c>
      <c r="AC28" s="1387">
        <f t="shared" si="5"/>
        <v>1</v>
      </c>
    </row>
    <row r="29" spans="1:29" ht="15">
      <c r="A29" s="899"/>
      <c r="B29" s="936">
        <v>111</v>
      </c>
      <c r="C29" s="1379"/>
      <c r="D29" s="765">
        <v>100</v>
      </c>
      <c r="E29" s="897"/>
      <c r="F29" s="765">
        <f>SUMIF(93:93,E29,94:94)-SUMIF(93:93,C29,94:94)+100</f>
        <v>100</v>
      </c>
      <c r="G29" s="1375"/>
      <c r="H29" s="765">
        <f>SUMIF(93:93,G29,94:94)-SUMIF(93:93,C29,94:94)+100</f>
        <v>100</v>
      </c>
      <c r="I29" s="897"/>
      <c r="J29" s="765">
        <f>SUMIF(93:93,I29,94:94)-SUMIF(93:93,C29,94:94)+100</f>
        <v>100</v>
      </c>
      <c r="K29" s="1043"/>
      <c r="L29" s="1037"/>
      <c r="M29" s="971"/>
      <c r="N29" s="971"/>
      <c r="O29" s="971"/>
      <c r="P29" s="3367"/>
      <c r="Q29" s="641">
        <f t="shared" si="11"/>
        <v>111</v>
      </c>
      <c r="R29" s="1074" t="s">
        <v>956</v>
      </c>
      <c r="S29" s="1075">
        <f t="shared" ref="S29:S47" si="12">F29</f>
        <v>100</v>
      </c>
      <c r="T29" s="1074" t="s">
        <v>956</v>
      </c>
      <c r="U29" s="1075">
        <f t="shared" ref="U29:U47" si="13">H29</f>
        <v>100</v>
      </c>
      <c r="V29" s="1074" t="s">
        <v>956</v>
      </c>
      <c r="W29" s="1075">
        <f t="shared" ref="W29:W47" si="14">J29</f>
        <v>100</v>
      </c>
      <c r="X29" s="1069"/>
      <c r="Y29" s="3333"/>
      <c r="Z29" s="1058">
        <f t="shared" ref="Z29:Z47" si="15">Q29</f>
        <v>111</v>
      </c>
      <c r="AA29" s="1058">
        <f t="shared" si="3"/>
        <v>1</v>
      </c>
      <c r="AB29" s="1058">
        <f t="shared" si="4"/>
        <v>1</v>
      </c>
      <c r="AC29" s="1387">
        <f t="shared" si="5"/>
        <v>1</v>
      </c>
    </row>
    <row r="30" spans="1:29" ht="15">
      <c r="A30" s="899"/>
      <c r="B30" s="936">
        <v>111</v>
      </c>
      <c r="C30" s="1379"/>
      <c r="D30" s="765">
        <v>100</v>
      </c>
      <c r="E30" s="897"/>
      <c r="F30" s="765">
        <f>SUMIF(95:95,E30,96:96)-SUMIF(95:95,C30,96:96)+100</f>
        <v>100</v>
      </c>
      <c r="G30" s="1375"/>
      <c r="H30" s="765">
        <f>SUMIF(95:95,G30,96:96)-SUMIF(95:95,C30,96:96)+100</f>
        <v>100</v>
      </c>
      <c r="I30" s="897"/>
      <c r="J30" s="765">
        <f>SUMIF(95:95,I30,96:96)-SUMIF(95:95,C30,96:96)+100</f>
        <v>100</v>
      </c>
      <c r="K30" s="1043"/>
      <c r="L30" s="1037"/>
      <c r="M30" s="971"/>
      <c r="N30" s="971"/>
      <c r="O30" s="971"/>
      <c r="P30" s="3367"/>
      <c r="Q30" s="641">
        <f t="shared" si="11"/>
        <v>111</v>
      </c>
      <c r="R30" s="1074" t="s">
        <v>956</v>
      </c>
      <c r="S30" s="1075">
        <f t="shared" si="12"/>
        <v>100</v>
      </c>
      <c r="T30" s="1074" t="s">
        <v>956</v>
      </c>
      <c r="U30" s="1075">
        <f t="shared" si="13"/>
        <v>100</v>
      </c>
      <c r="V30" s="1074" t="s">
        <v>956</v>
      </c>
      <c r="W30" s="1075">
        <f t="shared" si="14"/>
        <v>100</v>
      </c>
      <c r="X30" s="1069"/>
      <c r="Y30" s="3333"/>
      <c r="Z30" s="1058">
        <f t="shared" si="15"/>
        <v>111</v>
      </c>
      <c r="AA30" s="1058">
        <f t="shared" si="3"/>
        <v>1</v>
      </c>
      <c r="AB30" s="1058">
        <f t="shared" si="4"/>
        <v>1</v>
      </c>
      <c r="AC30" s="1387">
        <f t="shared" si="5"/>
        <v>1</v>
      </c>
    </row>
    <row r="31" spans="1:29" ht="15">
      <c r="A31" s="899"/>
      <c r="B31" s="936">
        <v>111</v>
      </c>
      <c r="C31" s="1379"/>
      <c r="D31" s="765">
        <v>100</v>
      </c>
      <c r="E31" s="897"/>
      <c r="F31" s="765">
        <f>SUMIF(97:97,E31,98:98)-SUMIF(97:97,C31,98:98)+100</f>
        <v>100</v>
      </c>
      <c r="G31" s="1375"/>
      <c r="H31" s="765">
        <f>SUMIF(97:97,G31,98:98)-SUMIF(97:97,C31,98:98)+100</f>
        <v>100</v>
      </c>
      <c r="I31" s="897"/>
      <c r="J31" s="765">
        <f>SUMIF(97:97,I31,98:98)-SUMIF(97:97,C31,98:98)+100</f>
        <v>100</v>
      </c>
      <c r="K31" s="1043"/>
      <c r="L31" s="1037"/>
      <c r="M31" s="971"/>
      <c r="N31" s="971"/>
      <c r="O31" s="971"/>
      <c r="P31" s="3367"/>
      <c r="Q31" s="641">
        <f t="shared" si="11"/>
        <v>111</v>
      </c>
      <c r="R31" s="1074" t="s">
        <v>956</v>
      </c>
      <c r="S31" s="1075">
        <f t="shared" si="12"/>
        <v>100</v>
      </c>
      <c r="T31" s="1074" t="s">
        <v>956</v>
      </c>
      <c r="U31" s="1075">
        <f t="shared" si="13"/>
        <v>100</v>
      </c>
      <c r="V31" s="1074" t="s">
        <v>956</v>
      </c>
      <c r="W31" s="1075">
        <f t="shared" si="14"/>
        <v>100</v>
      </c>
      <c r="X31" s="1069"/>
      <c r="Y31" s="3333"/>
      <c r="Z31" s="1058">
        <f t="shared" si="15"/>
        <v>111</v>
      </c>
      <c r="AA31" s="1058">
        <f t="shared" si="3"/>
        <v>1</v>
      </c>
      <c r="AB31" s="1058">
        <f t="shared" si="4"/>
        <v>1</v>
      </c>
      <c r="AC31" s="1387">
        <f t="shared" si="5"/>
        <v>1</v>
      </c>
    </row>
    <row r="32" spans="1:29" ht="15">
      <c r="A32" s="908"/>
      <c r="B32" s="1277">
        <v>111</v>
      </c>
      <c r="C32" s="1382"/>
      <c r="D32" s="911">
        <v>100</v>
      </c>
      <c r="E32" s="1376"/>
      <c r="F32" s="911">
        <f>SUMIF(99:99,E32,100:100)-SUMIF(99:99,C32,100:100)+100</f>
        <v>100</v>
      </c>
      <c r="G32" s="1375"/>
      <c r="H32" s="911">
        <f>SUMIF(99:99,G32,100:100)-SUMIF(99:99,C32,100:100)+100</f>
        <v>100</v>
      </c>
      <c r="I32" s="897"/>
      <c r="J32" s="911">
        <f>SUMIF(99:99,I32,100:100)-SUMIF(99:99,C32,100:100)+100</f>
        <v>100</v>
      </c>
      <c r="K32" s="1043"/>
      <c r="L32" s="1037"/>
      <c r="M32" s="971"/>
      <c r="N32" s="971"/>
      <c r="O32" s="971"/>
      <c r="P32" s="3367"/>
      <c r="Q32" s="641">
        <f t="shared" si="11"/>
        <v>111</v>
      </c>
      <c r="R32" s="1074" t="s">
        <v>956</v>
      </c>
      <c r="S32" s="1075">
        <f t="shared" si="12"/>
        <v>100</v>
      </c>
      <c r="T32" s="1074" t="s">
        <v>956</v>
      </c>
      <c r="U32" s="1075">
        <f t="shared" si="13"/>
        <v>100</v>
      </c>
      <c r="V32" s="1074" t="s">
        <v>956</v>
      </c>
      <c r="W32" s="1075">
        <f t="shared" si="14"/>
        <v>100</v>
      </c>
      <c r="X32" s="1069"/>
      <c r="Y32" s="3333"/>
      <c r="Z32" s="1058">
        <f t="shared" si="15"/>
        <v>111</v>
      </c>
      <c r="AA32" s="1058">
        <f t="shared" si="3"/>
        <v>1</v>
      </c>
      <c r="AB32" s="1058">
        <f t="shared" si="4"/>
        <v>1</v>
      </c>
      <c r="AC32" s="1387">
        <f t="shared" si="5"/>
        <v>1</v>
      </c>
    </row>
    <row r="33" spans="1:29" ht="15">
      <c r="A33" s="912" t="s">
        <v>983</v>
      </c>
      <c r="B33" s="892" t="s">
        <v>1560</v>
      </c>
      <c r="C33" s="1218"/>
      <c r="D33" s="876">
        <v>100</v>
      </c>
      <c r="E33" s="1218"/>
      <c r="F33" s="1053">
        <f>SUMIF(101:101,E33,102:102)-SUMIF(101:101,C33,102:102)+100</f>
        <v>100</v>
      </c>
      <c r="G33" s="1218"/>
      <c r="H33" s="765">
        <f>SUMIF(101:101,G33,102:102)-SUMIF(101:101,C33,102:102)+100</f>
        <v>100</v>
      </c>
      <c r="I33" s="1218"/>
      <c r="J33" s="876">
        <f>SUMIF(101:101,I33,102:102)-SUMIF(101:101,C33,102:102)+100</f>
        <v>100</v>
      </c>
      <c r="K33" s="1044"/>
      <c r="L33" s="1037"/>
      <c r="M33" s="971"/>
      <c r="N33" s="971"/>
      <c r="O33" s="971"/>
      <c r="P33" s="3368" t="s">
        <v>982</v>
      </c>
      <c r="Q33" s="641" t="str">
        <f t="shared" si="11"/>
        <v>建筑类型</v>
      </c>
      <c r="R33" s="1074" t="s">
        <v>956</v>
      </c>
      <c r="S33" s="1075">
        <f t="shared" si="12"/>
        <v>100</v>
      </c>
      <c r="T33" s="1074" t="s">
        <v>956</v>
      </c>
      <c r="U33" s="1075">
        <f t="shared" si="13"/>
        <v>100</v>
      </c>
      <c r="V33" s="1074" t="s">
        <v>956</v>
      </c>
      <c r="W33" s="1075">
        <f t="shared" si="14"/>
        <v>100</v>
      </c>
      <c r="X33" s="1069"/>
      <c r="Y33" s="3335" t="s">
        <v>982</v>
      </c>
      <c r="Z33" s="1058" t="str">
        <f t="shared" si="15"/>
        <v>建筑类型</v>
      </c>
      <c r="AA33" s="1058">
        <f t="shared" si="3"/>
        <v>1</v>
      </c>
      <c r="AB33" s="1058">
        <f t="shared" si="4"/>
        <v>1</v>
      </c>
      <c r="AC33" s="1387">
        <f t="shared" si="5"/>
        <v>1</v>
      </c>
    </row>
    <row r="34" spans="1:29" s="857" customFormat="1" ht="15">
      <c r="A34" s="952"/>
      <c r="B34" s="896" t="s">
        <v>1563</v>
      </c>
      <c r="C34" s="1207"/>
      <c r="D34" s="898">
        <v>100</v>
      </c>
      <c r="E34" s="901"/>
      <c r="F34" s="896" t="e">
        <f>LOOKUP(E34,104:104,105:105)-LOOKUP(C34,104:104,105:105)+100</f>
        <v>#N/A</v>
      </c>
      <c r="G34" s="900"/>
      <c r="H34" s="898" t="e">
        <f>LOOKUP(G34,104:104,105:105)-LOOKUP(C34,104:104,105:105)+100</f>
        <v>#N/A</v>
      </c>
      <c r="I34" s="900"/>
      <c r="J34" s="898" t="e">
        <f>LOOKUP(I34,104:104,105:105)-LOOKUP(C34,104:104,105:105)+100</f>
        <v>#N/A</v>
      </c>
      <c r="K34" s="1043"/>
      <c r="L34" s="1035"/>
      <c r="M34" s="1045"/>
      <c r="N34" s="1045"/>
      <c r="O34" s="1045"/>
      <c r="P34" s="3369"/>
      <c r="Q34" s="1244" t="str">
        <f t="shared" si="11"/>
        <v>项目建筑规模</v>
      </c>
      <c r="R34" s="1076" t="s">
        <v>956</v>
      </c>
      <c r="S34" s="1077" t="e">
        <f t="shared" si="12"/>
        <v>#N/A</v>
      </c>
      <c r="T34" s="1076" t="s">
        <v>956</v>
      </c>
      <c r="U34" s="1077" t="e">
        <f t="shared" si="13"/>
        <v>#N/A</v>
      </c>
      <c r="V34" s="1076" t="s">
        <v>956</v>
      </c>
      <c r="W34" s="1077" t="e">
        <f t="shared" si="14"/>
        <v>#N/A</v>
      </c>
      <c r="X34" s="1078"/>
      <c r="Y34" s="3335"/>
      <c r="Z34" s="1083" t="str">
        <f t="shared" si="15"/>
        <v>项目建筑规模</v>
      </c>
      <c r="AA34" s="1058" t="e">
        <f t="shared" si="3"/>
        <v>#N/A</v>
      </c>
      <c r="AB34" s="1058" t="e">
        <f t="shared" si="4"/>
        <v>#N/A</v>
      </c>
      <c r="AC34" s="1387" t="e">
        <f t="shared" si="5"/>
        <v>#N/A</v>
      </c>
    </row>
    <row r="35" spans="1:29" ht="15">
      <c r="A35" s="947"/>
      <c r="B35" s="896" t="s">
        <v>1564</v>
      </c>
      <c r="C35" s="1222"/>
      <c r="D35" s="765">
        <v>100</v>
      </c>
      <c r="E35" s="1222"/>
      <c r="F35" s="1053">
        <f>SUMIF(106:106,E35,107:107)-SUMIF(106:106,C35,107:107)+100</f>
        <v>100</v>
      </c>
      <c r="G35" s="1222"/>
      <c r="H35" s="765">
        <f>SUMIF(106:106,G35,107:107)-SUMIF(106:106,C35,107:107)+100</f>
        <v>100</v>
      </c>
      <c r="I35" s="1222"/>
      <c r="J35" s="765">
        <f>SUMIF(106:106,I35,107:107)-SUMIF(106:106,C35,107:107)+100</f>
        <v>100</v>
      </c>
      <c r="K35" s="1044"/>
      <c r="L35" s="1037"/>
      <c r="M35" s="971"/>
      <c r="N35" s="971"/>
      <c r="O35" s="971"/>
      <c r="P35" s="3369"/>
      <c r="Q35" s="641" t="str">
        <f t="shared" si="11"/>
        <v>建筑结构</v>
      </c>
      <c r="R35" s="1074" t="s">
        <v>956</v>
      </c>
      <c r="S35" s="1075">
        <f t="shared" si="12"/>
        <v>100</v>
      </c>
      <c r="T35" s="1074" t="s">
        <v>956</v>
      </c>
      <c r="U35" s="1075">
        <f t="shared" si="13"/>
        <v>100</v>
      </c>
      <c r="V35" s="1074" t="s">
        <v>956</v>
      </c>
      <c r="W35" s="1075">
        <f t="shared" si="14"/>
        <v>100</v>
      </c>
      <c r="X35" s="1069"/>
      <c r="Y35" s="3335"/>
      <c r="Z35" s="1058" t="str">
        <f t="shared" si="15"/>
        <v>建筑结构</v>
      </c>
      <c r="AA35" s="1058">
        <f t="shared" si="3"/>
        <v>1</v>
      </c>
      <c r="AB35" s="1058">
        <f t="shared" si="4"/>
        <v>1</v>
      </c>
      <c r="AC35" s="1387">
        <f t="shared" si="5"/>
        <v>1</v>
      </c>
    </row>
    <row r="36" spans="1:29" ht="15">
      <c r="A36" s="947"/>
      <c r="B36" s="896" t="s">
        <v>1567</v>
      </c>
      <c r="C36" s="1222"/>
      <c r="D36" s="765">
        <v>100</v>
      </c>
      <c r="E36" s="1222"/>
      <c r="F36" s="1053">
        <f>SUMIF(108:108,E36,109:109)-SUMIF(108:108,C36,109:109)+100</f>
        <v>100</v>
      </c>
      <c r="G36" s="1222"/>
      <c r="H36" s="765">
        <f>SUMIF(108:108,G36,109:109)-SUMIF(108:108,C36,109:109)+100</f>
        <v>100</v>
      </c>
      <c r="I36" s="1222"/>
      <c r="J36" s="765">
        <f>SUMIF(108:108,I36,109:109)-SUMIF(108:108,C36,109:109)+100</f>
        <v>100</v>
      </c>
      <c r="K36" s="1044"/>
      <c r="L36" s="1037"/>
      <c r="M36" s="971"/>
      <c r="N36" s="971"/>
      <c r="O36" s="971"/>
      <c r="P36" s="3369"/>
      <c r="Q36" s="641" t="str">
        <f t="shared" si="11"/>
        <v>公共部分装修</v>
      </c>
      <c r="R36" s="1074" t="s">
        <v>956</v>
      </c>
      <c r="S36" s="1075">
        <f t="shared" si="12"/>
        <v>100</v>
      </c>
      <c r="T36" s="1074" t="s">
        <v>956</v>
      </c>
      <c r="U36" s="1075">
        <f t="shared" si="13"/>
        <v>100</v>
      </c>
      <c r="V36" s="1074" t="s">
        <v>956</v>
      </c>
      <c r="W36" s="1075">
        <f t="shared" si="14"/>
        <v>100</v>
      </c>
      <c r="X36" s="1069"/>
      <c r="Y36" s="3335"/>
      <c r="Z36" s="1058" t="str">
        <f t="shared" si="15"/>
        <v>公共部分装修</v>
      </c>
      <c r="AA36" s="1058">
        <f t="shared" si="3"/>
        <v>1</v>
      </c>
      <c r="AB36" s="1058">
        <f t="shared" si="4"/>
        <v>1</v>
      </c>
      <c r="AC36" s="1387">
        <f t="shared" si="5"/>
        <v>1</v>
      </c>
    </row>
    <row r="37" spans="1:29" ht="15">
      <c r="A37" s="947"/>
      <c r="B37" s="896" t="s">
        <v>579</v>
      </c>
      <c r="C37" s="1219"/>
      <c r="D37" s="765">
        <v>100</v>
      </c>
      <c r="E37" s="1219"/>
      <c r="F37" s="1053" t="e">
        <f>LOOKUP(E37,111:111,112:112)-LOOKUP(C37,111:111,112:112)+100</f>
        <v>#N/A</v>
      </c>
      <c r="G37" s="1219"/>
      <c r="H37" s="1053" t="e">
        <f>LOOKUP(G37,111:111,112:112)-LOOKUP(C37,111:111,112:112)+100</f>
        <v>#N/A</v>
      </c>
      <c r="I37" s="1219"/>
      <c r="J37" s="765" t="e">
        <f>LOOKUP(I37,111:111,112:112)-LOOKUP(C37,111:111,112:112)+100</f>
        <v>#N/A</v>
      </c>
      <c r="K37" s="1044"/>
      <c r="L37" s="1037"/>
      <c r="M37" s="971"/>
      <c r="N37" s="971"/>
      <c r="O37" s="971"/>
      <c r="P37" s="3369"/>
      <c r="Q37" s="641" t="str">
        <f t="shared" si="11"/>
        <v>成新度</v>
      </c>
      <c r="R37" s="1074" t="s">
        <v>956</v>
      </c>
      <c r="S37" s="1075" t="e">
        <f t="shared" si="12"/>
        <v>#N/A</v>
      </c>
      <c r="T37" s="1074" t="s">
        <v>956</v>
      </c>
      <c r="U37" s="1075" t="e">
        <f t="shared" si="13"/>
        <v>#N/A</v>
      </c>
      <c r="V37" s="1074" t="s">
        <v>956</v>
      </c>
      <c r="W37" s="1075" t="e">
        <f t="shared" si="14"/>
        <v>#N/A</v>
      </c>
      <c r="X37" s="1069"/>
      <c r="Y37" s="3335"/>
      <c r="Z37" s="1058" t="str">
        <f t="shared" si="15"/>
        <v>成新度</v>
      </c>
      <c r="AA37" s="1058" t="e">
        <f t="shared" si="3"/>
        <v>#N/A</v>
      </c>
      <c r="AB37" s="1058" t="e">
        <f t="shared" si="4"/>
        <v>#N/A</v>
      </c>
      <c r="AC37" s="1387" t="e">
        <f t="shared" si="5"/>
        <v>#N/A</v>
      </c>
    </row>
    <row r="38" spans="1:29" s="855" customFormat="1" ht="15">
      <c r="A38" s="949"/>
      <c r="B38" s="896" t="s">
        <v>1948</v>
      </c>
      <c r="C38" s="1222"/>
      <c r="D38" s="898">
        <v>100</v>
      </c>
      <c r="E38" s="1222"/>
      <c r="F38" s="1053">
        <f>SUMIF(113:113,E38,114:114)-SUMIF(113:113,C38,114:114)+100</f>
        <v>100</v>
      </c>
      <c r="G38" s="1222"/>
      <c r="H38" s="765">
        <f>SUMIF(113:113,G38,114:114)-SUMIF(113:113,C38,114:114)+100</f>
        <v>100</v>
      </c>
      <c r="I38" s="1222"/>
      <c r="J38" s="765">
        <f>SUMIF(113:113,I38,114:114)-SUMIF(113:113,C38,114:114)+100</f>
        <v>100</v>
      </c>
      <c r="K38" s="1044"/>
      <c r="L38" s="1026"/>
      <c r="M38" s="1027"/>
      <c r="N38" s="1027"/>
      <c r="O38" s="1027"/>
      <c r="P38" s="3369"/>
      <c r="Q38" s="795" t="str">
        <f t="shared" si="11"/>
        <v>写字楼等级</v>
      </c>
      <c r="R38" s="1070" t="s">
        <v>956</v>
      </c>
      <c r="S38" s="1071">
        <f t="shared" si="12"/>
        <v>100</v>
      </c>
      <c r="T38" s="1070" t="s">
        <v>956</v>
      </c>
      <c r="U38" s="1071">
        <f t="shared" si="13"/>
        <v>100</v>
      </c>
      <c r="V38" s="1070" t="s">
        <v>956</v>
      </c>
      <c r="W38" s="1071">
        <f t="shared" si="14"/>
        <v>100</v>
      </c>
      <c r="X38" s="1072"/>
      <c r="Y38" s="3335"/>
      <c r="Z38" s="1082" t="str">
        <f t="shared" si="15"/>
        <v>写字楼等级</v>
      </c>
      <c r="AA38" s="1082">
        <f t="shared" si="3"/>
        <v>1</v>
      </c>
      <c r="AB38" s="1082">
        <f t="shared" si="4"/>
        <v>1</v>
      </c>
      <c r="AC38" s="1386">
        <f t="shared" si="5"/>
        <v>1</v>
      </c>
    </row>
    <row r="39" spans="1:29" ht="15">
      <c r="A39" s="947"/>
      <c r="B39" s="896" t="s">
        <v>1569</v>
      </c>
      <c r="C39" s="1222"/>
      <c r="D39" s="765">
        <v>100</v>
      </c>
      <c r="E39" s="1222"/>
      <c r="F39" s="1053">
        <f>SUMIF(115:115,E39,116:116)-SUMIF(115:115,C39,116:116)+100</f>
        <v>100</v>
      </c>
      <c r="G39" s="1222"/>
      <c r="H39" s="765">
        <f>SUMIF(115:115,G39,116:116)-SUMIF(115:115,C39,116:116)+100</f>
        <v>100</v>
      </c>
      <c r="I39" s="1222"/>
      <c r="J39" s="765">
        <f>SUMIF(115:115,I39,116:116)-SUMIF(115:115,C39,116:116)+100</f>
        <v>100</v>
      </c>
      <c r="K39" s="1044"/>
      <c r="L39" s="1037"/>
      <c r="M39" s="971"/>
      <c r="N39" s="971"/>
      <c r="O39" s="971"/>
      <c r="P39" s="3369" t="s">
        <v>982</v>
      </c>
      <c r="Q39" s="641" t="str">
        <f t="shared" si="11"/>
        <v>物业管理</v>
      </c>
      <c r="R39" s="1074" t="s">
        <v>956</v>
      </c>
      <c r="S39" s="1075">
        <f t="shared" si="12"/>
        <v>100</v>
      </c>
      <c r="T39" s="1074" t="s">
        <v>956</v>
      </c>
      <c r="U39" s="1075">
        <f t="shared" si="13"/>
        <v>100</v>
      </c>
      <c r="V39" s="1074" t="s">
        <v>956</v>
      </c>
      <c r="W39" s="1075">
        <f t="shared" si="14"/>
        <v>100</v>
      </c>
      <c r="X39" s="1069"/>
      <c r="Y39" s="3335" t="s">
        <v>982</v>
      </c>
      <c r="Z39" s="1058" t="str">
        <f t="shared" si="15"/>
        <v>物业管理</v>
      </c>
      <c r="AA39" s="1058">
        <f t="shared" si="3"/>
        <v>1</v>
      </c>
      <c r="AB39" s="1058">
        <f t="shared" si="4"/>
        <v>1</v>
      </c>
      <c r="AC39" s="1387">
        <f t="shared" si="5"/>
        <v>1</v>
      </c>
    </row>
    <row r="40" spans="1:29" ht="15">
      <c r="A40" s="947"/>
      <c r="B40" s="896" t="s">
        <v>1571</v>
      </c>
      <c r="C40" s="1222"/>
      <c r="D40" s="765">
        <v>100</v>
      </c>
      <c r="E40" s="1222"/>
      <c r="F40" s="1053">
        <f>SUMIF(117:117,E40,118:118)-SUMIF(117:117,C40,118:118)+100</f>
        <v>100</v>
      </c>
      <c r="G40" s="1222"/>
      <c r="H40" s="765">
        <f>SUMIF(117:117,G40,118:118)-SUMIF(117:117,C40,118:118)+100</f>
        <v>100</v>
      </c>
      <c r="I40" s="1222"/>
      <c r="J40" s="765">
        <f>SUMIF(117:117,I40,118:118)-SUMIF(117:117,C40,118:118)+100</f>
        <v>100</v>
      </c>
      <c r="K40" s="1044"/>
      <c r="L40" s="1037"/>
      <c r="M40" s="971"/>
      <c r="N40" s="971"/>
      <c r="O40" s="971"/>
      <c r="P40" s="3369"/>
      <c r="Q40" s="641" t="str">
        <f t="shared" si="11"/>
        <v>市政基础设施</v>
      </c>
      <c r="R40" s="1074" t="s">
        <v>956</v>
      </c>
      <c r="S40" s="1075">
        <f t="shared" si="12"/>
        <v>100</v>
      </c>
      <c r="T40" s="1074" t="s">
        <v>956</v>
      </c>
      <c r="U40" s="1075">
        <f t="shared" si="13"/>
        <v>100</v>
      </c>
      <c r="V40" s="1074" t="s">
        <v>956</v>
      </c>
      <c r="W40" s="1075">
        <f t="shared" si="14"/>
        <v>100</v>
      </c>
      <c r="X40" s="1069"/>
      <c r="Y40" s="3335"/>
      <c r="Z40" s="1058" t="str">
        <f t="shared" si="15"/>
        <v>市政基础设施</v>
      </c>
      <c r="AA40" s="1058">
        <f t="shared" si="3"/>
        <v>1</v>
      </c>
      <c r="AB40" s="1058">
        <f t="shared" si="4"/>
        <v>1</v>
      </c>
      <c r="AC40" s="1387">
        <f t="shared" si="5"/>
        <v>1</v>
      </c>
    </row>
    <row r="41" spans="1:29" ht="15">
      <c r="A41" s="947"/>
      <c r="B41" s="896" t="s">
        <v>1942</v>
      </c>
      <c r="C41" s="932"/>
      <c r="D41" s="765">
        <v>100</v>
      </c>
      <c r="E41" s="932"/>
      <c r="F41" s="1053">
        <f>SUMIF(119:119,E41,120:120)-SUMIF(119:119,C41,120:120)+100</f>
        <v>100</v>
      </c>
      <c r="G41" s="932"/>
      <c r="H41" s="765">
        <f>SUMIF(119:119,G41,120:120)-SUMIF(119:119,C41,120:120)+100</f>
        <v>100</v>
      </c>
      <c r="I41" s="932"/>
      <c r="J41" s="765">
        <f>SUMIF(119:119,I41,120:120)-SUMIF(119:119,C41,120:120)+100</f>
        <v>100</v>
      </c>
      <c r="K41" s="1044"/>
      <c r="L41" s="1037"/>
      <c r="M41" s="971"/>
      <c r="N41" s="971"/>
      <c r="O41" s="971"/>
      <c r="P41" s="3369"/>
      <c r="Q41" s="641" t="str">
        <f t="shared" si="11"/>
        <v>层高</v>
      </c>
      <c r="R41" s="1074" t="s">
        <v>956</v>
      </c>
      <c r="S41" s="1075">
        <f t="shared" si="12"/>
        <v>100</v>
      </c>
      <c r="T41" s="1074" t="s">
        <v>956</v>
      </c>
      <c r="U41" s="1075">
        <f t="shared" si="13"/>
        <v>100</v>
      </c>
      <c r="V41" s="1074" t="s">
        <v>956</v>
      </c>
      <c r="W41" s="1075">
        <f t="shared" si="14"/>
        <v>100</v>
      </c>
      <c r="X41" s="1069"/>
      <c r="Y41" s="3335"/>
      <c r="Z41" s="1058" t="str">
        <f t="shared" si="15"/>
        <v>层高</v>
      </c>
      <c r="AA41" s="1058">
        <f t="shared" si="3"/>
        <v>1</v>
      </c>
      <c r="AB41" s="1058">
        <f t="shared" si="4"/>
        <v>1</v>
      </c>
      <c r="AC41" s="1387">
        <f t="shared" si="5"/>
        <v>1</v>
      </c>
    </row>
    <row r="42" spans="1:29" s="857" customFormat="1" ht="15">
      <c r="A42" s="952"/>
      <c r="B42" s="1053" t="s">
        <v>1949</v>
      </c>
      <c r="C42" s="907"/>
      <c r="D42" s="765">
        <v>100</v>
      </c>
      <c r="E42" s="907"/>
      <c r="F42" s="1053">
        <f>SUMIF(121:121,E42,122:122)-SUMIF(121:121,C42,122:122)+100</f>
        <v>100</v>
      </c>
      <c r="G42" s="907"/>
      <c r="H42" s="765">
        <f>SUMIF(121:121,G42,122:122)-SUMIF(121:121,C42,122:122)+100</f>
        <v>100</v>
      </c>
      <c r="I42" s="907"/>
      <c r="J42" s="765">
        <f>SUMIF(121:121,I42,122:122)-SUMIF(121:121,C42,122:122)+100</f>
        <v>100</v>
      </c>
      <c r="K42" s="1043"/>
      <c r="L42" s="1035"/>
      <c r="M42" s="1045"/>
      <c r="N42" s="1045"/>
      <c r="O42" s="1045"/>
      <c r="P42" s="3369"/>
      <c r="Q42" s="1244" t="str">
        <f t="shared" si="11"/>
        <v>单套建筑面积</v>
      </c>
      <c r="R42" s="1076" t="s">
        <v>956</v>
      </c>
      <c r="S42" s="1077">
        <f t="shared" si="12"/>
        <v>100</v>
      </c>
      <c r="T42" s="1076" t="s">
        <v>956</v>
      </c>
      <c r="U42" s="1077">
        <f t="shared" si="13"/>
        <v>100</v>
      </c>
      <c r="V42" s="1076" t="s">
        <v>956</v>
      </c>
      <c r="W42" s="1077">
        <f t="shared" si="14"/>
        <v>100</v>
      </c>
      <c r="X42" s="1078"/>
      <c r="Y42" s="3335"/>
      <c r="Z42" s="1083" t="str">
        <f t="shared" si="15"/>
        <v>单套建筑面积</v>
      </c>
      <c r="AA42" s="1058">
        <f t="shared" si="3"/>
        <v>1</v>
      </c>
      <c r="AB42" s="1058">
        <f t="shared" si="4"/>
        <v>1</v>
      </c>
      <c r="AC42" s="1387">
        <f t="shared" si="5"/>
        <v>1</v>
      </c>
    </row>
    <row r="43" spans="1:29" ht="15">
      <c r="A43" s="947"/>
      <c r="B43" s="896" t="s">
        <v>1574</v>
      </c>
      <c r="C43" s="1222"/>
      <c r="D43" s="765">
        <v>100</v>
      </c>
      <c r="E43" s="1222"/>
      <c r="F43" s="1053">
        <f>SUMIF(123:123,E43,124:124)-SUMIF(123:123,C43,124:124)+100</f>
        <v>100</v>
      </c>
      <c r="G43" s="1222"/>
      <c r="H43" s="765">
        <f>SUMIF(123:123,G43,124:124)-SUMIF(123:123,C43,124:124)+100</f>
        <v>100</v>
      </c>
      <c r="I43" s="1222"/>
      <c r="J43" s="765">
        <f>SUMIF(123:123,I43,124:124)-SUMIF(123:123,C43,124:124)+100</f>
        <v>100</v>
      </c>
      <c r="K43" s="1044"/>
      <c r="L43" s="1037"/>
      <c r="M43" s="971"/>
      <c r="N43" s="971"/>
      <c r="O43" s="971"/>
      <c r="P43" s="3369"/>
      <c r="Q43" s="641" t="str">
        <f t="shared" si="11"/>
        <v>内部装修</v>
      </c>
      <c r="R43" s="1074" t="s">
        <v>956</v>
      </c>
      <c r="S43" s="1075">
        <f t="shared" si="12"/>
        <v>100</v>
      </c>
      <c r="T43" s="1074" t="s">
        <v>956</v>
      </c>
      <c r="U43" s="1075">
        <f t="shared" si="13"/>
        <v>100</v>
      </c>
      <c r="V43" s="1074" t="s">
        <v>956</v>
      </c>
      <c r="W43" s="1075">
        <f t="shared" si="14"/>
        <v>100</v>
      </c>
      <c r="X43" s="1069"/>
      <c r="Y43" s="3335"/>
      <c r="Z43" s="1058" t="str">
        <f t="shared" si="15"/>
        <v>内部装修</v>
      </c>
      <c r="AA43" s="1058">
        <f t="shared" si="3"/>
        <v>1</v>
      </c>
      <c r="AB43" s="1058">
        <f t="shared" si="4"/>
        <v>1</v>
      </c>
      <c r="AC43" s="1387">
        <f t="shared" si="5"/>
        <v>1</v>
      </c>
    </row>
    <row r="44" spans="1:29" ht="15">
      <c r="A44" s="947"/>
      <c r="B44" s="896" t="s">
        <v>1576</v>
      </c>
      <c r="C44" s="1222"/>
      <c r="D44" s="765">
        <v>100</v>
      </c>
      <c r="E44" s="948"/>
      <c r="F44" s="1053">
        <f>SUMIF(125:125,E44,126:126)-SUMIF(125:125,C44,126:126)+100</f>
        <v>100</v>
      </c>
      <c r="G44" s="948"/>
      <c r="H44" s="765">
        <f>SUMIF(125:125,G44,126:126)-SUMIF(125:125,C44,126:126)+100</f>
        <v>100</v>
      </c>
      <c r="I44" s="948"/>
      <c r="J44" s="765">
        <f>SUMIF(125:125,I44,126:126)-SUMIF(125:125,C44,126:126)+100</f>
        <v>100</v>
      </c>
      <c r="K44" s="1044"/>
      <c r="L44" s="1037"/>
      <c r="M44" s="971"/>
      <c r="N44" s="971"/>
      <c r="O44" s="971"/>
      <c r="P44" s="3369"/>
      <c r="Q44" s="641" t="str">
        <f t="shared" si="11"/>
        <v>内部装修维护情况</v>
      </c>
      <c r="R44" s="1074" t="s">
        <v>956</v>
      </c>
      <c r="S44" s="1075">
        <f t="shared" si="12"/>
        <v>100</v>
      </c>
      <c r="T44" s="1074" t="s">
        <v>956</v>
      </c>
      <c r="U44" s="1075">
        <f t="shared" si="13"/>
        <v>100</v>
      </c>
      <c r="V44" s="1074" t="s">
        <v>956</v>
      </c>
      <c r="W44" s="1075">
        <f t="shared" si="14"/>
        <v>100</v>
      </c>
      <c r="X44" s="1069"/>
      <c r="Y44" s="3335"/>
      <c r="Z44" s="1058" t="str">
        <f t="shared" si="15"/>
        <v>内部装修维护情况</v>
      </c>
      <c r="AA44" s="1058">
        <f t="shared" si="3"/>
        <v>1</v>
      </c>
      <c r="AB44" s="1058">
        <f t="shared" si="4"/>
        <v>1</v>
      </c>
      <c r="AC44" s="1387">
        <f t="shared" si="5"/>
        <v>1</v>
      </c>
    </row>
    <row r="45" spans="1:29" s="855" customFormat="1" ht="15">
      <c r="A45" s="949"/>
      <c r="B45" s="1133">
        <v>111</v>
      </c>
      <c r="C45" s="1207"/>
      <c r="D45" s="898">
        <v>100</v>
      </c>
      <c r="E45" s="897"/>
      <c r="F45" s="896">
        <f>SUMIF(127:127,E45,128:128)-SUMIF(127:127,C45,128:128)+100</f>
        <v>100</v>
      </c>
      <c r="G45" s="897"/>
      <c r="H45" s="898">
        <f>SUMIF(127:127,G45,128:128)-SUMIF(127:127,C45,128:128)+100</f>
        <v>100</v>
      </c>
      <c r="I45" s="897"/>
      <c r="J45" s="898">
        <f>SUMIF(127:127,I45,128:128)-SUMIF(127:127,C45,128:128)+100</f>
        <v>100</v>
      </c>
      <c r="K45" s="1043"/>
      <c r="L45" s="1026"/>
      <c r="M45" s="1027"/>
      <c r="N45" s="1027"/>
      <c r="O45" s="1027"/>
      <c r="P45" s="3369"/>
      <c r="Q45" s="795">
        <f t="shared" si="11"/>
        <v>111</v>
      </c>
      <c r="R45" s="1070" t="s">
        <v>956</v>
      </c>
      <c r="S45" s="1071">
        <f t="shared" si="12"/>
        <v>100</v>
      </c>
      <c r="T45" s="1070" t="s">
        <v>956</v>
      </c>
      <c r="U45" s="1071">
        <f t="shared" si="13"/>
        <v>100</v>
      </c>
      <c r="V45" s="1070" t="s">
        <v>956</v>
      </c>
      <c r="W45" s="1071">
        <f t="shared" si="14"/>
        <v>100</v>
      </c>
      <c r="X45" s="1072"/>
      <c r="Y45" s="3335"/>
      <c r="Z45" s="1082">
        <f t="shared" si="15"/>
        <v>111</v>
      </c>
      <c r="AA45" s="1082">
        <f t="shared" si="3"/>
        <v>1</v>
      </c>
      <c r="AB45" s="1082">
        <f t="shared" si="4"/>
        <v>1</v>
      </c>
      <c r="AC45" s="1386">
        <f t="shared" si="5"/>
        <v>1</v>
      </c>
    </row>
    <row r="46" spans="1:29" ht="15">
      <c r="A46" s="947"/>
      <c r="B46" s="1133">
        <v>111</v>
      </c>
      <c r="C46" s="907"/>
      <c r="D46" s="765">
        <v>100</v>
      </c>
      <c r="E46" s="897"/>
      <c r="F46" s="1053">
        <f>SUMIF(129:129,E46,130:130)-SUMIF(129:129,C46,130:130)+100</f>
        <v>100</v>
      </c>
      <c r="G46" s="897"/>
      <c r="H46" s="765">
        <f>SUMIF(129:129,G46,130:130)-SUMIF(129:129,C46,130:130)+100</f>
        <v>100</v>
      </c>
      <c r="I46" s="897"/>
      <c r="J46" s="765">
        <f>SUMIF(129:129,I46,130:130)-SUMIF(129:129,C46,130:130)+100</f>
        <v>100</v>
      </c>
      <c r="K46" s="1043"/>
      <c r="L46" s="1037"/>
      <c r="M46" s="971"/>
      <c r="N46" s="971"/>
      <c r="O46" s="971"/>
      <c r="P46" s="3369"/>
      <c r="Q46" s="641">
        <f t="shared" si="11"/>
        <v>111</v>
      </c>
      <c r="R46" s="1074" t="s">
        <v>956</v>
      </c>
      <c r="S46" s="1075">
        <f t="shared" si="12"/>
        <v>100</v>
      </c>
      <c r="T46" s="1074" t="s">
        <v>956</v>
      </c>
      <c r="U46" s="1075">
        <f t="shared" si="13"/>
        <v>100</v>
      </c>
      <c r="V46" s="1074" t="s">
        <v>956</v>
      </c>
      <c r="W46" s="1075">
        <f t="shared" si="14"/>
        <v>100</v>
      </c>
      <c r="X46" s="1069"/>
      <c r="Y46" s="3335"/>
      <c r="Z46" s="1058">
        <f t="shared" si="15"/>
        <v>111</v>
      </c>
      <c r="AA46" s="1058">
        <f t="shared" si="3"/>
        <v>1</v>
      </c>
      <c r="AB46" s="1058">
        <f t="shared" si="4"/>
        <v>1</v>
      </c>
      <c r="AC46" s="1387">
        <f t="shared" si="5"/>
        <v>1</v>
      </c>
    </row>
    <row r="47" spans="1:29" ht="15">
      <c r="A47" s="1224"/>
      <c r="B47" s="909">
        <v>111</v>
      </c>
      <c r="C47" s="910"/>
      <c r="D47" s="911">
        <v>100</v>
      </c>
      <c r="E47" s="897"/>
      <c r="F47" s="1225">
        <f>SUMIF(131:131,E47,132:132)-SUMIF(131:131,C47,132:132)+100</f>
        <v>100</v>
      </c>
      <c r="G47" s="897"/>
      <c r="H47" s="911">
        <f>SUMIF(131:131,G47,132:132)-SUMIF(131:131,C47,132:132)+100</f>
        <v>100</v>
      </c>
      <c r="I47" s="897"/>
      <c r="J47" s="911">
        <f>SUMIF(131:131,I47,132:132)-SUMIF(131:131,C47,132:132)+100</f>
        <v>100</v>
      </c>
      <c r="K47" s="1043"/>
      <c r="L47" s="1037"/>
      <c r="M47" s="971"/>
      <c r="N47" s="971"/>
      <c r="O47" s="971"/>
      <c r="P47" s="3370"/>
      <c r="Q47" s="641">
        <f t="shared" si="11"/>
        <v>111</v>
      </c>
      <c r="R47" s="1074" t="s">
        <v>956</v>
      </c>
      <c r="S47" s="1075">
        <f t="shared" si="12"/>
        <v>100</v>
      </c>
      <c r="T47" s="1074" t="s">
        <v>956</v>
      </c>
      <c r="U47" s="1075">
        <f t="shared" si="13"/>
        <v>100</v>
      </c>
      <c r="V47" s="1074" t="s">
        <v>956</v>
      </c>
      <c r="W47" s="1075">
        <f t="shared" si="14"/>
        <v>100</v>
      </c>
      <c r="X47" s="1069"/>
      <c r="Y47" s="3371"/>
      <c r="Z47" s="1058">
        <f t="shared" si="15"/>
        <v>111</v>
      </c>
      <c r="AA47" s="1058">
        <f t="shared" si="3"/>
        <v>1</v>
      </c>
      <c r="AB47" s="1058">
        <f t="shared" si="4"/>
        <v>1</v>
      </c>
      <c r="AC47" s="1387">
        <f t="shared" si="5"/>
        <v>1</v>
      </c>
    </row>
    <row r="48" spans="1:29" ht="15">
      <c r="A48" s="954" t="s">
        <v>1577</v>
      </c>
      <c r="B48" s="1226"/>
      <c r="C48" s="1227" t="s">
        <v>124</v>
      </c>
      <c r="D48" s="957"/>
      <c r="E48" s="958"/>
      <c r="F48" s="959"/>
      <c r="G48" s="960"/>
      <c r="H48" s="961"/>
      <c r="I48" s="958"/>
      <c r="J48" s="961"/>
      <c r="K48" s="1049"/>
      <c r="L48" s="1050"/>
      <c r="M48" s="971"/>
      <c r="N48" s="971"/>
      <c r="O48" s="971"/>
      <c r="P48" s="3340" t="str">
        <f>A48</f>
        <v>成交单价（元/平方米）</v>
      </c>
      <c r="Q48" s="3330"/>
      <c r="R48" s="3331">
        <f>E48</f>
        <v>0</v>
      </c>
      <c r="S48" s="3331"/>
      <c r="T48" s="3331">
        <f>G48</f>
        <v>0</v>
      </c>
      <c r="U48" s="3331"/>
      <c r="V48" s="3331">
        <f>I48</f>
        <v>0</v>
      </c>
      <c r="W48" s="3331"/>
      <c r="X48" s="1011"/>
      <c r="Y48" s="1084"/>
      <c r="Z48" s="1011"/>
      <c r="AA48" s="1011"/>
      <c r="AB48" s="1011"/>
      <c r="AC48" s="917"/>
    </row>
    <row r="49" spans="1:29" ht="15">
      <c r="A49" s="962" t="s">
        <v>993</v>
      </c>
      <c r="B49" s="1228"/>
      <c r="C49" s="1229" t="e">
        <f>R50</f>
        <v>#DIV/0!</v>
      </c>
      <c r="D49" s="965" t="s">
        <v>994</v>
      </c>
      <c r="E49" s="1230" t="e">
        <f>R49</f>
        <v>#DIV/0!</v>
      </c>
      <c r="F49" s="966"/>
      <c r="G49" s="1229" t="e">
        <f>T49</f>
        <v>#DIV/0!</v>
      </c>
      <c r="H49" s="966"/>
      <c r="I49" s="1230" t="e">
        <f>V49</f>
        <v>#DIV/0!</v>
      </c>
      <c r="J49" s="966"/>
      <c r="K49" s="1051">
        <f>F49+H49+J49</f>
        <v>0</v>
      </c>
      <c r="L49" s="1050"/>
      <c r="M49" s="971"/>
      <c r="N49" s="971"/>
      <c r="O49" s="971"/>
      <c r="P49" s="3340" t="str">
        <f>A49</f>
        <v>比较价值（元/平方米）</v>
      </c>
      <c r="Q49" s="3330"/>
      <c r="R49" s="3331" t="e">
        <f>IF(F1="售价",ROUND(PRODUCT(R48,AA7:AA47),0),ROUND(PRODUCT(R48,AA7:AA47),1))</f>
        <v>#DIV/0!</v>
      </c>
      <c r="S49" s="3331"/>
      <c r="T49" s="3331" t="e">
        <f>IF(F1="售价",ROUND(PRODUCT(T48,AB7:AB47),0),ROUND(PRODUCT(T48,AB7:AB47),1))</f>
        <v>#DIV/0!</v>
      </c>
      <c r="U49" s="3331"/>
      <c r="V49" s="3331" t="e">
        <f>IF(F1="售价",ROUND(PRODUCT(V48,AC7:AC47),0),ROUND(PRODUCT(V48,AC7:AC47),1))</f>
        <v>#DIV/0!</v>
      </c>
      <c r="W49" s="3331"/>
      <c r="X49" s="1011"/>
      <c r="Y49" s="1011"/>
      <c r="Z49" s="1011"/>
      <c r="AA49" s="1011"/>
      <c r="AB49" s="1011"/>
      <c r="AC49" s="917"/>
    </row>
    <row r="50" spans="1:29" ht="15">
      <c r="A50" s="968" t="s">
        <v>1578</v>
      </c>
      <c r="B50" s="969"/>
      <c r="C50" s="881" t="e">
        <f>R50</f>
        <v>#DIV/0!</v>
      </c>
      <c r="D50" s="881"/>
      <c r="E50" s="881"/>
      <c r="F50" s="881"/>
      <c r="G50" s="881"/>
      <c r="H50" s="881"/>
      <c r="I50" s="881"/>
      <c r="J50" s="970"/>
      <c r="K50" s="1052"/>
      <c r="L50" s="1050"/>
      <c r="M50" s="971"/>
      <c r="N50" s="971"/>
      <c r="O50" s="971"/>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1385"/>
      <c r="Y50" s="1385"/>
      <c r="Z50" s="1385"/>
      <c r="AA50" s="1385"/>
      <c r="AB50" s="1385"/>
      <c r="AC50" s="1388"/>
    </row>
    <row r="51" spans="1:29">
      <c r="A51" s="971"/>
      <c r="B51" s="971"/>
      <c r="C51" s="971"/>
      <c r="D51" s="971"/>
      <c r="E51" s="971"/>
      <c r="F51" s="971"/>
      <c r="G51" s="972"/>
      <c r="H51" s="971"/>
      <c r="I51" s="971"/>
      <c r="J51" s="971"/>
      <c r="K51" s="1054"/>
      <c r="L51" s="1055"/>
      <c r="M51" s="971"/>
      <c r="N51" s="971"/>
      <c r="O51" s="971"/>
      <c r="P51" s="1304"/>
      <c r="Q51" s="971"/>
      <c r="R51" s="971"/>
      <c r="S51" s="971"/>
      <c r="T51" s="971"/>
      <c r="U51" s="971"/>
      <c r="V51" s="971"/>
      <c r="W51" s="971"/>
      <c r="X51" s="971"/>
      <c r="Y51" s="971"/>
      <c r="Z51" s="971"/>
      <c r="AA51" s="971"/>
      <c r="AB51" s="971"/>
      <c r="AC51" s="971"/>
    </row>
    <row r="52" spans="1:29">
      <c r="A52" s="971"/>
      <c r="B52" s="971"/>
      <c r="C52" s="971"/>
      <c r="D52" s="971"/>
      <c r="E52" s="971"/>
      <c r="F52" s="971"/>
      <c r="G52" s="971"/>
      <c r="H52" s="971"/>
      <c r="I52" s="971"/>
      <c r="J52" s="971"/>
      <c r="K52" s="1054"/>
      <c r="L52" s="1055"/>
      <c r="M52" s="971"/>
      <c r="N52" s="971"/>
      <c r="O52" s="971"/>
      <c r="P52" s="1304"/>
      <c r="Q52" s="971"/>
      <c r="R52" s="971"/>
      <c r="S52" s="971"/>
      <c r="T52" s="971"/>
      <c r="U52" s="971"/>
      <c r="V52" s="971"/>
      <c r="W52" s="971"/>
      <c r="X52" s="971"/>
      <c r="Y52" s="971"/>
      <c r="Z52" s="971"/>
      <c r="AA52" s="971"/>
      <c r="AB52" s="971"/>
      <c r="AC52" s="971"/>
    </row>
    <row r="53" spans="1:29" ht="13.5" customHeight="1">
      <c r="A53" s="971"/>
      <c r="B53" s="971"/>
      <c r="C53" s="973" t="s">
        <v>996</v>
      </c>
      <c r="D53" s="683"/>
      <c r="E53" s="974" t="e">
        <f>IF(E48&lt;E49,E49/E48-1,E48/E49-1)</f>
        <v>#DIV/0!</v>
      </c>
      <c r="F53" s="975" t="e">
        <f>IF(OR(E53&gt;=0.3,E53&lt;=-0.3),"超过30%","")</f>
        <v>#DIV/0!</v>
      </c>
      <c r="G53" s="974" t="e">
        <f>IF(G48&lt;G49,G49/G48-1,G48/G49-1)</f>
        <v>#DIV/0!</v>
      </c>
      <c r="H53" s="975" t="e">
        <f>IF(OR(G53&gt;=0.3,G53&lt;=-0.3),"超过30%","")</f>
        <v>#DIV/0!</v>
      </c>
      <c r="I53" s="974" t="e">
        <f>IF(I48&lt;I49,I49/I48-1,I48/I49-1)</f>
        <v>#DIV/0!</v>
      </c>
      <c r="J53" s="975" t="e">
        <f>IF(OR(I53&gt;=0.3,I53&lt;=-0.3),"超过30%","")</f>
        <v>#DIV/0!</v>
      </c>
      <c r="K53" s="1054"/>
      <c r="L53" s="1055"/>
      <c r="M53" s="971"/>
      <c r="N53" s="971"/>
      <c r="O53" s="971"/>
      <c r="P53" s="1304"/>
      <c r="Q53" s="971"/>
      <c r="R53" s="971"/>
      <c r="S53" s="971"/>
      <c r="T53" s="971"/>
      <c r="U53" s="971"/>
      <c r="V53" s="971"/>
      <c r="W53" s="971"/>
      <c r="X53" s="971"/>
      <c r="Y53" s="971"/>
      <c r="Z53" s="971"/>
      <c r="AA53" s="971"/>
      <c r="AB53" s="971"/>
      <c r="AC53" s="971"/>
    </row>
    <row r="54" spans="1:29" ht="13.5" customHeight="1">
      <c r="A54" s="971"/>
      <c r="B54" s="971"/>
      <c r="C54" s="973" t="s">
        <v>997</v>
      </c>
      <c r="D54" s="682"/>
      <c r="E54" s="974" t="e">
        <f>IF(E49&lt;G49,G49/E49-1,E49/G49-1)</f>
        <v>#DIV/0!</v>
      </c>
      <c r="F54" s="975" t="e">
        <f>IF(OR(E54&gt;=0.2,E54&lt;=-0.2),"超过20%","")</f>
        <v>#DIV/0!</v>
      </c>
      <c r="G54" s="974" t="e">
        <f>IF(G49&lt;I49,I49/G49-1,G49/I49-1)</f>
        <v>#DIV/0!</v>
      </c>
      <c r="H54" s="975" t="e">
        <f>IF(OR(G54&gt;=0.2,G54&lt;=-0.2),"超过20%","")</f>
        <v>#DIV/0!</v>
      </c>
      <c r="I54" s="974" t="e">
        <f>IF(I49&lt;E49,E49/I49-1,I49/E49-1)</f>
        <v>#DIV/0!</v>
      </c>
      <c r="J54" s="975" t="e">
        <f>IF(OR(I54&gt;=0.2,I54&lt;=-0.2),"超过20%","")</f>
        <v>#DIV/0!</v>
      </c>
      <c r="K54" s="1054"/>
      <c r="L54" s="1055"/>
      <c r="M54" s="971"/>
      <c r="N54" s="971"/>
      <c r="O54" s="971"/>
      <c r="P54" s="1304"/>
      <c r="Q54" s="971"/>
      <c r="R54" s="971"/>
      <c r="S54" s="971"/>
      <c r="T54" s="971"/>
      <c r="U54" s="971"/>
      <c r="V54" s="971"/>
      <c r="W54" s="971"/>
      <c r="X54" s="971"/>
      <c r="Y54" s="971"/>
      <c r="Z54" s="971"/>
      <c r="AA54" s="971"/>
      <c r="AB54" s="971"/>
      <c r="AC54" s="971"/>
    </row>
    <row r="55" spans="1:29" s="858" customFormat="1" ht="13.5" customHeight="1">
      <c r="A55" s="976"/>
      <c r="B55" s="976"/>
      <c r="C55" s="973" t="s">
        <v>998</v>
      </c>
      <c r="D55" s="682"/>
      <c r="E55" s="974" t="e">
        <f>IF(E48&lt;G48,G48/E48-1,E48/G48-1)</f>
        <v>#DIV/0!</v>
      </c>
      <c r="F55" s="975" t="e">
        <f>IF(OR(E55&gt;=0.3,E55&lt;=-0.3),"超过30%","")</f>
        <v>#DIV/0!</v>
      </c>
      <c r="G55" s="974" t="e">
        <f>IF(G48&lt;I48,I48/G48-1,G48/I48-1)</f>
        <v>#DIV/0!</v>
      </c>
      <c r="H55" s="975" t="e">
        <f>IF(OR(G55&gt;=0.3,G55&lt;=-0.3),"超过30%","")</f>
        <v>#DIV/0!</v>
      </c>
      <c r="I55" s="974" t="e">
        <f>IF(I48&lt;E48,E48/I48-1,I48/E48-1)</f>
        <v>#DIV/0!</v>
      </c>
      <c r="J55" s="975" t="e">
        <f>IF(OR(I55&gt;=0.3,I55&lt;=-0.3),"超过30%","")</f>
        <v>#DIV/0!</v>
      </c>
      <c r="K55" s="1056"/>
      <c r="L55" s="1057"/>
      <c r="M55" s="976"/>
      <c r="N55" s="976"/>
      <c r="O55" s="976"/>
      <c r="P55" s="1305"/>
      <c r="Q55" s="976"/>
      <c r="R55" s="976"/>
      <c r="S55" s="976"/>
      <c r="T55" s="976"/>
      <c r="U55" s="976"/>
      <c r="V55" s="976"/>
      <c r="W55" s="976"/>
      <c r="X55" s="976"/>
      <c r="Y55" s="976"/>
      <c r="Z55" s="976"/>
      <c r="AA55" s="976"/>
      <c r="AB55" s="976"/>
      <c r="AC55" s="976"/>
    </row>
    <row r="56" spans="1:29" s="858" customFormat="1">
      <c r="A56" s="976"/>
      <c r="B56" s="977"/>
      <c r="C56" s="1231"/>
      <c r="D56" s="976"/>
      <c r="E56" s="976"/>
      <c r="F56" s="976"/>
      <c r="G56" s="976"/>
      <c r="H56" s="976"/>
      <c r="I56" s="976"/>
      <c r="J56" s="976"/>
      <c r="K56" s="1056"/>
      <c r="L56" s="1057"/>
      <c r="M56" s="976"/>
      <c r="N56" s="976"/>
      <c r="O56" s="976"/>
      <c r="P56" s="1305"/>
      <c r="Q56" s="976"/>
      <c r="R56" s="976"/>
      <c r="S56" s="976"/>
      <c r="T56" s="976"/>
      <c r="U56" s="976"/>
      <c r="V56" s="976"/>
      <c r="W56" s="976"/>
      <c r="X56" s="976"/>
      <c r="Y56" s="976"/>
      <c r="Z56" s="976"/>
      <c r="AA56" s="976"/>
      <c r="AB56" s="976"/>
      <c r="AC56" s="976"/>
    </row>
    <row r="57" spans="1:29">
      <c r="A57" s="971"/>
      <c r="B57" s="977"/>
      <c r="C57" s="1231"/>
      <c r="D57" s="971"/>
      <c r="E57" s="971"/>
      <c r="F57" s="971"/>
      <c r="G57" s="971"/>
      <c r="H57" s="971"/>
      <c r="I57" s="971"/>
      <c r="J57" s="971"/>
      <c r="K57" s="1054"/>
      <c r="L57" s="1055"/>
      <c r="M57" s="971"/>
      <c r="N57" s="971"/>
      <c r="O57" s="971"/>
      <c r="P57" s="1304"/>
      <c r="Q57" s="971"/>
      <c r="R57" s="971"/>
      <c r="S57" s="971"/>
      <c r="T57" s="971"/>
      <c r="U57" s="971"/>
      <c r="V57" s="971"/>
      <c r="W57" s="971"/>
      <c r="X57" s="971"/>
      <c r="Y57" s="971"/>
      <c r="Z57" s="971"/>
      <c r="AA57" s="971"/>
      <c r="AB57" s="971"/>
      <c r="AC57" s="971"/>
    </row>
    <row r="58" spans="1:29" ht="21">
      <c r="A58" s="1010" t="s">
        <v>1023</v>
      </c>
      <c r="B58" s="1011"/>
      <c r="C58" s="1012"/>
      <c r="D58" s="1012"/>
      <c r="E58" s="1012"/>
      <c r="F58" s="1013"/>
      <c r="G58" s="1013"/>
      <c r="H58" s="1012"/>
      <c r="I58" s="1012"/>
      <c r="J58" s="1012"/>
      <c r="K58" s="1064"/>
      <c r="L58" s="1307"/>
      <c r="M58" s="1066"/>
      <c r="N58" s="1067"/>
      <c r="O58" s="1067"/>
      <c r="P58" s="1308"/>
      <c r="Q58" s="1079"/>
      <c r="R58" s="971"/>
      <c r="S58" s="971"/>
      <c r="T58" s="971"/>
      <c r="U58" s="971"/>
      <c r="V58" s="971"/>
      <c r="W58" s="971"/>
      <c r="X58" s="971"/>
      <c r="Y58" s="971"/>
      <c r="Z58" s="971"/>
      <c r="AA58" s="971"/>
      <c r="AB58" s="971"/>
      <c r="AC58" s="971"/>
    </row>
    <row r="59" spans="1:29" s="860" customFormat="1" ht="15">
      <c r="A59" s="1232" t="s">
        <v>954</v>
      </c>
      <c r="B59" s="1233"/>
      <c r="C59" s="1234" t="str">
        <f>YEAR(C7)&amp;"-"&amp;MONTH(C7)</f>
        <v>2024-7</v>
      </c>
      <c r="D59" s="1235">
        <f>EDATE(C59,-1)</f>
        <v>45444</v>
      </c>
      <c r="E59" s="1235">
        <f>EDATE(D59,-1)</f>
        <v>45413</v>
      </c>
      <c r="F59" s="1235">
        <f t="shared" ref="F59:O59" si="16">EDATE(E59,-1)</f>
        <v>45383</v>
      </c>
      <c r="G59" s="1235">
        <f t="shared" si="16"/>
        <v>45352</v>
      </c>
      <c r="H59" s="1235">
        <f t="shared" si="16"/>
        <v>45323</v>
      </c>
      <c r="I59" s="1235">
        <f t="shared" si="16"/>
        <v>45292</v>
      </c>
      <c r="J59" s="1235">
        <f t="shared" si="16"/>
        <v>45261</v>
      </c>
      <c r="K59" s="1235">
        <f t="shared" si="16"/>
        <v>45231</v>
      </c>
      <c r="L59" s="1235">
        <f t="shared" si="16"/>
        <v>45200</v>
      </c>
      <c r="M59" s="1235">
        <f t="shared" si="16"/>
        <v>45170</v>
      </c>
      <c r="N59" s="1235">
        <f t="shared" si="16"/>
        <v>45139</v>
      </c>
      <c r="O59" s="1235">
        <f t="shared" si="16"/>
        <v>45108</v>
      </c>
      <c r="P59" s="1309"/>
      <c r="Q59" s="1132"/>
      <c r="R59" s="1132"/>
      <c r="S59" s="1132"/>
      <c r="T59" s="1132"/>
      <c r="U59" s="1132"/>
      <c r="V59" s="1132"/>
      <c r="W59" s="1132"/>
      <c r="X59" s="1132"/>
      <c r="Y59" s="1132"/>
      <c r="Z59" s="1132"/>
      <c r="AA59" s="1132"/>
      <c r="AB59" s="1132"/>
      <c r="AC59" s="1132"/>
    </row>
    <row r="60" spans="1:29" s="855" customFormat="1" ht="15">
      <c r="A60" s="928"/>
      <c r="B60" s="1096"/>
      <c r="C60" s="1236">
        <v>100</v>
      </c>
      <c r="D60" s="1100"/>
      <c r="E60" s="1100"/>
      <c r="F60" s="1100"/>
      <c r="G60" s="1100"/>
      <c r="H60" s="1100"/>
      <c r="I60" s="1100"/>
      <c r="J60" s="1100"/>
      <c r="K60" s="1100"/>
      <c r="L60" s="1100"/>
      <c r="M60" s="903"/>
      <c r="N60" s="1100"/>
      <c r="O60" s="903"/>
      <c r="P60" s="1310"/>
      <c r="Q60" s="1027"/>
      <c r="R60" s="1027"/>
      <c r="S60" s="1027"/>
      <c r="T60" s="1027"/>
      <c r="U60" s="1027"/>
      <c r="V60" s="1027"/>
      <c r="W60" s="1027"/>
      <c r="X60" s="1027"/>
      <c r="Y60" s="1027"/>
      <c r="Z60" s="1027"/>
      <c r="AA60" s="1027"/>
      <c r="AB60" s="1027"/>
      <c r="AC60" s="1027"/>
    </row>
    <row r="61" spans="1:29" s="855" customFormat="1" ht="15">
      <c r="A61" s="1091" t="s">
        <v>1026</v>
      </c>
      <c r="B61" s="1092"/>
      <c r="C61" s="1093"/>
      <c r="D61" s="1094"/>
      <c r="E61" s="1094"/>
      <c r="F61" s="1094"/>
      <c r="G61" s="1094"/>
      <c r="H61" s="1094"/>
      <c r="I61" s="1094"/>
      <c r="J61" s="1094"/>
      <c r="K61" s="1094"/>
      <c r="L61" s="1094"/>
      <c r="M61" s="1134"/>
      <c r="N61" s="1094"/>
      <c r="O61" s="1134"/>
      <c r="P61" s="1310"/>
      <c r="Q61" s="1079"/>
      <c r="R61" s="1027"/>
      <c r="S61" s="1027"/>
      <c r="T61" s="1027"/>
      <c r="U61" s="1027"/>
      <c r="V61" s="1027"/>
      <c r="W61" s="1027"/>
      <c r="X61" s="1027"/>
      <c r="Y61" s="1027"/>
      <c r="Z61" s="1027"/>
      <c r="AA61" s="1027"/>
      <c r="AB61" s="1027"/>
      <c r="AC61" s="1027"/>
    </row>
    <row r="62" spans="1:29" s="855" customFormat="1" ht="15">
      <c r="A62" s="1095" t="s">
        <v>957</v>
      </c>
      <c r="B62" s="1096"/>
      <c r="C62" s="1097" t="s">
        <v>958</v>
      </c>
      <c r="D62" s="1098"/>
      <c r="E62" s="1098"/>
      <c r="F62" s="1098"/>
      <c r="G62" s="1098"/>
      <c r="H62" s="1098"/>
      <c r="I62" s="1098"/>
      <c r="J62" s="1098"/>
      <c r="K62" s="1098"/>
      <c r="L62" s="1136"/>
      <c r="M62" s="1137"/>
      <c r="N62" s="1138"/>
      <c r="O62" s="1138"/>
      <c r="P62" s="1311"/>
      <c r="Q62" s="1079"/>
      <c r="R62" s="1027"/>
      <c r="S62" s="1027"/>
      <c r="T62" s="1027"/>
      <c r="U62" s="1027"/>
      <c r="V62" s="1027"/>
      <c r="W62" s="1027"/>
      <c r="X62" s="1027"/>
      <c r="Y62" s="1027"/>
      <c r="Z62" s="1027"/>
      <c r="AA62" s="1027"/>
      <c r="AB62" s="1027"/>
      <c r="AC62" s="1027"/>
    </row>
    <row r="63" spans="1:29" s="855" customFormat="1" ht="15">
      <c r="A63" s="1095"/>
      <c r="B63" s="1096"/>
      <c r="C63" s="1383">
        <v>100</v>
      </c>
      <c r="D63" s="1100"/>
      <c r="E63" s="1100"/>
      <c r="F63" s="1100"/>
      <c r="G63" s="1100"/>
      <c r="H63" s="1100"/>
      <c r="I63" s="1100"/>
      <c r="J63" s="1100"/>
      <c r="K63" s="1100"/>
      <c r="L63" s="1100"/>
      <c r="M63" s="1139"/>
      <c r="N63" s="1138"/>
      <c r="O63" s="1138"/>
      <c r="P63" s="1310"/>
      <c r="Q63" s="1079"/>
      <c r="R63" s="1027"/>
      <c r="S63" s="1027"/>
      <c r="T63" s="1027"/>
      <c r="U63" s="1027"/>
      <c r="V63" s="1027"/>
      <c r="W63" s="1027"/>
      <c r="X63" s="1027"/>
      <c r="Y63" s="1027"/>
      <c r="Z63" s="1027"/>
      <c r="AA63" s="1027"/>
      <c r="AB63" s="1027"/>
      <c r="AC63" s="1027"/>
    </row>
    <row r="64" spans="1:29">
      <c r="A64" s="912" t="s">
        <v>1027</v>
      </c>
      <c r="B64" s="1101" t="s">
        <v>961</v>
      </c>
      <c r="C64" s="637">
        <f>C9</f>
        <v>0</v>
      </c>
      <c r="D64" s="1047"/>
      <c r="E64" s="1047"/>
      <c r="F64" s="1047"/>
      <c r="G64" s="1047"/>
      <c r="H64" s="1047"/>
      <c r="I64" s="1047"/>
      <c r="J64" s="1047"/>
      <c r="K64" s="1140"/>
      <c r="L64" s="1141"/>
      <c r="M64" s="1142"/>
      <c r="N64" s="1143"/>
      <c r="O64" s="1143"/>
      <c r="P64" s="1312"/>
      <c r="Q64" s="1079"/>
      <c r="R64" s="971"/>
      <c r="S64" s="971"/>
      <c r="T64" s="971"/>
      <c r="U64" s="971"/>
      <c r="V64" s="971"/>
      <c r="W64" s="971"/>
      <c r="X64" s="971"/>
      <c r="Y64" s="971"/>
      <c r="Z64" s="971"/>
      <c r="AA64" s="971"/>
      <c r="AB64" s="971"/>
      <c r="AC64" s="971"/>
    </row>
    <row r="65" spans="1:29" ht="15">
      <c r="A65" s="899"/>
      <c r="B65" s="1102"/>
      <c r="C65" s="1103">
        <v>100</v>
      </c>
      <c r="D65" s="1103"/>
      <c r="E65" s="1103"/>
      <c r="F65" s="1103"/>
      <c r="G65" s="1103"/>
      <c r="H65" s="1103"/>
      <c r="I65" s="1103"/>
      <c r="J65" s="1103"/>
      <c r="K65" s="1103"/>
      <c r="L65" s="1103"/>
      <c r="M65" s="1144"/>
      <c r="N65" s="1145"/>
      <c r="O65" s="1145"/>
      <c r="P65" s="1312"/>
      <c r="Q65" s="1079"/>
      <c r="R65" s="971"/>
      <c r="S65" s="971"/>
      <c r="T65" s="971"/>
      <c r="U65" s="971"/>
      <c r="V65" s="971"/>
      <c r="W65" s="971"/>
      <c r="X65" s="971"/>
      <c r="Y65" s="971"/>
      <c r="Z65" s="971"/>
      <c r="AA65" s="971"/>
      <c r="AB65" s="971"/>
      <c r="AC65" s="971"/>
    </row>
    <row r="66" spans="1:29" ht="27">
      <c r="A66" s="899"/>
      <c r="B66" s="1104" t="s">
        <v>964</v>
      </c>
      <c r="C66" s="1105" t="s">
        <v>1579</v>
      </c>
      <c r="D66" s="1105" t="s">
        <v>1580</v>
      </c>
      <c r="E66" s="1105" t="s">
        <v>1581</v>
      </c>
      <c r="F66" s="1105" t="s">
        <v>1582</v>
      </c>
      <c r="G66" s="1105" t="s">
        <v>1583</v>
      </c>
      <c r="H66" s="1105" t="s">
        <v>1584</v>
      </c>
      <c r="I66" s="1105" t="s">
        <v>1585</v>
      </c>
      <c r="J66" s="1105"/>
      <c r="K66" s="1146"/>
      <c r="L66" s="1147"/>
      <c r="M66" s="1148"/>
      <c r="N66" s="1143"/>
      <c r="O66" s="1143"/>
      <c r="P66" s="1312"/>
      <c r="Q66" s="1079"/>
      <c r="R66" s="971"/>
      <c r="S66" s="971"/>
      <c r="T66" s="971"/>
      <c r="U66" s="971"/>
      <c r="V66" s="971"/>
      <c r="W66" s="971"/>
      <c r="X66" s="971"/>
      <c r="Y66" s="971"/>
      <c r="Z66" s="971"/>
      <c r="AA66" s="971"/>
      <c r="AB66" s="971"/>
      <c r="AC66" s="971"/>
    </row>
    <row r="67" spans="1:29" ht="15">
      <c r="A67" s="899"/>
      <c r="B67" s="1106"/>
      <c r="C67" s="1107" t="s">
        <v>1022</v>
      </c>
      <c r="D67" s="1107" t="s">
        <v>1022</v>
      </c>
      <c r="E67" s="1107">
        <v>100</v>
      </c>
      <c r="F67" s="1107">
        <f>E67-$K10</f>
        <v>100</v>
      </c>
      <c r="G67" s="1107">
        <f>F67-$K10</f>
        <v>100</v>
      </c>
      <c r="H67" s="1107">
        <f>G67-$K10</f>
        <v>100</v>
      </c>
      <c r="I67" s="1107">
        <f>H67-$K10</f>
        <v>100</v>
      </c>
      <c r="J67" s="1107"/>
      <c r="K67" s="1107"/>
      <c r="L67" s="1107"/>
      <c r="M67" s="1149"/>
      <c r="N67" s="1145"/>
      <c r="O67" s="1145"/>
      <c r="P67" s="1312"/>
      <c r="Q67" s="1079"/>
      <c r="R67" s="971"/>
      <c r="S67" s="971"/>
      <c r="T67" s="971"/>
      <c r="U67" s="971"/>
      <c r="V67" s="971"/>
      <c r="W67" s="971"/>
      <c r="X67" s="971"/>
      <c r="Y67" s="971"/>
      <c r="Z67" s="971"/>
      <c r="AA67" s="971"/>
      <c r="AB67" s="971"/>
      <c r="AC67" s="971"/>
    </row>
    <row r="68" spans="1:29" ht="15">
      <c r="A68" s="899"/>
      <c r="B68" s="1108" t="s">
        <v>965</v>
      </c>
      <c r="C68" s="1109" t="str">
        <f>C69&amp;"（含）"&amp;"-"&amp;D69</f>
        <v>（含）-</v>
      </c>
      <c r="D68" s="1109" t="str">
        <f t="shared" ref="D68:L68" si="17">D69&amp;"（含）"&amp;"-"&amp;E69</f>
        <v>（含）-</v>
      </c>
      <c r="E68" s="1109" t="str">
        <f t="shared" si="17"/>
        <v>（含）-</v>
      </c>
      <c r="F68" s="1109" t="str">
        <f t="shared" si="17"/>
        <v>（含）-</v>
      </c>
      <c r="G68" s="1109" t="str">
        <f t="shared" si="17"/>
        <v>（含）-</v>
      </c>
      <c r="H68" s="1109" t="str">
        <f t="shared" si="17"/>
        <v>（含）-</v>
      </c>
      <c r="I68" s="1109" t="str">
        <f t="shared" si="17"/>
        <v>（含）-</v>
      </c>
      <c r="J68" s="1109" t="str">
        <f t="shared" si="17"/>
        <v>（含）-</v>
      </c>
      <c r="K68" s="1109" t="str">
        <f t="shared" si="17"/>
        <v>（含）-</v>
      </c>
      <c r="L68" s="1109" t="str">
        <f t="shared" si="17"/>
        <v>（含）-</v>
      </c>
      <c r="M68" s="919" t="str">
        <f>M69&amp;"（含）"&amp;"-"&amp;P69</f>
        <v>（含）-</v>
      </c>
      <c r="N68" s="1145"/>
      <c r="O68" s="1145"/>
      <c r="P68" s="1312"/>
      <c r="Q68" s="1079"/>
      <c r="R68" s="971"/>
      <c r="S68" s="971"/>
      <c r="T68" s="971"/>
      <c r="U68" s="971"/>
      <c r="V68" s="971"/>
      <c r="W68" s="971"/>
      <c r="X68" s="971"/>
      <c r="Y68" s="971"/>
      <c r="Z68" s="971"/>
      <c r="AA68" s="971"/>
      <c r="AB68" s="971"/>
      <c r="AC68" s="971"/>
    </row>
    <row r="69" spans="1:29" ht="15">
      <c r="A69" s="899"/>
      <c r="B69" s="1110"/>
      <c r="C69" s="905"/>
      <c r="D69" s="905"/>
      <c r="E69" s="905"/>
      <c r="F69" s="905"/>
      <c r="G69" s="905"/>
      <c r="H69" s="905"/>
      <c r="I69" s="905"/>
      <c r="J69" s="905"/>
      <c r="K69" s="1150"/>
      <c r="L69" s="1151"/>
      <c r="M69" s="1152"/>
      <c r="N69" s="1143"/>
      <c r="O69" s="1143"/>
      <c r="P69" s="1312"/>
      <c r="Q69" s="1079"/>
      <c r="R69" s="971"/>
      <c r="S69" s="971"/>
      <c r="T69" s="971"/>
      <c r="U69" s="971"/>
      <c r="V69" s="971"/>
      <c r="W69" s="971"/>
      <c r="X69" s="971"/>
      <c r="Y69" s="971"/>
      <c r="Z69" s="971"/>
      <c r="AA69" s="971"/>
      <c r="AB69" s="971"/>
      <c r="AC69" s="971"/>
    </row>
    <row r="70" spans="1:29" ht="15">
      <c r="A70" s="899"/>
      <c r="B70" s="1102"/>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49">
        <f t="shared" si="18"/>
        <v>100</v>
      </c>
      <c r="N70" s="1145"/>
      <c r="O70" s="1145"/>
      <c r="P70" s="1312"/>
      <c r="Q70" s="1079"/>
      <c r="R70" s="971"/>
      <c r="S70" s="971"/>
      <c r="T70" s="971"/>
      <c r="U70" s="971"/>
      <c r="V70" s="971"/>
      <c r="W70" s="971"/>
      <c r="X70" s="971"/>
      <c r="Y70" s="971"/>
      <c r="Z70" s="971"/>
      <c r="AA70" s="971"/>
      <c r="AB70" s="971"/>
      <c r="AC70" s="971"/>
    </row>
    <row r="71" spans="1:29" s="857" customFormat="1" ht="15">
      <c r="A71" s="1111"/>
      <c r="B71" s="1104">
        <f>B12</f>
        <v>111</v>
      </c>
      <c r="C71" s="1112"/>
      <c r="D71" s="1112"/>
      <c r="E71" s="1112"/>
      <c r="F71" s="1112"/>
      <c r="G71" s="1112"/>
      <c r="H71" s="1113"/>
      <c r="I71" s="1113"/>
      <c r="J71" s="1113"/>
      <c r="K71" s="1113"/>
      <c r="L71" s="1153"/>
      <c r="M71" s="1154"/>
      <c r="N71" s="1155"/>
      <c r="O71" s="1155"/>
      <c r="P71" s="1313"/>
      <c r="Q71" s="1183"/>
      <c r="R71" s="1045"/>
      <c r="S71" s="1045"/>
      <c r="T71" s="1045"/>
      <c r="U71" s="1045"/>
      <c r="V71" s="1045"/>
      <c r="W71" s="1045"/>
      <c r="X71" s="1045"/>
      <c r="Y71" s="1045"/>
      <c r="Z71" s="1045"/>
      <c r="AA71" s="1045"/>
      <c r="AB71" s="1045"/>
      <c r="AC71" s="1045"/>
    </row>
    <row r="72" spans="1:29" s="857" customFormat="1" ht="15">
      <c r="A72" s="1111"/>
      <c r="B72" s="1106"/>
      <c r="C72" s="1114"/>
      <c r="D72" s="1103"/>
      <c r="E72" s="1103"/>
      <c r="F72" s="1103"/>
      <c r="G72" s="1103"/>
      <c r="H72" s="1103"/>
      <c r="I72" s="1103"/>
      <c r="J72" s="1103"/>
      <c r="K72" s="1103"/>
      <c r="L72" s="1103"/>
      <c r="M72" s="1144"/>
      <c r="N72" s="1145"/>
      <c r="O72" s="1145"/>
      <c r="P72" s="1313"/>
      <c r="Q72" s="1183"/>
      <c r="R72" s="1045"/>
      <c r="S72" s="1045"/>
      <c r="T72" s="1045"/>
      <c r="U72" s="1045"/>
      <c r="V72" s="1045"/>
      <c r="W72" s="1045"/>
      <c r="X72" s="1045"/>
      <c r="Y72" s="1045"/>
      <c r="Z72" s="1045"/>
      <c r="AA72" s="1045"/>
      <c r="AB72" s="1045"/>
      <c r="AC72" s="1045"/>
    </row>
    <row r="73" spans="1:29" s="857" customFormat="1" ht="15">
      <c r="A73" s="1111"/>
      <c r="B73" s="1104">
        <f>B13</f>
        <v>111</v>
      </c>
      <c r="C73" s="1112"/>
      <c r="D73" s="1112"/>
      <c r="E73" s="1112"/>
      <c r="F73" s="1112"/>
      <c r="G73" s="1112"/>
      <c r="H73" s="1113"/>
      <c r="I73" s="1113"/>
      <c r="J73" s="1113"/>
      <c r="K73" s="1113"/>
      <c r="L73" s="1153"/>
      <c r="M73" s="1154"/>
      <c r="N73" s="1155"/>
      <c r="O73" s="1155"/>
      <c r="P73" s="1314"/>
      <c r="Q73" s="1184"/>
      <c r="R73" s="1045"/>
      <c r="S73" s="1045"/>
      <c r="T73" s="1045"/>
      <c r="U73" s="1045"/>
      <c r="V73" s="1045"/>
      <c r="W73" s="1045"/>
      <c r="X73" s="1045"/>
      <c r="Y73" s="1045"/>
      <c r="Z73" s="1045"/>
      <c r="AA73" s="1045"/>
      <c r="AB73" s="1045"/>
      <c r="AC73" s="1045"/>
    </row>
    <row r="74" spans="1:29" s="857" customFormat="1" ht="15">
      <c r="A74" s="1111"/>
      <c r="B74" s="1106"/>
      <c r="C74" s="1114"/>
      <c r="D74" s="1114"/>
      <c r="E74" s="1114"/>
      <c r="F74" s="1114"/>
      <c r="G74" s="1114"/>
      <c r="H74" s="1115"/>
      <c r="I74" s="1115"/>
      <c r="J74" s="1115"/>
      <c r="K74" s="1115"/>
      <c r="L74" s="1115"/>
      <c r="M74" s="1156"/>
      <c r="N74" s="1155"/>
      <c r="O74" s="1155"/>
      <c r="P74" s="1313"/>
      <c r="Q74" s="1183"/>
      <c r="R74" s="1045"/>
      <c r="S74" s="1045"/>
      <c r="T74" s="1045"/>
      <c r="U74" s="1045"/>
      <c r="V74" s="1045"/>
      <c r="W74" s="1045"/>
      <c r="X74" s="1045"/>
      <c r="Y74" s="1045"/>
      <c r="Z74" s="1045"/>
      <c r="AA74" s="1045"/>
      <c r="AB74" s="1045"/>
      <c r="AC74" s="1045"/>
    </row>
    <row r="75" spans="1:29" s="857" customFormat="1" ht="15">
      <c r="A75" s="1111"/>
      <c r="B75" s="1108">
        <f>B14</f>
        <v>111</v>
      </c>
      <c r="C75" s="1098"/>
      <c r="D75" s="1098"/>
      <c r="E75" s="1098"/>
      <c r="F75" s="1098"/>
      <c r="G75" s="1098"/>
      <c r="H75" s="1116"/>
      <c r="I75" s="1116"/>
      <c r="J75" s="1116"/>
      <c r="K75" s="1116"/>
      <c r="L75" s="1157"/>
      <c r="M75" s="1158"/>
      <c r="N75" s="1155"/>
      <c r="O75" s="1155"/>
      <c r="P75" s="1390"/>
      <c r="Q75" s="1183"/>
      <c r="R75" s="1045"/>
      <c r="S75" s="1045"/>
      <c r="T75" s="1045"/>
      <c r="U75" s="1045"/>
      <c r="V75" s="1045"/>
      <c r="W75" s="1045"/>
      <c r="X75" s="1045"/>
      <c r="Y75" s="1045"/>
      <c r="Z75" s="1045"/>
      <c r="AA75" s="1045"/>
      <c r="AB75" s="1045"/>
      <c r="AC75" s="1045"/>
    </row>
    <row r="76" spans="1:29" s="857" customFormat="1" ht="15">
      <c r="A76" s="1117"/>
      <c r="B76" s="1118"/>
      <c r="C76" s="1119"/>
      <c r="D76" s="1119"/>
      <c r="E76" s="1119"/>
      <c r="F76" s="1119"/>
      <c r="G76" s="1119"/>
      <c r="H76" s="1120"/>
      <c r="I76" s="1120"/>
      <c r="J76" s="1120"/>
      <c r="K76" s="1120"/>
      <c r="L76" s="1120"/>
      <c r="M76" s="1160"/>
      <c r="N76" s="1155"/>
      <c r="O76" s="1155"/>
      <c r="P76" s="1313"/>
      <c r="Q76" s="1183"/>
      <c r="R76" s="1045"/>
      <c r="S76" s="1045"/>
      <c r="T76" s="1045"/>
      <c r="U76" s="1045"/>
      <c r="V76" s="1045"/>
      <c r="W76" s="1045"/>
      <c r="X76" s="1045"/>
      <c r="Y76" s="1045"/>
      <c r="Z76" s="1045"/>
      <c r="AA76" s="1045"/>
      <c r="AB76" s="1045"/>
      <c r="AC76" s="1045"/>
    </row>
    <row r="77" spans="1:29">
      <c r="A77" s="912" t="s">
        <v>967</v>
      </c>
      <c r="B77" s="1101" t="s">
        <v>972</v>
      </c>
      <c r="C77" s="1121" t="s">
        <v>1028</v>
      </c>
      <c r="D77" s="1121" t="s">
        <v>1029</v>
      </c>
      <c r="E77" s="1121" t="s">
        <v>1030</v>
      </c>
      <c r="F77" s="1121" t="s">
        <v>1031</v>
      </c>
      <c r="G77" s="1121" t="s">
        <v>1032</v>
      </c>
      <c r="H77" s="637"/>
      <c r="I77" s="637"/>
      <c r="J77" s="637"/>
      <c r="K77" s="1161"/>
      <c r="L77" s="1162"/>
      <c r="M77" s="1163"/>
      <c r="N77" s="1143"/>
      <c r="O77" s="1143"/>
      <c r="P77" s="1315"/>
      <c r="Q77" s="1079"/>
      <c r="R77" s="971"/>
      <c r="S77" s="971"/>
      <c r="T77" s="971"/>
      <c r="U77" s="971"/>
      <c r="V77" s="971"/>
      <c r="W77" s="971"/>
      <c r="X77" s="971"/>
      <c r="Y77" s="971"/>
      <c r="Z77" s="971"/>
      <c r="AA77" s="971"/>
      <c r="AB77" s="971"/>
      <c r="AC77" s="971"/>
    </row>
    <row r="78" spans="1:29" ht="15">
      <c r="A78" s="899"/>
      <c r="B78" s="1106"/>
      <c r="C78" s="1107">
        <v>100</v>
      </c>
      <c r="D78" s="1107">
        <f>C78-$K15</f>
        <v>100</v>
      </c>
      <c r="E78" s="1107">
        <f>D78-$K15</f>
        <v>100</v>
      </c>
      <c r="F78" s="1107">
        <f>E78-$K15</f>
        <v>100</v>
      </c>
      <c r="G78" s="1107">
        <f>F78-$K15</f>
        <v>100</v>
      </c>
      <c r="H78" s="1107"/>
      <c r="I78" s="1107"/>
      <c r="J78" s="1107"/>
      <c r="K78" s="1107"/>
      <c r="L78" s="1107"/>
      <c r="M78" s="1149"/>
      <c r="N78" s="1145"/>
      <c r="O78" s="1145"/>
      <c r="P78" s="1312"/>
      <c r="Q78" s="1079"/>
      <c r="R78" s="971"/>
      <c r="S78" s="971"/>
      <c r="T78" s="971"/>
      <c r="U78" s="971"/>
      <c r="V78" s="971"/>
      <c r="W78" s="971"/>
      <c r="X78" s="971"/>
      <c r="Y78" s="971"/>
      <c r="Z78" s="971"/>
      <c r="AA78" s="971"/>
      <c r="AB78" s="971"/>
      <c r="AC78" s="971"/>
    </row>
    <row r="79" spans="1:29" ht="15">
      <c r="A79" s="899"/>
      <c r="B79" s="1104" t="s">
        <v>973</v>
      </c>
      <c r="C79" s="1122" t="s">
        <v>1028</v>
      </c>
      <c r="D79" s="1122" t="s">
        <v>1029</v>
      </c>
      <c r="E79" s="1122" t="s">
        <v>1030</v>
      </c>
      <c r="F79" s="1122" t="s">
        <v>1031</v>
      </c>
      <c r="G79" s="1122" t="s">
        <v>1032</v>
      </c>
      <c r="H79" s="1105"/>
      <c r="I79" s="1105"/>
      <c r="J79" s="1105"/>
      <c r="K79" s="1146"/>
      <c r="L79" s="1147"/>
      <c r="M79" s="1148"/>
      <c r="N79" s="1143"/>
      <c r="O79" s="1143"/>
      <c r="P79" s="1312"/>
      <c r="Q79" s="1079"/>
      <c r="R79" s="971"/>
      <c r="S79" s="971"/>
      <c r="T79" s="971"/>
      <c r="U79" s="971"/>
      <c r="V79" s="971"/>
      <c r="W79" s="971"/>
      <c r="X79" s="971"/>
      <c r="Y79" s="971"/>
      <c r="Z79" s="971"/>
      <c r="AA79" s="971"/>
      <c r="AB79" s="971"/>
      <c r="AC79" s="971"/>
    </row>
    <row r="80" spans="1:29" ht="15">
      <c r="A80" s="899"/>
      <c r="B80" s="1106"/>
      <c r="C80" s="1107">
        <v>100</v>
      </c>
      <c r="D80" s="1107">
        <f>C80-$K17</f>
        <v>100</v>
      </c>
      <c r="E80" s="1107">
        <f>D80-$K17</f>
        <v>100</v>
      </c>
      <c r="F80" s="1107">
        <f>E80-$K17</f>
        <v>100</v>
      </c>
      <c r="G80" s="1107">
        <f>F80-$K17</f>
        <v>100</v>
      </c>
      <c r="H80" s="1107"/>
      <c r="I80" s="1107"/>
      <c r="J80" s="1107"/>
      <c r="K80" s="1107"/>
      <c r="L80" s="1107"/>
      <c r="M80" s="1149"/>
      <c r="N80" s="1145"/>
      <c r="O80" s="1145"/>
      <c r="P80" s="1312"/>
      <c r="Q80" s="1079"/>
      <c r="R80" s="971"/>
      <c r="S80" s="971"/>
      <c r="T80" s="971"/>
      <c r="U80" s="971"/>
      <c r="V80" s="971"/>
      <c r="W80" s="971"/>
      <c r="X80" s="971"/>
      <c r="Y80" s="971"/>
      <c r="Z80" s="971"/>
      <c r="AA80" s="971"/>
      <c r="AB80" s="971"/>
      <c r="AC80" s="971"/>
    </row>
    <row r="81" spans="1:29" ht="15">
      <c r="A81" s="899"/>
      <c r="B81" s="1104" t="s">
        <v>976</v>
      </c>
      <c r="C81" s="1122" t="s">
        <v>1028</v>
      </c>
      <c r="D81" s="1122" t="s">
        <v>1029</v>
      </c>
      <c r="E81" s="1122" t="s">
        <v>1030</v>
      </c>
      <c r="F81" s="1122" t="s">
        <v>1031</v>
      </c>
      <c r="G81" s="1122" t="s">
        <v>1032</v>
      </c>
      <c r="H81" s="1105"/>
      <c r="I81" s="1105"/>
      <c r="J81" s="1105"/>
      <c r="K81" s="1146"/>
      <c r="L81" s="1147"/>
      <c r="M81" s="1148"/>
      <c r="N81" s="1143"/>
      <c r="O81" s="1143"/>
      <c r="P81" s="1312"/>
      <c r="Q81" s="1079"/>
      <c r="R81" s="971"/>
      <c r="S81" s="971"/>
      <c r="T81" s="971"/>
      <c r="U81" s="971"/>
      <c r="V81" s="971"/>
      <c r="W81" s="971"/>
      <c r="X81" s="971"/>
      <c r="Y81" s="971"/>
      <c r="Z81" s="971"/>
      <c r="AA81" s="971"/>
      <c r="AB81" s="971"/>
      <c r="AC81" s="971"/>
    </row>
    <row r="82" spans="1:29" ht="15">
      <c r="A82" s="899"/>
      <c r="B82" s="1106"/>
      <c r="C82" s="1107">
        <v>100</v>
      </c>
      <c r="D82" s="1107">
        <f>C82-$K19</f>
        <v>100</v>
      </c>
      <c r="E82" s="1107">
        <f>D82-$K19</f>
        <v>100</v>
      </c>
      <c r="F82" s="1107">
        <f>E82-$K19</f>
        <v>100</v>
      </c>
      <c r="G82" s="1107">
        <f>F82-$K19</f>
        <v>100</v>
      </c>
      <c r="H82" s="1107"/>
      <c r="I82" s="1107"/>
      <c r="J82" s="1107"/>
      <c r="K82" s="1107"/>
      <c r="L82" s="1107"/>
      <c r="M82" s="1149"/>
      <c r="N82" s="1145"/>
      <c r="O82" s="1145"/>
      <c r="P82" s="1312"/>
      <c r="Q82" s="1079"/>
      <c r="R82" s="971"/>
      <c r="S82" s="971"/>
      <c r="T82" s="971"/>
      <c r="U82" s="971"/>
      <c r="V82" s="971"/>
      <c r="W82" s="971"/>
      <c r="X82" s="971"/>
      <c r="Y82" s="971"/>
      <c r="Z82" s="971"/>
      <c r="AA82" s="971"/>
      <c r="AB82" s="971"/>
      <c r="AC82" s="971"/>
    </row>
    <row r="83" spans="1:29" ht="15">
      <c r="A83" s="899"/>
      <c r="B83" s="1108" t="s">
        <v>977</v>
      </c>
      <c r="C83" s="1039" t="s">
        <v>1033</v>
      </c>
      <c r="D83" s="1039" t="s">
        <v>1034</v>
      </c>
      <c r="E83" s="1039" t="s">
        <v>1035</v>
      </c>
      <c r="F83" s="1039" t="s">
        <v>1036</v>
      </c>
      <c r="G83" s="1039" t="s">
        <v>1037</v>
      </c>
      <c r="H83" s="1105"/>
      <c r="I83" s="1105"/>
      <c r="J83" s="1105"/>
      <c r="K83" s="1105"/>
      <c r="L83" s="1105"/>
      <c r="M83" s="1248"/>
      <c r="N83" s="1145"/>
      <c r="O83" s="1145"/>
      <c r="P83" s="1312"/>
      <c r="Q83" s="1079"/>
      <c r="R83" s="971"/>
      <c r="S83" s="971"/>
      <c r="T83" s="971"/>
      <c r="U83" s="971"/>
      <c r="V83" s="971"/>
      <c r="W83" s="971"/>
      <c r="X83" s="971"/>
      <c r="Y83" s="971"/>
      <c r="Z83" s="971"/>
      <c r="AA83" s="971"/>
      <c r="AB83" s="971"/>
      <c r="AC83" s="971"/>
    </row>
    <row r="84" spans="1:29" ht="15">
      <c r="A84" s="899"/>
      <c r="B84" s="1108"/>
      <c r="C84" s="1107">
        <v>100</v>
      </c>
      <c r="D84" s="1107">
        <f>C84-$K21</f>
        <v>100</v>
      </c>
      <c r="E84" s="1107">
        <f>D84-$K21</f>
        <v>100</v>
      </c>
      <c r="F84" s="1107">
        <f>E84-$K21</f>
        <v>100</v>
      </c>
      <c r="G84" s="1107">
        <f>F84-$K21</f>
        <v>100</v>
      </c>
      <c r="H84" s="1039"/>
      <c r="I84" s="1039"/>
      <c r="J84" s="1039"/>
      <c r="K84" s="1039"/>
      <c r="L84" s="1039"/>
      <c r="M84" s="921"/>
      <c r="N84" s="1145"/>
      <c r="O84" s="1145"/>
      <c r="P84" s="1312"/>
      <c r="Q84" s="1079"/>
      <c r="R84" s="971"/>
      <c r="S84" s="971"/>
      <c r="T84" s="971"/>
      <c r="U84" s="971"/>
      <c r="V84" s="971"/>
      <c r="W84" s="971"/>
      <c r="X84" s="971"/>
      <c r="Y84" s="971"/>
      <c r="Z84" s="971"/>
      <c r="AA84" s="971"/>
      <c r="AB84" s="971"/>
      <c r="AC84" s="971"/>
    </row>
    <row r="85" spans="1:29" ht="15">
      <c r="A85" s="899"/>
      <c r="B85" s="1104" t="s">
        <v>1947</v>
      </c>
      <c r="C85" s="1122" t="s">
        <v>1028</v>
      </c>
      <c r="D85" s="1122" t="s">
        <v>1029</v>
      </c>
      <c r="E85" s="1122" t="s">
        <v>1030</v>
      </c>
      <c r="F85" s="1122" t="s">
        <v>1031</v>
      </c>
      <c r="G85" s="1122" t="s">
        <v>1032</v>
      </c>
      <c r="H85" s="1105"/>
      <c r="I85" s="1105"/>
      <c r="J85" s="1105"/>
      <c r="K85" s="1146"/>
      <c r="L85" s="1147"/>
      <c r="M85" s="1148"/>
      <c r="N85" s="1143"/>
      <c r="O85" s="1143"/>
      <c r="P85" s="1312"/>
      <c r="Q85" s="1079"/>
      <c r="R85" s="971"/>
      <c r="S85" s="971"/>
      <c r="T85" s="971"/>
      <c r="U85" s="971"/>
      <c r="V85" s="971"/>
      <c r="W85" s="971"/>
      <c r="X85" s="971"/>
      <c r="Y85" s="971"/>
      <c r="Z85" s="971"/>
      <c r="AA85" s="971"/>
      <c r="AB85" s="971"/>
      <c r="AC85" s="971"/>
    </row>
    <row r="86" spans="1:29" ht="15">
      <c r="A86" s="899"/>
      <c r="B86" s="1106"/>
      <c r="C86" s="1107">
        <v>100</v>
      </c>
      <c r="D86" s="1107">
        <f>C86-$K23</f>
        <v>100</v>
      </c>
      <c r="E86" s="1107">
        <f>D86-$K23</f>
        <v>100</v>
      </c>
      <c r="F86" s="1107">
        <f>E86-$K23</f>
        <v>100</v>
      </c>
      <c r="G86" s="1107">
        <f>F86-$K23</f>
        <v>100</v>
      </c>
      <c r="H86" s="1107"/>
      <c r="I86" s="1107"/>
      <c r="J86" s="1107"/>
      <c r="K86" s="1107"/>
      <c r="L86" s="1107"/>
      <c r="M86" s="1149"/>
      <c r="N86" s="1145"/>
      <c r="O86" s="1145"/>
      <c r="P86" s="1312"/>
      <c r="Q86" s="1079"/>
      <c r="R86" s="971"/>
      <c r="S86" s="971"/>
      <c r="T86" s="971"/>
      <c r="U86" s="971"/>
      <c r="V86" s="971"/>
      <c r="W86" s="971"/>
      <c r="X86" s="971"/>
      <c r="Y86" s="971"/>
      <c r="Z86" s="971"/>
      <c r="AA86" s="971"/>
      <c r="AB86" s="971"/>
      <c r="AC86" s="971"/>
    </row>
    <row r="87" spans="1:29" s="855" customFormat="1" ht="27">
      <c r="A87" s="902"/>
      <c r="B87" s="1104" t="s">
        <v>980</v>
      </c>
      <c r="C87" s="1112"/>
      <c r="D87" s="1112"/>
      <c r="E87" s="1112"/>
      <c r="F87" s="1112"/>
      <c r="G87" s="1112"/>
      <c r="H87" s="1112"/>
      <c r="I87" s="1112"/>
      <c r="J87" s="1112"/>
      <c r="K87" s="1112"/>
      <c r="L87" s="1249"/>
      <c r="M87" s="1250"/>
      <c r="N87" s="1138"/>
      <c r="O87" s="1138"/>
      <c r="P87" s="1312"/>
      <c r="Q87" s="1079"/>
      <c r="R87" s="1027"/>
      <c r="S87" s="1027"/>
      <c r="T87" s="1027"/>
      <c r="U87" s="1027"/>
      <c r="V87" s="1027"/>
      <c r="W87" s="1027"/>
      <c r="X87" s="1027"/>
      <c r="Y87" s="1027"/>
      <c r="Z87" s="1027"/>
      <c r="AA87" s="1027"/>
      <c r="AB87" s="1027"/>
      <c r="AC87" s="1027"/>
    </row>
    <row r="88" spans="1:29" s="855" customFormat="1" ht="15">
      <c r="A88" s="902"/>
      <c r="B88" s="1106"/>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145"/>
      <c r="O88" s="1145"/>
      <c r="P88" s="1312"/>
      <c r="Q88" s="1079"/>
      <c r="R88" s="1027"/>
      <c r="S88" s="1027"/>
      <c r="T88" s="1027"/>
      <c r="U88" s="1027"/>
      <c r="V88" s="1027"/>
      <c r="W88" s="1027"/>
      <c r="X88" s="1027"/>
      <c r="Y88" s="1027"/>
      <c r="Z88" s="1027"/>
      <c r="AA88" s="1027"/>
      <c r="AB88" s="1027"/>
      <c r="AC88" s="1027"/>
    </row>
    <row r="89" spans="1:29" s="855" customFormat="1" ht="15">
      <c r="A89" s="902"/>
      <c r="B89" s="1104" t="str">
        <f>B27</f>
        <v>楼层</v>
      </c>
      <c r="C89" s="1112"/>
      <c r="D89" s="1112"/>
      <c r="E89" s="1112"/>
      <c r="F89" s="1389"/>
      <c r="G89" s="1112"/>
      <c r="H89" s="1112"/>
      <c r="I89" s="1112"/>
      <c r="J89" s="1112"/>
      <c r="K89" s="1112"/>
      <c r="L89" s="1112"/>
      <c r="M89" s="1250"/>
      <c r="N89" s="1138"/>
      <c r="O89" s="1138"/>
      <c r="P89" s="1312"/>
      <c r="Q89" s="1079"/>
      <c r="R89" s="1027"/>
      <c r="S89" s="1027"/>
      <c r="T89" s="1027"/>
      <c r="U89" s="1027"/>
      <c r="V89" s="1027"/>
      <c r="W89" s="1027"/>
      <c r="X89" s="1027"/>
      <c r="Y89" s="1027"/>
      <c r="Z89" s="1027"/>
      <c r="AA89" s="1027"/>
      <c r="AB89" s="1027"/>
      <c r="AC89" s="1027"/>
    </row>
    <row r="90" spans="1:29" s="855" customFormat="1" ht="15">
      <c r="A90" s="902"/>
      <c r="B90" s="1106"/>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145"/>
      <c r="O90" s="1145"/>
      <c r="P90" s="1312"/>
      <c r="Q90" s="1079"/>
      <c r="R90" s="1027"/>
      <c r="S90" s="1027"/>
      <c r="T90" s="1027"/>
      <c r="U90" s="1027"/>
      <c r="V90" s="1027"/>
      <c r="W90" s="1027"/>
      <c r="X90" s="1027"/>
      <c r="Y90" s="1027"/>
      <c r="Z90" s="1027"/>
      <c r="AA90" s="1027"/>
      <c r="AB90" s="1027"/>
      <c r="AC90" s="1027"/>
    </row>
    <row r="91" spans="1:29" s="857" customFormat="1" ht="15">
      <c r="A91" s="1111"/>
      <c r="B91" s="1104" t="str">
        <f>B28</f>
        <v>朝向</v>
      </c>
      <c r="C91" s="1112"/>
      <c r="D91" s="1112"/>
      <c r="E91" s="1112"/>
      <c r="F91" s="1112"/>
      <c r="G91" s="1112"/>
      <c r="H91" s="1113"/>
      <c r="I91" s="1113"/>
      <c r="J91" s="1113"/>
      <c r="K91" s="1113"/>
      <c r="L91" s="1153"/>
      <c r="M91" s="1154"/>
      <c r="N91" s="1155"/>
      <c r="O91" s="1155"/>
      <c r="P91" s="1313"/>
      <c r="Q91" s="1183"/>
      <c r="R91" s="1045"/>
      <c r="S91" s="1045"/>
      <c r="T91" s="1045"/>
      <c r="U91" s="1045"/>
      <c r="V91" s="1045"/>
      <c r="W91" s="1045"/>
      <c r="X91" s="1045"/>
      <c r="Y91" s="1045"/>
      <c r="Z91" s="1045"/>
      <c r="AA91" s="1045"/>
      <c r="AB91" s="1045"/>
      <c r="AC91" s="1045"/>
    </row>
    <row r="92" spans="1:29" s="857" customFormat="1" ht="15">
      <c r="A92" s="1111"/>
      <c r="B92" s="1106"/>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55"/>
      <c r="O92" s="1155"/>
      <c r="P92" s="1313"/>
      <c r="Q92" s="1183"/>
      <c r="R92" s="1045"/>
      <c r="S92" s="1045"/>
      <c r="T92" s="1045"/>
      <c r="U92" s="1045"/>
      <c r="V92" s="1045"/>
      <c r="W92" s="1045"/>
      <c r="X92" s="1045"/>
      <c r="Y92" s="1045"/>
      <c r="Z92" s="1045"/>
      <c r="AA92" s="1045"/>
      <c r="AB92" s="1045"/>
      <c r="AC92" s="1045"/>
    </row>
    <row r="93" spans="1:29" ht="15">
      <c r="A93" s="899"/>
      <c r="B93" s="1104">
        <f>B29</f>
        <v>111</v>
      </c>
      <c r="C93" s="1112"/>
      <c r="D93" s="1112"/>
      <c r="E93" s="1112"/>
      <c r="F93" s="1112"/>
      <c r="G93" s="1112"/>
      <c r="H93" s="1112"/>
      <c r="I93" s="1112"/>
      <c r="J93" s="1112"/>
      <c r="K93" s="1112"/>
      <c r="L93" s="1249"/>
      <c r="M93" s="1250"/>
      <c r="N93" s="1143"/>
      <c r="O93" s="1143"/>
      <c r="P93" s="1312"/>
      <c r="Q93" s="1079"/>
      <c r="R93" s="971"/>
      <c r="S93" s="971"/>
      <c r="T93" s="971"/>
      <c r="U93" s="971"/>
      <c r="V93" s="971"/>
      <c r="W93" s="971"/>
      <c r="X93" s="971"/>
      <c r="Y93" s="971"/>
      <c r="Z93" s="971"/>
      <c r="AA93" s="971"/>
      <c r="AB93" s="971"/>
      <c r="AC93" s="971"/>
    </row>
    <row r="94" spans="1:29" ht="15">
      <c r="A94" s="899"/>
      <c r="B94" s="1106"/>
      <c r="C94" s="1114"/>
      <c r="D94" s="1103"/>
      <c r="E94" s="1103"/>
      <c r="F94" s="1103"/>
      <c r="G94" s="1103"/>
      <c r="H94" s="1103"/>
      <c r="I94" s="1103"/>
      <c r="J94" s="1103"/>
      <c r="K94" s="1103"/>
      <c r="L94" s="1103"/>
      <c r="M94" s="1144"/>
      <c r="N94" s="1145"/>
      <c r="O94" s="1145"/>
      <c r="P94" s="1312"/>
      <c r="Q94" s="1079"/>
      <c r="R94" s="971"/>
      <c r="S94" s="971"/>
      <c r="T94" s="971"/>
      <c r="U94" s="971"/>
      <c r="V94" s="971"/>
      <c r="W94" s="971"/>
      <c r="X94" s="971"/>
      <c r="Y94" s="971"/>
      <c r="Z94" s="971"/>
      <c r="AA94" s="971"/>
      <c r="AB94" s="971"/>
      <c r="AC94" s="971"/>
    </row>
    <row r="95" spans="1:29" ht="15">
      <c r="A95" s="899"/>
      <c r="B95" s="1104">
        <f>B30</f>
        <v>111</v>
      </c>
      <c r="C95" s="1112"/>
      <c r="D95" s="1112"/>
      <c r="E95" s="1112"/>
      <c r="F95" s="1112"/>
      <c r="G95" s="1126"/>
      <c r="H95" s="1126"/>
      <c r="I95" s="1126"/>
      <c r="J95" s="1126"/>
      <c r="K95" s="1171"/>
      <c r="L95" s="1172"/>
      <c r="M95" s="1173"/>
      <c r="N95" s="1143"/>
      <c r="O95" s="1143"/>
      <c r="P95" s="1312"/>
      <c r="Q95" s="1079"/>
      <c r="R95" s="971"/>
      <c r="S95" s="971"/>
      <c r="T95" s="971"/>
      <c r="U95" s="971"/>
      <c r="V95" s="971"/>
      <c r="W95" s="971"/>
      <c r="X95" s="971"/>
      <c r="Y95" s="971"/>
      <c r="Z95" s="971"/>
      <c r="AA95" s="971"/>
      <c r="AB95" s="971"/>
      <c r="AC95" s="971"/>
    </row>
    <row r="96" spans="1:29" ht="15">
      <c r="A96" s="899"/>
      <c r="B96" s="1106"/>
      <c r="C96" s="1114"/>
      <c r="D96" s="1114"/>
      <c r="E96" s="1114"/>
      <c r="F96" s="1114"/>
      <c r="G96" s="1103"/>
      <c r="H96" s="1103"/>
      <c r="I96" s="1103"/>
      <c r="J96" s="1103"/>
      <c r="K96" s="1103"/>
      <c r="L96" s="1103"/>
      <c r="M96" s="1144"/>
      <c r="N96" s="1145"/>
      <c r="O96" s="1145"/>
      <c r="P96" s="1312"/>
      <c r="Q96" s="1079"/>
      <c r="R96" s="971"/>
      <c r="S96" s="971"/>
      <c r="T96" s="971"/>
      <c r="U96" s="971"/>
      <c r="V96" s="971"/>
      <c r="W96" s="971"/>
      <c r="X96" s="971"/>
      <c r="Y96" s="971"/>
      <c r="Z96" s="971"/>
      <c r="AA96" s="971"/>
      <c r="AB96" s="971"/>
      <c r="AC96" s="971"/>
    </row>
    <row r="97" spans="1:29" ht="15">
      <c r="A97" s="899"/>
      <c r="B97" s="1104">
        <f>B31</f>
        <v>111</v>
      </c>
      <c r="C97" s="1112"/>
      <c r="D97" s="1112"/>
      <c r="E97" s="1112"/>
      <c r="F97" s="1112"/>
      <c r="G97" s="1126"/>
      <c r="H97" s="1126"/>
      <c r="I97" s="1126"/>
      <c r="J97" s="1126"/>
      <c r="K97" s="1171"/>
      <c r="L97" s="1172"/>
      <c r="M97" s="1173"/>
      <c r="N97" s="1143"/>
      <c r="O97" s="1143"/>
      <c r="P97" s="1312"/>
      <c r="Q97" s="1079"/>
      <c r="R97" s="971"/>
      <c r="S97" s="971"/>
      <c r="T97" s="971"/>
      <c r="U97" s="971"/>
      <c r="V97" s="971"/>
      <c r="W97" s="971"/>
      <c r="X97" s="971"/>
      <c r="Y97" s="971"/>
      <c r="Z97" s="971"/>
      <c r="AA97" s="971"/>
      <c r="AB97" s="971"/>
      <c r="AC97" s="971"/>
    </row>
    <row r="98" spans="1:29" ht="15">
      <c r="A98" s="899"/>
      <c r="B98" s="1106"/>
      <c r="C98" s="1114"/>
      <c r="D98" s="1103"/>
      <c r="E98" s="1103"/>
      <c r="F98" s="1103"/>
      <c r="G98" s="1103"/>
      <c r="H98" s="1103"/>
      <c r="I98" s="1103"/>
      <c r="J98" s="1103"/>
      <c r="K98" s="1103"/>
      <c r="L98" s="1103"/>
      <c r="M98" s="1144"/>
      <c r="N98" s="1145"/>
      <c r="O98" s="1145"/>
      <c r="P98" s="1312"/>
      <c r="Q98" s="1079"/>
      <c r="R98" s="971"/>
      <c r="S98" s="971"/>
      <c r="T98" s="971"/>
      <c r="U98" s="971"/>
      <c r="V98" s="971"/>
      <c r="W98" s="971"/>
      <c r="X98" s="971"/>
      <c r="Y98" s="971"/>
      <c r="Z98" s="971"/>
      <c r="AA98" s="971"/>
      <c r="AB98" s="971"/>
      <c r="AC98" s="971"/>
    </row>
    <row r="99" spans="1:29" ht="15">
      <c r="A99" s="899"/>
      <c r="B99" s="1108">
        <f>B32</f>
        <v>111</v>
      </c>
      <c r="C99" s="1098"/>
      <c r="D99" s="1098"/>
      <c r="E99" s="1098"/>
      <c r="F99" s="1098"/>
      <c r="G99" s="1127"/>
      <c r="H99" s="1127"/>
      <c r="I99" s="1127"/>
      <c r="J99" s="1127"/>
      <c r="K99" s="1174"/>
      <c r="L99" s="1175"/>
      <c r="M99" s="1176"/>
      <c r="N99" s="1143"/>
      <c r="O99" s="1143"/>
      <c r="P99" s="1312"/>
      <c r="Q99" s="1079"/>
      <c r="R99" s="971"/>
      <c r="S99" s="971"/>
      <c r="T99" s="971"/>
      <c r="U99" s="971"/>
      <c r="V99" s="971"/>
      <c r="W99" s="971"/>
      <c r="X99" s="971"/>
      <c r="Y99" s="971"/>
      <c r="Z99" s="971"/>
      <c r="AA99" s="971"/>
      <c r="AB99" s="971"/>
      <c r="AC99" s="971"/>
    </row>
    <row r="100" spans="1:29" ht="15">
      <c r="A100" s="908"/>
      <c r="B100" s="1118"/>
      <c r="C100" s="1119"/>
      <c r="D100" s="1119"/>
      <c r="E100" s="1119"/>
      <c r="F100" s="1119"/>
      <c r="G100" s="1128"/>
      <c r="H100" s="1128"/>
      <c r="I100" s="1128"/>
      <c r="J100" s="1128"/>
      <c r="K100" s="1128"/>
      <c r="L100" s="1128"/>
      <c r="M100" s="1177"/>
      <c r="N100" s="1145"/>
      <c r="O100" s="1145"/>
      <c r="P100" s="1312"/>
      <c r="Q100" s="1079"/>
      <c r="R100" s="971"/>
      <c r="S100" s="971"/>
      <c r="T100" s="971"/>
      <c r="U100" s="971"/>
      <c r="V100" s="971"/>
      <c r="W100" s="971"/>
      <c r="X100" s="971"/>
      <c r="Y100" s="971"/>
      <c r="Z100" s="971"/>
      <c r="AA100" s="971"/>
      <c r="AB100" s="971"/>
      <c r="AC100" s="971"/>
    </row>
    <row r="101" spans="1:29">
      <c r="A101" s="912" t="s">
        <v>983</v>
      </c>
      <c r="B101" s="1101" t="s">
        <v>1560</v>
      </c>
      <c r="C101" s="1047"/>
      <c r="D101" s="1047"/>
      <c r="E101" s="1047"/>
      <c r="F101" s="1047"/>
      <c r="G101" s="1047"/>
      <c r="H101" s="1047"/>
      <c r="I101" s="1047"/>
      <c r="J101" s="1047"/>
      <c r="K101" s="1140"/>
      <c r="L101" s="1141"/>
      <c r="M101" s="1142"/>
      <c r="N101" s="1143"/>
      <c r="O101" s="1143"/>
      <c r="P101" s="1312"/>
      <c r="Q101" s="1079"/>
      <c r="R101" s="971"/>
      <c r="S101" s="971"/>
      <c r="T101" s="971"/>
      <c r="U101" s="971"/>
      <c r="V101" s="971"/>
      <c r="W101" s="971"/>
      <c r="X101" s="971"/>
      <c r="Y101" s="971"/>
      <c r="Z101" s="971"/>
      <c r="AA101" s="971"/>
      <c r="AB101" s="971"/>
      <c r="AC101" s="971"/>
    </row>
    <row r="102" spans="1:29" ht="15">
      <c r="A102" s="899"/>
      <c r="B102" s="1106"/>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49">
        <f t="shared" si="22"/>
        <v>100</v>
      </c>
      <c r="N102" s="1145"/>
      <c r="O102" s="1145"/>
      <c r="P102" s="1312"/>
      <c r="Q102" s="1079"/>
      <c r="R102" s="971"/>
      <c r="S102" s="971"/>
      <c r="T102" s="971"/>
      <c r="U102" s="971"/>
      <c r="V102" s="971"/>
      <c r="W102" s="971"/>
      <c r="X102" s="971"/>
      <c r="Y102" s="971"/>
      <c r="Z102" s="971"/>
      <c r="AA102" s="971"/>
      <c r="AB102" s="971"/>
      <c r="AC102" s="971"/>
    </row>
    <row r="103" spans="1:29" ht="15">
      <c r="A103" s="899"/>
      <c r="B103" s="1104" t="s">
        <v>1563</v>
      </c>
      <c r="C103" s="1122" t="str">
        <f>C104&amp;"(含)"&amp;"-"&amp;D104</f>
        <v>(含)-</v>
      </c>
      <c r="D103" s="1122" t="str">
        <f t="shared" ref="D103:L103" si="23">D104&amp;"(含)"&amp;"-"&amp;E104</f>
        <v>(含)-</v>
      </c>
      <c r="E103" s="1122" t="str">
        <f t="shared" si="23"/>
        <v>(含)-</v>
      </c>
      <c r="F103" s="1122" t="str">
        <f t="shared" si="23"/>
        <v>(含)-</v>
      </c>
      <c r="G103" s="1122" t="str">
        <f t="shared" si="23"/>
        <v>(含)-</v>
      </c>
      <c r="H103" s="1122" t="str">
        <f t="shared" si="23"/>
        <v>(含)-</v>
      </c>
      <c r="I103" s="1122" t="str">
        <f t="shared" si="23"/>
        <v>(含)-</v>
      </c>
      <c r="J103" s="1122" t="str">
        <f t="shared" si="23"/>
        <v>(含)-</v>
      </c>
      <c r="K103" s="1122" t="str">
        <f t="shared" si="23"/>
        <v>(含)-</v>
      </c>
      <c r="L103" s="1122" t="str">
        <f t="shared" si="23"/>
        <v>(含)-</v>
      </c>
      <c r="M103" s="1166" t="str">
        <f>M104&amp;"(含)"&amp;"-"&amp;P104</f>
        <v>(含)-</v>
      </c>
      <c r="N103" s="1138"/>
      <c r="O103" s="1138"/>
      <c r="P103" s="1312"/>
      <c r="Q103" s="1079"/>
      <c r="R103" s="971"/>
      <c r="S103" s="971"/>
      <c r="T103" s="971"/>
      <c r="U103" s="971"/>
      <c r="V103" s="971"/>
      <c r="W103" s="971"/>
      <c r="X103" s="971"/>
      <c r="Y103" s="971"/>
      <c r="Z103" s="971"/>
      <c r="AA103" s="971"/>
      <c r="AB103" s="971"/>
      <c r="AC103" s="971"/>
    </row>
    <row r="104" spans="1:29" s="857" customFormat="1">
      <c r="A104" s="952"/>
      <c r="B104" s="1129"/>
      <c r="C104" s="1090"/>
      <c r="D104" s="1090"/>
      <c r="E104" s="1090"/>
      <c r="F104" s="1090"/>
      <c r="G104" s="1090"/>
      <c r="H104" s="1090"/>
      <c r="I104" s="1090"/>
      <c r="J104" s="1178"/>
      <c r="K104" s="1178"/>
      <c r="L104" s="1179"/>
      <c r="M104" s="1180"/>
      <c r="N104" s="1155"/>
      <c r="O104" s="1155"/>
      <c r="P104" s="1313"/>
      <c r="Q104" s="1183"/>
      <c r="R104" s="1045"/>
      <c r="S104" s="1045"/>
      <c r="T104" s="1045"/>
      <c r="U104" s="1045"/>
      <c r="V104" s="1045"/>
      <c r="W104" s="1045"/>
      <c r="X104" s="1045"/>
      <c r="Y104" s="1045"/>
      <c r="Z104" s="1045"/>
      <c r="AA104" s="1045"/>
      <c r="AB104" s="1045"/>
      <c r="AC104" s="1045"/>
    </row>
    <row r="105" spans="1:29" s="857" customFormat="1" ht="15">
      <c r="A105" s="1111"/>
      <c r="B105" s="1106"/>
      <c r="C105" s="1114"/>
      <c r="D105" s="1103"/>
      <c r="E105" s="1103"/>
      <c r="F105" s="1103"/>
      <c r="G105" s="1103"/>
      <c r="H105" s="1103"/>
      <c r="I105" s="1103"/>
      <c r="J105" s="1103"/>
      <c r="K105" s="1103"/>
      <c r="L105" s="1103"/>
      <c r="M105" s="1144"/>
      <c r="N105" s="1145"/>
      <c r="O105" s="1145"/>
      <c r="P105" s="1313"/>
      <c r="Q105" s="1183"/>
      <c r="R105" s="1045"/>
      <c r="S105" s="1045"/>
      <c r="T105" s="1045"/>
      <c r="U105" s="1045"/>
      <c r="V105" s="1045"/>
      <c r="W105" s="1045"/>
      <c r="X105" s="1045"/>
      <c r="Y105" s="1045"/>
      <c r="Z105" s="1045"/>
      <c r="AA105" s="1045"/>
      <c r="AB105" s="1045"/>
      <c r="AC105" s="1045"/>
    </row>
    <row r="106" spans="1:29">
      <c r="A106" s="947"/>
      <c r="B106" s="1104" t="s">
        <v>1564</v>
      </c>
      <c r="C106" s="1112"/>
      <c r="D106" s="1112"/>
      <c r="E106" s="1126"/>
      <c r="F106" s="1126"/>
      <c r="G106" s="1126"/>
      <c r="H106" s="1126"/>
      <c r="I106" s="1126"/>
      <c r="J106" s="1126"/>
      <c r="K106" s="1171"/>
      <c r="L106" s="1172"/>
      <c r="M106" s="1173"/>
      <c r="N106" s="1143"/>
      <c r="O106" s="1143"/>
      <c r="P106" s="1312"/>
      <c r="Q106" s="1079"/>
      <c r="R106" s="971"/>
      <c r="S106" s="971"/>
      <c r="T106" s="971"/>
      <c r="U106" s="971"/>
      <c r="V106" s="971"/>
      <c r="W106" s="971"/>
      <c r="X106" s="971"/>
      <c r="Y106" s="971"/>
      <c r="Z106" s="971"/>
      <c r="AA106" s="971"/>
      <c r="AB106" s="971"/>
      <c r="AC106" s="971"/>
    </row>
    <row r="107" spans="1:29" ht="15">
      <c r="A107" s="899"/>
      <c r="B107" s="1106"/>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49">
        <f t="shared" si="24"/>
        <v>100</v>
      </c>
      <c r="N107" s="1145"/>
      <c r="O107" s="1145"/>
      <c r="P107" s="1312"/>
      <c r="Q107" s="1079"/>
      <c r="R107" s="971"/>
      <c r="S107" s="971"/>
      <c r="T107" s="971"/>
      <c r="U107" s="971"/>
      <c r="V107" s="971"/>
      <c r="W107" s="971"/>
      <c r="X107" s="971"/>
      <c r="Y107" s="971"/>
      <c r="Z107" s="971"/>
      <c r="AA107" s="971"/>
      <c r="AB107" s="971"/>
      <c r="AC107" s="971"/>
    </row>
    <row r="108" spans="1:29">
      <c r="A108" s="947"/>
      <c r="B108" s="1104" t="s">
        <v>1567</v>
      </c>
      <c r="C108" s="1112"/>
      <c r="D108" s="1112"/>
      <c r="E108" s="1112"/>
      <c r="F108" s="1126"/>
      <c r="G108" s="1126"/>
      <c r="H108" s="1126"/>
      <c r="I108" s="1126"/>
      <c r="J108" s="1126"/>
      <c r="K108" s="1171"/>
      <c r="L108" s="1172"/>
      <c r="M108" s="1173"/>
      <c r="N108" s="1143"/>
      <c r="O108" s="1143"/>
      <c r="P108" s="1312"/>
      <c r="Q108" s="1079"/>
      <c r="R108" s="971"/>
      <c r="S108" s="971"/>
      <c r="T108" s="971"/>
      <c r="U108" s="971"/>
      <c r="V108" s="971"/>
      <c r="W108" s="971"/>
      <c r="X108" s="971"/>
      <c r="Y108" s="971"/>
      <c r="Z108" s="971"/>
      <c r="AA108" s="971"/>
      <c r="AB108" s="971"/>
      <c r="AC108" s="971"/>
    </row>
    <row r="109" spans="1:29" ht="15">
      <c r="A109" s="899"/>
      <c r="B109" s="1106"/>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49">
        <f t="shared" si="25"/>
        <v>100</v>
      </c>
      <c r="N109" s="1145"/>
      <c r="O109" s="1145"/>
      <c r="P109" s="1312"/>
      <c r="Q109" s="1079"/>
      <c r="R109" s="971"/>
      <c r="S109" s="971"/>
      <c r="T109" s="971"/>
      <c r="U109" s="971"/>
      <c r="V109" s="971"/>
      <c r="W109" s="971"/>
      <c r="X109" s="971"/>
      <c r="Y109" s="971"/>
      <c r="Z109" s="971"/>
      <c r="AA109" s="971"/>
      <c r="AB109" s="971"/>
      <c r="AC109" s="971"/>
    </row>
    <row r="110" spans="1:29">
      <c r="A110" s="947"/>
      <c r="B110" s="1104" t="s">
        <v>579</v>
      </c>
      <c r="C110" s="1122" t="str">
        <f>C111&amp;"(含)"&amp;"-"&amp;D111</f>
        <v>0.5(含)-0.6</v>
      </c>
      <c r="D110" s="1122" t="str">
        <f>D111&amp;"(含)"&amp;"-"&amp;E111</f>
        <v>0.6(含)-0.7</v>
      </c>
      <c r="E110" s="1122" t="str">
        <f>E111&amp;"(含)"&amp;"-"&amp;F111</f>
        <v>0.7(含)-0.8</v>
      </c>
      <c r="F110" s="1122" t="str">
        <f>F111&amp;"(含)"&amp;"-"&amp;G111</f>
        <v>0.8(含)-0.9</v>
      </c>
      <c r="G110" s="1122" t="str">
        <f>G111&amp;"(含)"&amp;"-"&amp;ROUND(H111,0)&amp;"(含)"</f>
        <v>0.9(含)-1(含)</v>
      </c>
      <c r="H110" s="1122"/>
      <c r="I110" s="1126"/>
      <c r="J110" s="1126"/>
      <c r="K110" s="1171"/>
      <c r="L110" s="1172"/>
      <c r="M110" s="1173"/>
      <c r="N110" s="1143"/>
      <c r="O110" s="1143"/>
      <c r="P110" s="1312"/>
      <c r="Q110" s="1079"/>
      <c r="R110" s="971"/>
      <c r="S110" s="971"/>
      <c r="T110" s="971"/>
      <c r="U110" s="971"/>
      <c r="V110" s="971"/>
      <c r="W110" s="971"/>
      <c r="X110" s="971"/>
      <c r="Y110" s="971"/>
      <c r="Z110" s="971"/>
      <c r="AA110" s="971"/>
      <c r="AB110" s="971"/>
      <c r="AC110" s="971"/>
    </row>
    <row r="111" spans="1:29">
      <c r="A111" s="947"/>
      <c r="B111" s="1108"/>
      <c r="C111" s="795">
        <v>0.5</v>
      </c>
      <c r="D111" s="795">
        <v>0.6</v>
      </c>
      <c r="E111" s="795">
        <v>0.7</v>
      </c>
      <c r="F111" s="795">
        <v>0.8</v>
      </c>
      <c r="G111" s="795">
        <v>0.9</v>
      </c>
      <c r="H111" s="795">
        <v>1.0001</v>
      </c>
      <c r="I111" s="1328"/>
      <c r="J111" s="1328"/>
      <c r="K111" s="1329"/>
      <c r="L111" s="1330"/>
      <c r="M111" s="1331"/>
      <c r="N111" s="1143"/>
      <c r="O111" s="1143"/>
      <c r="P111" s="1312"/>
      <c r="Q111" s="1079"/>
      <c r="R111" s="971"/>
      <c r="S111" s="971"/>
      <c r="T111" s="971"/>
      <c r="U111" s="971"/>
      <c r="V111" s="971"/>
      <c r="W111" s="971"/>
      <c r="X111" s="971"/>
      <c r="Y111" s="971"/>
      <c r="Z111" s="971"/>
      <c r="AA111" s="971"/>
      <c r="AB111" s="971"/>
      <c r="AC111" s="971"/>
    </row>
    <row r="112" spans="1:29" ht="15">
      <c r="A112" s="899"/>
      <c r="B112" s="1106"/>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145"/>
      <c r="O112" s="1145"/>
      <c r="P112" s="1312"/>
      <c r="Q112" s="1079"/>
      <c r="R112" s="971"/>
      <c r="S112" s="971"/>
      <c r="T112" s="971"/>
      <c r="U112" s="971"/>
      <c r="V112" s="971"/>
      <c r="W112" s="971"/>
      <c r="X112" s="971"/>
      <c r="Y112" s="971"/>
      <c r="Z112" s="971"/>
      <c r="AA112" s="971"/>
      <c r="AB112" s="971"/>
      <c r="AC112" s="971"/>
    </row>
    <row r="113" spans="1:29" s="857" customFormat="1">
      <c r="A113" s="952"/>
      <c r="B113" s="1104" t="s">
        <v>1948</v>
      </c>
      <c r="C113" s="1112"/>
      <c r="D113" s="1112"/>
      <c r="E113" s="1112"/>
      <c r="F113" s="1112"/>
      <c r="G113" s="1112"/>
      <c r="H113" s="1126"/>
      <c r="I113" s="1126"/>
      <c r="J113" s="1126"/>
      <c r="K113" s="1171"/>
      <c r="L113" s="1172"/>
      <c r="M113" s="1173"/>
      <c r="N113" s="1155"/>
      <c r="O113" s="1155"/>
      <c r="P113" s="1313"/>
      <c r="Q113" s="1183"/>
      <c r="R113" s="1045"/>
      <c r="S113" s="1045"/>
      <c r="T113" s="1045"/>
      <c r="U113" s="1045"/>
      <c r="V113" s="1045"/>
      <c r="W113" s="1045"/>
      <c r="X113" s="1045"/>
      <c r="Y113" s="1045"/>
      <c r="Z113" s="1045"/>
      <c r="AA113" s="1045"/>
      <c r="AB113" s="1045"/>
      <c r="AC113" s="1045"/>
    </row>
    <row r="114" spans="1:29" s="857" customFormat="1" ht="15">
      <c r="A114" s="1111"/>
      <c r="B114" s="1106"/>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55"/>
      <c r="O114" s="1155"/>
      <c r="P114" s="1313"/>
      <c r="Q114" s="1183"/>
      <c r="R114" s="1045"/>
      <c r="S114" s="1045"/>
      <c r="T114" s="1045"/>
      <c r="U114" s="1045"/>
      <c r="V114" s="1045"/>
      <c r="W114" s="1045"/>
      <c r="X114" s="1045"/>
      <c r="Y114" s="1045"/>
      <c r="Z114" s="1045"/>
      <c r="AA114" s="1045"/>
      <c r="AB114" s="1045"/>
      <c r="AC114" s="1045"/>
    </row>
    <row r="115" spans="1:29">
      <c r="A115" s="947"/>
      <c r="B115" s="1104" t="s">
        <v>1569</v>
      </c>
      <c r="C115" s="1112"/>
      <c r="D115" s="1112"/>
      <c r="E115" s="1126"/>
      <c r="F115" s="1126"/>
      <c r="G115" s="1126"/>
      <c r="H115" s="1126"/>
      <c r="I115" s="1126"/>
      <c r="J115" s="1126"/>
      <c r="K115" s="1171"/>
      <c r="L115" s="1172"/>
      <c r="M115" s="1173"/>
      <c r="N115" s="1143"/>
      <c r="O115" s="1143"/>
      <c r="P115" s="1312"/>
      <c r="Q115" s="1079"/>
      <c r="R115" s="971"/>
      <c r="S115" s="971"/>
      <c r="T115" s="971"/>
      <c r="U115" s="971"/>
      <c r="V115" s="971"/>
      <c r="W115" s="971"/>
      <c r="X115" s="971"/>
      <c r="Y115" s="971"/>
      <c r="Z115" s="971"/>
      <c r="AA115" s="971"/>
      <c r="AB115" s="971"/>
      <c r="AC115" s="971"/>
    </row>
    <row r="116" spans="1:29" ht="15">
      <c r="A116" s="899"/>
      <c r="B116" s="1106"/>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49">
        <f t="shared" si="28"/>
        <v>100</v>
      </c>
      <c r="N116" s="1145"/>
      <c r="O116" s="1145"/>
      <c r="P116" s="1312"/>
      <c r="Q116" s="1079"/>
      <c r="R116" s="971"/>
      <c r="S116" s="971"/>
      <c r="T116" s="971"/>
      <c r="U116" s="971"/>
      <c r="V116" s="971"/>
      <c r="W116" s="971"/>
      <c r="X116" s="971"/>
      <c r="Y116" s="971"/>
      <c r="Z116" s="971"/>
      <c r="AA116" s="971"/>
      <c r="AB116" s="971"/>
      <c r="AC116" s="971"/>
    </row>
    <row r="117" spans="1:29">
      <c r="A117" s="947"/>
      <c r="B117" s="1104" t="s">
        <v>1571</v>
      </c>
      <c r="C117" s="1112"/>
      <c r="D117" s="1112"/>
      <c r="E117" s="1112"/>
      <c r="F117" s="1112"/>
      <c r="G117" s="1112"/>
      <c r="H117" s="1126"/>
      <c r="I117" s="1126"/>
      <c r="J117" s="1126"/>
      <c r="K117" s="1171"/>
      <c r="L117" s="1172"/>
      <c r="M117" s="1173"/>
      <c r="N117" s="1143"/>
      <c r="O117" s="1143"/>
      <c r="P117" s="1312"/>
      <c r="Q117" s="1079"/>
      <c r="R117" s="971"/>
      <c r="S117" s="971"/>
      <c r="T117" s="971"/>
      <c r="U117" s="971"/>
      <c r="V117" s="971"/>
      <c r="W117" s="971"/>
      <c r="X117" s="971"/>
      <c r="Y117" s="971"/>
      <c r="Z117" s="971"/>
      <c r="AA117" s="971"/>
      <c r="AB117" s="971"/>
      <c r="AC117" s="971"/>
    </row>
    <row r="118" spans="1:29" ht="15">
      <c r="A118" s="899"/>
      <c r="B118" s="1106"/>
      <c r="C118" s="1107">
        <v>100</v>
      </c>
      <c r="D118" s="1107">
        <f>C118-$K40</f>
        <v>100</v>
      </c>
      <c r="E118" s="1107">
        <f>D118-$K40</f>
        <v>100</v>
      </c>
      <c r="F118" s="1107">
        <f>E118-$K40</f>
        <v>100</v>
      </c>
      <c r="G118" s="1107">
        <f>F118-$K40</f>
        <v>100</v>
      </c>
      <c r="H118" s="1107"/>
      <c r="I118" s="1107"/>
      <c r="J118" s="1107"/>
      <c r="K118" s="1107"/>
      <c r="L118" s="1107"/>
      <c r="M118" s="1149"/>
      <c r="N118" s="1145"/>
      <c r="O118" s="1145"/>
      <c r="P118" s="1312"/>
      <c r="Q118" s="1079"/>
      <c r="R118" s="971"/>
      <c r="S118" s="971"/>
      <c r="T118" s="971"/>
      <c r="U118" s="971"/>
      <c r="V118" s="971"/>
      <c r="W118" s="971"/>
      <c r="X118" s="971"/>
      <c r="Y118" s="971"/>
      <c r="Z118" s="971"/>
      <c r="AA118" s="971"/>
      <c r="AB118" s="971"/>
      <c r="AC118" s="971"/>
    </row>
    <row r="119" spans="1:29">
      <c r="A119" s="947"/>
      <c r="B119" s="1246" t="s">
        <v>1950</v>
      </c>
      <c r="C119" s="1126"/>
      <c r="D119" s="1126"/>
      <c r="E119" s="1126"/>
      <c r="F119" s="1126"/>
      <c r="G119" s="1126"/>
      <c r="H119" s="1126"/>
      <c r="I119" s="1126"/>
      <c r="J119" s="1126"/>
      <c r="K119" s="1126"/>
      <c r="L119" s="1391"/>
      <c r="M119" s="1392"/>
      <c r="N119" s="1145"/>
      <c r="O119" s="1145"/>
      <c r="P119" s="1332"/>
      <c r="Q119" s="1256"/>
      <c r="R119" s="971"/>
      <c r="S119" s="971"/>
      <c r="T119" s="971"/>
      <c r="U119" s="971"/>
      <c r="V119" s="971"/>
      <c r="W119" s="971"/>
      <c r="X119" s="971"/>
      <c r="Y119" s="971"/>
      <c r="Z119" s="971"/>
      <c r="AA119" s="971"/>
      <c r="AB119" s="971"/>
      <c r="AC119" s="971"/>
    </row>
    <row r="120" spans="1:29" ht="15">
      <c r="A120" s="899"/>
      <c r="B120" s="1106"/>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145"/>
      <c r="O120" s="1145"/>
      <c r="P120" s="1312"/>
      <c r="Q120" s="1079"/>
      <c r="R120" s="971"/>
      <c r="S120" s="971"/>
      <c r="T120" s="971"/>
      <c r="U120" s="971"/>
      <c r="V120" s="971"/>
      <c r="W120" s="971"/>
      <c r="X120" s="971"/>
      <c r="Y120" s="971"/>
      <c r="Z120" s="971"/>
      <c r="AA120" s="971"/>
      <c r="AB120" s="971"/>
      <c r="AC120" s="971"/>
    </row>
    <row r="121" spans="1:29" s="857" customFormat="1">
      <c r="A121" s="952"/>
      <c r="B121" s="1104" t="s">
        <v>1943</v>
      </c>
      <c r="C121" s="1112"/>
      <c r="D121" s="1112"/>
      <c r="E121" s="1112"/>
      <c r="F121" s="1126"/>
      <c r="G121" s="1113"/>
      <c r="H121" s="1113"/>
      <c r="I121" s="1113"/>
      <c r="J121" s="1113"/>
      <c r="K121" s="1113"/>
      <c r="L121" s="1153"/>
      <c r="M121" s="1154"/>
      <c r="N121" s="1155"/>
      <c r="O121" s="1155"/>
      <c r="P121" s="1313"/>
      <c r="Q121" s="1183"/>
      <c r="R121" s="1045"/>
      <c r="S121" s="1045"/>
      <c r="T121" s="1045"/>
      <c r="U121" s="1045"/>
      <c r="V121" s="1045"/>
      <c r="W121" s="1045"/>
      <c r="X121" s="1045"/>
      <c r="Y121" s="1045"/>
      <c r="Z121" s="1045"/>
      <c r="AA121" s="1045"/>
      <c r="AB121" s="1045"/>
      <c r="AC121" s="1045"/>
    </row>
    <row r="122" spans="1:29" s="857" customFormat="1" ht="15">
      <c r="A122" s="1111"/>
      <c r="B122" s="1102"/>
      <c r="C122" s="1114"/>
      <c r="D122" s="1114"/>
      <c r="E122" s="1114"/>
      <c r="F122" s="1114"/>
      <c r="G122" s="1114"/>
      <c r="H122" s="1114"/>
      <c r="I122" s="1114"/>
      <c r="J122" s="1114"/>
      <c r="K122" s="1114"/>
      <c r="L122" s="1114"/>
      <c r="M122" s="1114"/>
      <c r="N122" s="1155"/>
      <c r="O122" s="1155"/>
      <c r="P122" s="1313"/>
      <c r="Q122" s="1183"/>
      <c r="R122" s="1045"/>
      <c r="S122" s="1045"/>
      <c r="T122" s="1045"/>
      <c r="U122" s="1045"/>
      <c r="V122" s="1045"/>
      <c r="W122" s="1045"/>
      <c r="X122" s="1045"/>
      <c r="Y122" s="1045"/>
      <c r="Z122" s="1045"/>
      <c r="AA122" s="1045"/>
      <c r="AB122" s="1045"/>
      <c r="AC122" s="1045"/>
    </row>
    <row r="123" spans="1:29">
      <c r="A123" s="947"/>
      <c r="B123" s="1104" t="s">
        <v>1574</v>
      </c>
      <c r="C123" s="1112"/>
      <c r="D123" s="1112"/>
      <c r="E123" s="1112"/>
      <c r="F123" s="1126"/>
      <c r="G123" s="1126"/>
      <c r="H123" s="1126"/>
      <c r="I123" s="1126"/>
      <c r="J123" s="1126"/>
      <c r="K123" s="1171"/>
      <c r="L123" s="1172"/>
      <c r="M123" s="1173"/>
      <c r="N123" s="1143"/>
      <c r="O123" s="1143"/>
      <c r="P123" s="1312"/>
      <c r="Q123" s="1079"/>
      <c r="R123" s="971"/>
      <c r="S123" s="971"/>
      <c r="T123" s="971"/>
      <c r="U123" s="971"/>
      <c r="V123" s="971"/>
      <c r="W123" s="971"/>
      <c r="X123" s="971"/>
      <c r="Y123" s="971"/>
      <c r="Z123" s="971"/>
      <c r="AA123" s="971"/>
      <c r="AB123" s="971"/>
      <c r="AC123" s="971"/>
    </row>
    <row r="124" spans="1:29" ht="15">
      <c r="A124" s="899"/>
      <c r="B124" s="1106"/>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49">
        <f t="shared" si="30"/>
        <v>100</v>
      </c>
      <c r="N124" s="1145"/>
      <c r="O124" s="1145"/>
      <c r="P124" s="1312"/>
      <c r="Q124" s="1079"/>
      <c r="R124" s="971"/>
      <c r="S124" s="971"/>
      <c r="T124" s="971"/>
      <c r="U124" s="971"/>
      <c r="V124" s="971"/>
      <c r="W124" s="971"/>
      <c r="X124" s="971"/>
      <c r="Y124" s="971"/>
      <c r="Z124" s="971"/>
      <c r="AA124" s="971"/>
      <c r="AB124" s="971"/>
      <c r="AC124" s="971"/>
    </row>
    <row r="125" spans="1:29">
      <c r="A125" s="947"/>
      <c r="B125" s="1104" t="s">
        <v>1576</v>
      </c>
      <c r="C125" s="1122" t="s">
        <v>1028</v>
      </c>
      <c r="D125" s="1122" t="s">
        <v>1029</v>
      </c>
      <c r="E125" s="1122" t="s">
        <v>1030</v>
      </c>
      <c r="F125" s="1122" t="s">
        <v>1031</v>
      </c>
      <c r="G125" s="1122" t="s">
        <v>1032</v>
      </c>
      <c r="H125" s="1105"/>
      <c r="I125" s="1105"/>
      <c r="J125" s="1105"/>
      <c r="K125" s="1146"/>
      <c r="L125" s="1147"/>
      <c r="M125" s="1148"/>
      <c r="N125" s="1143"/>
      <c r="O125" s="1143"/>
      <c r="P125" s="1313"/>
      <c r="Q125" s="1079"/>
      <c r="R125" s="971"/>
      <c r="S125" s="971"/>
      <c r="T125" s="971"/>
      <c r="U125" s="971"/>
      <c r="V125" s="971"/>
      <c r="W125" s="971"/>
      <c r="X125" s="971"/>
      <c r="Y125" s="971"/>
      <c r="Z125" s="971"/>
      <c r="AA125" s="971"/>
      <c r="AB125" s="971"/>
      <c r="AC125" s="971"/>
    </row>
    <row r="126" spans="1:29" ht="15">
      <c r="A126" s="899"/>
      <c r="B126" s="1106"/>
      <c r="C126" s="1107">
        <v>100</v>
      </c>
      <c r="D126" s="1107">
        <f>C126-$K44</f>
        <v>100</v>
      </c>
      <c r="E126" s="1107">
        <f>D126-$K44</f>
        <v>100</v>
      </c>
      <c r="F126" s="1107">
        <f>E126-$K44</f>
        <v>100</v>
      </c>
      <c r="G126" s="1107">
        <f>F126-$K44</f>
        <v>100</v>
      </c>
      <c r="H126" s="1107"/>
      <c r="I126" s="1107"/>
      <c r="J126" s="1107"/>
      <c r="K126" s="1107"/>
      <c r="L126" s="1107"/>
      <c r="M126" s="1149"/>
      <c r="N126" s="1145"/>
      <c r="O126" s="1145"/>
      <c r="P126" s="1312"/>
      <c r="Q126" s="1079"/>
      <c r="R126" s="971"/>
      <c r="S126" s="971"/>
      <c r="T126" s="971"/>
      <c r="U126" s="971"/>
      <c r="V126" s="971"/>
      <c r="W126" s="971"/>
      <c r="X126" s="971"/>
      <c r="Y126" s="971"/>
      <c r="Z126" s="971"/>
      <c r="AA126" s="971"/>
      <c r="AB126" s="971"/>
      <c r="AC126" s="971"/>
    </row>
    <row r="127" spans="1:29" s="857" customFormat="1">
      <c r="A127" s="952"/>
      <c r="B127" s="1104">
        <f>B45</f>
        <v>111</v>
      </c>
      <c r="C127" s="1112"/>
      <c r="D127" s="1112"/>
      <c r="E127" s="1112"/>
      <c r="F127" s="1112"/>
      <c r="G127" s="1112"/>
      <c r="H127" s="1113"/>
      <c r="I127" s="1113"/>
      <c r="J127" s="1113"/>
      <c r="K127" s="1113"/>
      <c r="L127" s="1153"/>
      <c r="M127" s="1154"/>
      <c r="N127" s="1155"/>
      <c r="O127" s="1155"/>
      <c r="P127" s="1313"/>
      <c r="Q127" s="1183"/>
      <c r="R127" s="1045"/>
      <c r="S127" s="1045"/>
      <c r="T127" s="1045"/>
      <c r="U127" s="1045"/>
      <c r="V127" s="1045"/>
      <c r="W127" s="1045"/>
      <c r="X127" s="1045"/>
      <c r="Y127" s="1045"/>
      <c r="Z127" s="1045"/>
      <c r="AA127" s="1045"/>
      <c r="AB127" s="1045"/>
      <c r="AC127" s="1045"/>
    </row>
    <row r="128" spans="1:29" s="857" customFormat="1" ht="15">
      <c r="A128" s="1111"/>
      <c r="B128" s="1106"/>
      <c r="C128" s="1114"/>
      <c r="D128" s="1103"/>
      <c r="E128" s="1103"/>
      <c r="F128" s="1103"/>
      <c r="G128" s="1114"/>
      <c r="H128" s="1115"/>
      <c r="I128" s="1115"/>
      <c r="J128" s="1115"/>
      <c r="K128" s="1115"/>
      <c r="L128" s="1115"/>
      <c r="M128" s="1156"/>
      <c r="N128" s="1155"/>
      <c r="O128" s="1155"/>
      <c r="P128" s="1313"/>
      <c r="Q128" s="1183"/>
      <c r="R128" s="1045"/>
      <c r="S128" s="1045"/>
      <c r="T128" s="1045"/>
      <c r="U128" s="1045"/>
      <c r="V128" s="1045"/>
      <c r="W128" s="1045"/>
      <c r="X128" s="1045"/>
      <c r="Y128" s="1045"/>
      <c r="Z128" s="1045"/>
      <c r="AA128" s="1045"/>
      <c r="AB128" s="1045"/>
      <c r="AC128" s="1045"/>
    </row>
    <row r="129" spans="1:29">
      <c r="A129" s="947"/>
      <c r="B129" s="1104">
        <f>B46</f>
        <v>111</v>
      </c>
      <c r="C129" s="1112"/>
      <c r="D129" s="1112"/>
      <c r="E129" s="1112"/>
      <c r="F129" s="1112"/>
      <c r="G129" s="1126"/>
      <c r="H129" s="1126"/>
      <c r="I129" s="1126"/>
      <c r="J129" s="1126"/>
      <c r="K129" s="1171"/>
      <c r="L129" s="1172"/>
      <c r="M129" s="1173"/>
      <c r="N129" s="1143"/>
      <c r="O129" s="1143"/>
      <c r="P129" s="1312"/>
      <c r="Q129" s="1079"/>
      <c r="R129" s="971"/>
      <c r="S129" s="971"/>
      <c r="T129" s="971"/>
      <c r="U129" s="971"/>
      <c r="V129" s="971"/>
      <c r="W129" s="971"/>
      <c r="X129" s="971"/>
      <c r="Y129" s="971"/>
      <c r="Z129" s="971"/>
      <c r="AA129" s="971"/>
      <c r="AB129" s="971"/>
      <c r="AC129" s="971"/>
    </row>
    <row r="130" spans="1:29" ht="15">
      <c r="A130" s="899"/>
      <c r="B130" s="1106"/>
      <c r="C130" s="1114"/>
      <c r="D130" s="1114"/>
      <c r="E130" s="1114"/>
      <c r="F130" s="1114"/>
      <c r="G130" s="1103"/>
      <c r="H130" s="1103"/>
      <c r="I130" s="1103"/>
      <c r="J130" s="1103"/>
      <c r="K130" s="1103"/>
      <c r="L130" s="1103"/>
      <c r="M130" s="1144"/>
      <c r="N130" s="1145"/>
      <c r="O130" s="1145"/>
      <c r="P130" s="1312"/>
      <c r="Q130" s="1079"/>
      <c r="R130" s="971"/>
      <c r="S130" s="971"/>
      <c r="T130" s="971"/>
      <c r="U130" s="971"/>
      <c r="V130" s="971"/>
      <c r="W130" s="971"/>
      <c r="X130" s="971"/>
      <c r="Y130" s="971"/>
      <c r="Z130" s="971"/>
      <c r="AA130" s="971"/>
      <c r="AB130" s="971"/>
      <c r="AC130" s="971"/>
    </row>
    <row r="131" spans="1:29">
      <c r="A131" s="947"/>
      <c r="B131" s="1108">
        <f>B47</f>
        <v>111</v>
      </c>
      <c r="C131" s="1098"/>
      <c r="D131" s="1098"/>
      <c r="E131" s="1098"/>
      <c r="F131" s="1098"/>
      <c r="G131" s="1127"/>
      <c r="H131" s="1127"/>
      <c r="I131" s="1127"/>
      <c r="J131" s="1127"/>
      <c r="K131" s="1098"/>
      <c r="L131" s="1136"/>
      <c r="M131" s="1176"/>
      <c r="N131" s="1143"/>
      <c r="O131" s="1143"/>
      <c r="P131" s="1312"/>
      <c r="Q131" s="1079"/>
      <c r="R131" s="971"/>
      <c r="S131" s="971"/>
      <c r="T131" s="971"/>
      <c r="U131" s="971"/>
      <c r="V131" s="971"/>
      <c r="W131" s="971"/>
      <c r="X131" s="971"/>
      <c r="Y131" s="971"/>
      <c r="Z131" s="971"/>
      <c r="AA131" s="971"/>
      <c r="AB131" s="971"/>
      <c r="AC131" s="971"/>
    </row>
    <row r="132" spans="1:29" ht="15">
      <c r="A132" s="908"/>
      <c r="B132" s="1118"/>
      <c r="C132" s="1119"/>
      <c r="D132" s="1119"/>
      <c r="E132" s="1119"/>
      <c r="F132" s="1119"/>
      <c r="G132" s="1128"/>
      <c r="H132" s="1128"/>
      <c r="I132" s="1128"/>
      <c r="J132" s="1128"/>
      <c r="K132" s="1128"/>
      <c r="L132" s="1128"/>
      <c r="M132" s="1177"/>
      <c r="N132" s="1145"/>
      <c r="O132" s="1145"/>
      <c r="P132" s="1312"/>
      <c r="Q132" s="1079"/>
      <c r="R132" s="971"/>
      <c r="S132" s="971"/>
      <c r="T132" s="971"/>
      <c r="U132" s="971"/>
      <c r="V132" s="971"/>
      <c r="W132" s="971"/>
      <c r="X132" s="971"/>
      <c r="Y132" s="971"/>
      <c r="Z132" s="971"/>
      <c r="AA132" s="971"/>
      <c r="AB132" s="971"/>
      <c r="AC132"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1551</v>
      </c>
      <c r="B1" s="1333" t="s">
        <v>1951</v>
      </c>
      <c r="C1" s="1188" t="s">
        <v>1553</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IF(C2="——",ROUND(C43*D3/10000,0),ROUND(C43*D3/10000,0)-D2)</f>
        <v>#DIV/0!</v>
      </c>
      <c r="C2" s="1195"/>
      <c r="D2" s="1196" t="e">
        <f ca="1">SUMIF(INDIRECT("'"&amp;F2&amp;"'"&amp;"!A:A"),"承租人权益价值",INDIRECT("'"&amp;F2&amp;"'"&amp;"!c:c"))</f>
        <v>#REF!</v>
      </c>
      <c r="E2" s="1197" t="s">
        <v>1397</v>
      </c>
      <c r="F2" s="1198"/>
      <c r="G2" s="870"/>
      <c r="H2" s="870"/>
      <c r="I2" s="870"/>
      <c r="J2" s="870"/>
      <c r="K2" s="870"/>
      <c r="L2" s="1340"/>
      <c r="M2" s="1341"/>
      <c r="N2" s="1341"/>
      <c r="O2" s="1341"/>
      <c r="P2" s="866"/>
      <c r="Q2" s="866"/>
      <c r="R2" s="866"/>
      <c r="S2" s="866"/>
      <c r="T2" s="866"/>
      <c r="U2" s="866"/>
      <c r="V2" s="866"/>
      <c r="W2" s="866"/>
      <c r="X2" s="866"/>
      <c r="Y2" s="866"/>
      <c r="Z2" s="866"/>
      <c r="AA2" s="866"/>
      <c r="AB2" s="866"/>
      <c r="AC2" s="1080"/>
    </row>
    <row r="3" spans="1:29" s="854" customFormat="1" ht="28.5" customHeight="1">
      <c r="A3" s="151" t="s">
        <v>942</v>
      </c>
      <c r="B3" s="872" t="e">
        <f ca="1">IF(C2="——",C43,ROUND(B2*10000/D3,0))</f>
        <v>#DIV/0!</v>
      </c>
      <c r="C3" s="1199" t="s">
        <v>943</v>
      </c>
      <c r="D3" s="1200">
        <f>IF(D1="",'数据-汇总表'!E3,SUMIF('数据-汇总表'!$C19:$C33,D1,'数据-汇总表'!$E19:$E33))</f>
        <v>72308.930000000008</v>
      </c>
      <c r="E3" s="870"/>
      <c r="F3" s="871"/>
      <c r="G3" s="870"/>
      <c r="H3" s="870"/>
      <c r="I3" s="870"/>
      <c r="J3" s="870"/>
      <c r="K3" s="1017"/>
      <c r="L3" s="1340"/>
      <c r="M3" s="1341"/>
      <c r="N3" s="1341"/>
      <c r="O3" s="1341"/>
      <c r="P3" s="866"/>
      <c r="Q3" s="866"/>
      <c r="R3" s="866"/>
      <c r="S3" s="866"/>
      <c r="T3" s="866"/>
      <c r="U3" s="866"/>
      <c r="V3" s="866"/>
      <c r="W3" s="866"/>
      <c r="X3" s="866"/>
      <c r="Y3" s="866"/>
      <c r="Z3" s="866"/>
      <c r="AA3" s="866"/>
      <c r="AB3" s="1081"/>
      <c r="AC3" s="1080"/>
    </row>
    <row r="4" spans="1:29" ht="15">
      <c r="A4" s="874" t="s">
        <v>944</v>
      </c>
      <c r="B4" s="875"/>
      <c r="C4" s="3315" t="s">
        <v>945</v>
      </c>
      <c r="D4" s="3316"/>
      <c r="E4" s="3317" t="s">
        <v>946</v>
      </c>
      <c r="F4" s="3318"/>
      <c r="G4" s="3315" t="s">
        <v>947</v>
      </c>
      <c r="H4" s="3316"/>
      <c r="I4" s="3315" t="s">
        <v>948</v>
      </c>
      <c r="J4" s="3316"/>
      <c r="K4" s="1020" t="s">
        <v>949</v>
      </c>
      <c r="L4" s="1342"/>
      <c r="M4" s="1006"/>
      <c r="N4" s="1006"/>
      <c r="O4" s="1006"/>
      <c r="P4" s="3341" t="s">
        <v>950</v>
      </c>
      <c r="Q4" s="3342"/>
      <c r="R4" s="3347" t="s">
        <v>946</v>
      </c>
      <c r="S4" s="3348"/>
      <c r="T4" s="3347" t="s">
        <v>947</v>
      </c>
      <c r="U4" s="3348"/>
      <c r="V4" s="3331" t="s">
        <v>948</v>
      </c>
      <c r="W4" s="3331"/>
      <c r="X4" s="1069"/>
      <c r="Y4" s="3347" t="s">
        <v>950</v>
      </c>
      <c r="Z4" s="3348"/>
      <c r="AA4" s="3336" t="s">
        <v>946</v>
      </c>
      <c r="AB4" s="3337" t="s">
        <v>947</v>
      </c>
      <c r="AC4" s="3336" t="s">
        <v>948</v>
      </c>
    </row>
    <row r="5" spans="1:29" ht="15">
      <c r="A5" s="878"/>
      <c r="B5" s="879"/>
      <c r="C5" s="3319" t="s">
        <v>951</v>
      </c>
      <c r="D5" s="3320"/>
      <c r="E5" s="3321" t="s">
        <v>1934</v>
      </c>
      <c r="F5" s="3322"/>
      <c r="G5" s="3319" t="s">
        <v>1935</v>
      </c>
      <c r="H5" s="3320"/>
      <c r="I5" s="3319" t="s">
        <v>1936</v>
      </c>
      <c r="J5" s="3320"/>
      <c r="K5" s="1020"/>
      <c r="L5" s="1342"/>
      <c r="M5" s="1006"/>
      <c r="N5" s="1006"/>
      <c r="O5" s="1006"/>
      <c r="P5" s="3343"/>
      <c r="Q5" s="3344"/>
      <c r="R5" s="3349"/>
      <c r="S5" s="3350"/>
      <c r="T5" s="3349"/>
      <c r="U5" s="3350"/>
      <c r="V5" s="3331"/>
      <c r="W5" s="3331"/>
      <c r="X5" s="1069"/>
      <c r="Y5" s="3349"/>
      <c r="Z5" s="3350"/>
      <c r="AA5" s="3337"/>
      <c r="AB5" s="3337"/>
      <c r="AC5" s="3337"/>
    </row>
    <row r="6" spans="1:29" ht="15">
      <c r="A6" s="880"/>
      <c r="B6" s="881"/>
      <c r="C6" s="3323" t="s">
        <v>952</v>
      </c>
      <c r="D6" s="3324"/>
      <c r="E6" s="3325" t="s">
        <v>952</v>
      </c>
      <c r="F6" s="3326"/>
      <c r="G6" s="3323" t="s">
        <v>952</v>
      </c>
      <c r="H6" s="3324"/>
      <c r="I6" s="3323" t="s">
        <v>952</v>
      </c>
      <c r="J6" s="3324"/>
      <c r="K6" s="1020" t="s">
        <v>953</v>
      </c>
      <c r="L6" s="1342"/>
      <c r="M6" s="1006"/>
      <c r="N6" s="1006"/>
      <c r="O6" s="1006"/>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887"/>
      <c r="F7" s="888">
        <f>SUMIF(52:52,YEAR(E7)&amp;"-"&amp;MONTH(E7),53:53)</f>
        <v>0</v>
      </c>
      <c r="G7" s="887"/>
      <c r="H7" s="886">
        <f>SUMIF(52:52,YEAR(G7)&amp;"-"&amp;MONTH(G7),53:53)</f>
        <v>0</v>
      </c>
      <c r="I7" s="887"/>
      <c r="J7" s="886">
        <f>SUMIF(52:52,YEAR(I7)&amp;"-"&amp;MONTH(I7),53:53)</f>
        <v>0</v>
      </c>
      <c r="K7" s="1025"/>
      <c r="L7" s="1343"/>
      <c r="M7" s="1344"/>
      <c r="N7" s="1344"/>
      <c r="O7" s="1344"/>
      <c r="P7" s="3327" t="s">
        <v>955</v>
      </c>
      <c r="Q7" s="3328"/>
      <c r="R7" s="1070" t="s">
        <v>956</v>
      </c>
      <c r="S7" s="1071">
        <f t="shared" ref="S7:S15" si="0">F7</f>
        <v>0</v>
      </c>
      <c r="T7" s="1070" t="s">
        <v>956</v>
      </c>
      <c r="U7" s="1071">
        <f t="shared" ref="U7:U15" si="1">H7</f>
        <v>0</v>
      </c>
      <c r="V7" s="1070" t="s">
        <v>956</v>
      </c>
      <c r="W7" s="1071">
        <f t="shared" ref="W7:W15" si="2">J7</f>
        <v>0</v>
      </c>
      <c r="X7" s="1072"/>
      <c r="Y7" s="3327" t="s">
        <v>955</v>
      </c>
      <c r="Z7" s="3329"/>
      <c r="AA7" s="1082" t="e">
        <f>D7/F7</f>
        <v>#DIV/0!</v>
      </c>
      <c r="AB7" s="1082" t="e">
        <f>D7/H7</f>
        <v>#DIV/0!</v>
      </c>
      <c r="AC7" s="1082" t="e">
        <f>D7/J7</f>
        <v>#DIV/0!</v>
      </c>
    </row>
    <row r="8" spans="1:29" s="855" customFormat="1" ht="15">
      <c r="A8" s="883" t="s">
        <v>957</v>
      </c>
      <c r="B8" s="884"/>
      <c r="C8" s="890" t="s">
        <v>958</v>
      </c>
      <c r="D8" s="886">
        <v>100</v>
      </c>
      <c r="E8" s="890"/>
      <c r="F8" s="888">
        <f>SUMIF(55:55,E8,56:56)-SUMIF(55:55,C8,56:56)+100</f>
        <v>0</v>
      </c>
      <c r="G8" s="890"/>
      <c r="H8" s="886">
        <f>SUMIF(55:55,G8,56:56)-SUMIF(55:55,C8,56:56)+100</f>
        <v>0</v>
      </c>
      <c r="I8" s="890"/>
      <c r="J8" s="886">
        <f>SUMIF(55:55,I8,56:56)-SUMIF(55:55,C8,56:56)+100</f>
        <v>0</v>
      </c>
      <c r="K8" s="1025"/>
      <c r="L8" s="1343"/>
      <c r="M8" s="1344"/>
      <c r="N8" s="1344"/>
      <c r="O8" s="1344"/>
      <c r="P8" s="3327" t="s">
        <v>959</v>
      </c>
      <c r="Q8" s="3329"/>
      <c r="R8" s="1070" t="s">
        <v>956</v>
      </c>
      <c r="S8" s="1071">
        <f t="shared" si="0"/>
        <v>0</v>
      </c>
      <c r="T8" s="1070" t="s">
        <v>956</v>
      </c>
      <c r="U8" s="1071">
        <f t="shared" si="1"/>
        <v>0</v>
      </c>
      <c r="V8" s="1070" t="s">
        <v>956</v>
      </c>
      <c r="W8" s="1071">
        <f t="shared" si="2"/>
        <v>0</v>
      </c>
      <c r="X8" s="1072"/>
      <c r="Y8" s="3327" t="s">
        <v>959</v>
      </c>
      <c r="Z8" s="3329"/>
      <c r="AA8" s="1082" t="e">
        <f t="shared" ref="AA8:AA40" si="3">D8/F8</f>
        <v>#DIV/0!</v>
      </c>
      <c r="AB8" s="1082" t="e">
        <f t="shared" ref="AB8:AB40" si="4">D8/H8</f>
        <v>#DIV/0!</v>
      </c>
      <c r="AC8" s="1082" t="e">
        <f t="shared" ref="AC8:AC40" si="5">D8/J8</f>
        <v>#DIV/0!</v>
      </c>
    </row>
    <row r="9" spans="1:29" s="855" customFormat="1">
      <c r="A9" s="891" t="s">
        <v>960</v>
      </c>
      <c r="B9" s="892" t="s">
        <v>961</v>
      </c>
      <c r="C9" s="1203"/>
      <c r="D9" s="894">
        <v>100</v>
      </c>
      <c r="E9" s="1334"/>
      <c r="F9" s="894">
        <f>SUMIF(57:57,E9,58:58)-SUMIF(57:57,C9,58:58)+100</f>
        <v>100</v>
      </c>
      <c r="G9" s="1335"/>
      <c r="H9" s="894">
        <f>SUMIF(57:57,G9,58:58)-SUMIF(57:57,C9,58:58)+100</f>
        <v>100</v>
      </c>
      <c r="I9" s="1335"/>
      <c r="J9" s="894">
        <f>SUMIF(57:57,I9,58:58)-SUMIF(57:57,C9,58:58)+100</f>
        <v>100</v>
      </c>
      <c r="K9" s="1025"/>
      <c r="L9" s="1343"/>
      <c r="M9" s="1344"/>
      <c r="N9" s="1344"/>
      <c r="O9" s="1345"/>
      <c r="P9" s="333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206"/>
      <c r="F10" s="898">
        <f>SUMIF(59:59,E10,60:60)-SUMIF(59:59,C10,60:60)+100</f>
        <v>100</v>
      </c>
      <c r="G10" s="1336"/>
      <c r="H10" s="898">
        <f>SUMIF(59:59,G10,60:60)-SUMIF(59:59,C10,60:60)+100</f>
        <v>100</v>
      </c>
      <c r="I10" s="1206"/>
      <c r="J10" s="898">
        <f>SUMIF(59:59,I10,60:60)-SUMIF(59:59,C10,60:60)+100</f>
        <v>100</v>
      </c>
      <c r="K10" s="1044"/>
      <c r="L10" s="1346"/>
      <c r="M10" s="1347"/>
      <c r="N10" s="1347"/>
      <c r="O10" s="1348"/>
      <c r="P10" s="333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082">
        <f t="shared" si="5"/>
        <v>1</v>
      </c>
    </row>
    <row r="11" spans="1:29" ht="15">
      <c r="A11" s="899"/>
      <c r="B11" s="896" t="s">
        <v>965</v>
      </c>
      <c r="C11" s="900"/>
      <c r="D11" s="898">
        <v>100</v>
      </c>
      <c r="E11" s="900"/>
      <c r="F11" s="898" t="e">
        <f>LOOKUP(E11,62:62,63:63)-LOOKUP(C11,62:62,63:63)+100</f>
        <v>#N/A</v>
      </c>
      <c r="G11" s="901"/>
      <c r="H11" s="898" t="e">
        <f>LOOKUP(G11,62:62,63:63)-LOOKUP(C11,62:62,63:63)+100</f>
        <v>#N/A</v>
      </c>
      <c r="I11" s="900"/>
      <c r="J11" s="898" t="e">
        <f>LOOKUP(I11,62:62,63:63)-LOOKUP(C11,62:62,63:63)+100</f>
        <v>#N/A</v>
      </c>
      <c r="K11" s="1044"/>
      <c r="L11" s="1349"/>
      <c r="M11" s="1006"/>
      <c r="N11" s="1006"/>
      <c r="O11" s="1350"/>
      <c r="P11" s="3330"/>
      <c r="Q11" s="795" t="str">
        <f t="shared" si="6"/>
        <v>容积率</v>
      </c>
      <c r="R11" s="1070" t="s">
        <v>956</v>
      </c>
      <c r="S11" s="1071" t="e">
        <f t="shared" si="0"/>
        <v>#N/A</v>
      </c>
      <c r="T11" s="1070" t="s">
        <v>956</v>
      </c>
      <c r="U11" s="1071" t="e">
        <f t="shared" si="1"/>
        <v>#N/A</v>
      </c>
      <c r="V11" s="1070" t="s">
        <v>956</v>
      </c>
      <c r="W11" s="1071" t="e">
        <f t="shared" si="2"/>
        <v>#N/A</v>
      </c>
      <c r="X11" s="1072"/>
      <c r="Y11" s="3306"/>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8">
        <f>SUMIF(64:64,E12,65:65)-SUMIF(64:64,C12,65:65)+100</f>
        <v>100</v>
      </c>
      <c r="G12" s="1337"/>
      <c r="H12" s="898">
        <f>SUMIF(64:64,G12,65:65)-SUMIF(64:64,C12,65:65)+100</f>
        <v>100</v>
      </c>
      <c r="I12" s="1207"/>
      <c r="J12" s="898">
        <f>SUMIF(64:64,I12,65:65)-SUMIF(64:64,C12,65:65)+100</f>
        <v>100</v>
      </c>
      <c r="K12" s="1043"/>
      <c r="L12" s="1343"/>
      <c r="M12" s="1344"/>
      <c r="N12" s="1344"/>
      <c r="O12" s="1345"/>
      <c r="P12" s="333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899"/>
      <c r="B13" s="903">
        <v>111</v>
      </c>
      <c r="C13" s="907"/>
      <c r="D13" s="765">
        <v>100</v>
      </c>
      <c r="E13" s="907"/>
      <c r="F13" s="898">
        <f>SUMIF(66:66,E13,67:67)-SUMIF(66:66,C13,67:67)+100</f>
        <v>100</v>
      </c>
      <c r="G13" s="1337"/>
      <c r="H13" s="765">
        <f>SUMIF(66:66,G13,67:67)-SUMIF(66:66,C13,67:67)+100</f>
        <v>100</v>
      </c>
      <c r="I13" s="1207"/>
      <c r="J13" s="765">
        <f>SUMIF(66:66,I13,67:67)-SUMIF(66:66,C13,67:67)+100</f>
        <v>100</v>
      </c>
      <c r="K13" s="1043"/>
      <c r="L13" s="1351"/>
      <c r="M13" s="1006"/>
      <c r="N13" s="1006"/>
      <c r="O13" s="1350"/>
      <c r="P13" s="333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08"/>
      <c r="B14" s="909">
        <v>111</v>
      </c>
      <c r="C14" s="910"/>
      <c r="D14" s="911">
        <v>100</v>
      </c>
      <c r="E14" s="910"/>
      <c r="F14" s="911">
        <f>SUMIF(68:68,E14,69:69)-SUMIF(68:68,C14,69:69)+100</f>
        <v>100</v>
      </c>
      <c r="G14" s="1337"/>
      <c r="H14" s="911">
        <f>SUMIF(68:68,G14,69:69)-SUMIF(68:68,C14,69:69)+100</f>
        <v>100</v>
      </c>
      <c r="I14" s="1207"/>
      <c r="J14" s="911">
        <f>SUMIF(68:68,I14,69:69)-SUMIF(68:68,C14,69:69)+100</f>
        <v>100</v>
      </c>
      <c r="K14" s="1043"/>
      <c r="L14" s="1351"/>
      <c r="M14" s="1006"/>
      <c r="N14" s="1006"/>
      <c r="O14" s="1350"/>
      <c r="P14" s="333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082">
        <f t="shared" si="5"/>
        <v>1</v>
      </c>
    </row>
    <row r="15" spans="1:29" ht="57">
      <c r="A15" s="912" t="s">
        <v>967</v>
      </c>
      <c r="B15" s="1209" t="s">
        <v>1952</v>
      </c>
      <c r="C15" s="914" t="str">
        <f>估价对象房地状况!G3</f>
        <v>估价对象位于XX开发区，园区建设成熟度XX，产业集聚程度XX</v>
      </c>
      <c r="D15" s="915">
        <v>100</v>
      </c>
      <c r="E15" s="916"/>
      <c r="F15" s="1210">
        <f>SUMIF(70:70,E16,71:71)-SUMIF(70:70,C16,71:71)+100</f>
        <v>100</v>
      </c>
      <c r="G15" s="1038"/>
      <c r="H15" s="915">
        <f>SUMIF(70:70,G16,71:71)-SUMIF(70:70,C16,71:71)+100</f>
        <v>100</v>
      </c>
      <c r="I15" s="916"/>
      <c r="J15" s="915">
        <f>SUMIF(70:70,I16,71:71)-SUMIF(70:70,C16,71:71)+100</f>
        <v>100</v>
      </c>
      <c r="K15" s="1241"/>
      <c r="L15" s="1351"/>
      <c r="M15" s="1006"/>
      <c r="N15" s="1006"/>
      <c r="O15" s="1350"/>
      <c r="P15" s="3332" t="s">
        <v>969</v>
      </c>
      <c r="Q15" s="641" t="str">
        <f t="shared" si="6"/>
        <v>产业集聚程度</v>
      </c>
      <c r="R15" s="1074" t="s">
        <v>956</v>
      </c>
      <c r="S15" s="1075">
        <f t="shared" si="0"/>
        <v>100</v>
      </c>
      <c r="T15" s="1074" t="s">
        <v>956</v>
      </c>
      <c r="U15" s="1075">
        <f t="shared" si="1"/>
        <v>100</v>
      </c>
      <c r="V15" s="1074" t="s">
        <v>956</v>
      </c>
      <c r="W15" s="1075">
        <f t="shared" si="2"/>
        <v>100</v>
      </c>
      <c r="X15" s="1069"/>
      <c r="Y15" s="3332" t="s">
        <v>969</v>
      </c>
      <c r="Z15" s="1058" t="str">
        <f t="shared" si="7"/>
        <v>产业集聚程度</v>
      </c>
      <c r="AA15" s="1058">
        <f t="shared" si="3"/>
        <v>1</v>
      </c>
      <c r="AB15" s="1058">
        <f t="shared" si="4"/>
        <v>1</v>
      </c>
      <c r="AC15" s="1058">
        <f t="shared" si="5"/>
        <v>1</v>
      </c>
    </row>
    <row r="16" spans="1:29" ht="15">
      <c r="A16" s="899"/>
      <c r="B16" s="1011"/>
      <c r="C16" s="918"/>
      <c r="D16" s="919"/>
      <c r="E16" s="918"/>
      <c r="F16" s="1024"/>
      <c r="G16" s="918"/>
      <c r="H16" s="921"/>
      <c r="I16" s="918"/>
      <c r="J16" s="919"/>
      <c r="K16" s="1242"/>
      <c r="L16" s="1351"/>
      <c r="M16" s="1006"/>
      <c r="N16" s="1006"/>
      <c r="O16" s="1350"/>
      <c r="P16" s="3333"/>
      <c r="Q16" s="641"/>
      <c r="R16" s="1074"/>
      <c r="S16" s="1075"/>
      <c r="T16" s="1074"/>
      <c r="U16" s="1075"/>
      <c r="V16" s="1074"/>
      <c r="W16" s="1075"/>
      <c r="X16" s="1069"/>
      <c r="Y16" s="3333"/>
      <c r="Z16" s="1058"/>
      <c r="AA16" s="1058">
        <v>1</v>
      </c>
      <c r="AB16" s="1058">
        <v>1</v>
      </c>
      <c r="AC16" s="1058">
        <v>1</v>
      </c>
    </row>
    <row r="17" spans="1:29" ht="85.5">
      <c r="A17" s="899"/>
      <c r="B17" s="1211" t="s">
        <v>973</v>
      </c>
      <c r="C17" s="923" t="str">
        <f>估价对象房地状况!G4</f>
        <v>估价对象周边道路状况、公共交通通达情况、停车便捷程度，综合评价交通便捷度较好</v>
      </c>
      <c r="D17" s="921">
        <v>100</v>
      </c>
      <c r="E17" s="924"/>
      <c r="F17" s="1023">
        <f>SUMIF(72:72,E18,73:73)-SUMIF(72:72,C18,73:73)+100</f>
        <v>100</v>
      </c>
      <c r="G17" s="1040"/>
      <c r="H17" s="925">
        <f>SUMIF(72:72,G18,73:73)-SUMIF(72:72,C18,73:73)+100</f>
        <v>100</v>
      </c>
      <c r="I17" s="924"/>
      <c r="J17" s="925">
        <f>SUMIF(72:72,I18,73:73)-SUMIF(72:72,C18,73:73)+100</f>
        <v>100</v>
      </c>
      <c r="K17" s="1241"/>
      <c r="L17" s="1351"/>
      <c r="M17" s="1006"/>
      <c r="N17" s="1006"/>
      <c r="O17" s="1350"/>
      <c r="P17" s="3333"/>
      <c r="Q17" s="641" t="str">
        <f>B17</f>
        <v>交通便捷度</v>
      </c>
      <c r="R17" s="1074" t="s">
        <v>956</v>
      </c>
      <c r="S17" s="1075">
        <f>F17</f>
        <v>100</v>
      </c>
      <c r="T17" s="1074" t="s">
        <v>956</v>
      </c>
      <c r="U17" s="1075">
        <f>H17</f>
        <v>100</v>
      </c>
      <c r="V17" s="1074" t="s">
        <v>956</v>
      </c>
      <c r="W17" s="1075">
        <f>J17</f>
        <v>100</v>
      </c>
      <c r="X17" s="1069"/>
      <c r="Y17" s="3333"/>
      <c r="Z17" s="1058" t="str">
        <f>Q17</f>
        <v>交通便捷度</v>
      </c>
      <c r="AA17" s="1058">
        <f t="shared" si="3"/>
        <v>1</v>
      </c>
      <c r="AB17" s="1058">
        <f t="shared" si="4"/>
        <v>1</v>
      </c>
      <c r="AC17" s="1058">
        <f t="shared" si="5"/>
        <v>1</v>
      </c>
    </row>
    <row r="18" spans="1:29" ht="15">
      <c r="A18" s="899"/>
      <c r="B18" s="945"/>
      <c r="C18" s="1214"/>
      <c r="D18" s="921"/>
      <c r="E18" s="1338"/>
      <c r="F18" s="1023"/>
      <c r="G18" s="1339"/>
      <c r="H18" s="919"/>
      <c r="I18" s="1338"/>
      <c r="J18" s="919"/>
      <c r="K18" s="1242"/>
      <c r="L18" s="1351"/>
      <c r="M18" s="1006"/>
      <c r="N18" s="1006"/>
      <c r="O18" s="1350"/>
      <c r="P18" s="3333"/>
      <c r="Q18" s="641"/>
      <c r="R18" s="1074"/>
      <c r="S18" s="1075"/>
      <c r="T18" s="1074"/>
      <c r="U18" s="1075"/>
      <c r="V18" s="1074"/>
      <c r="W18" s="1075"/>
      <c r="X18" s="1069"/>
      <c r="Y18" s="3333"/>
      <c r="Z18" s="1058"/>
      <c r="AA18" s="1058">
        <v>1</v>
      </c>
      <c r="AB18" s="1058">
        <v>1</v>
      </c>
      <c r="AC18" s="1058">
        <v>1</v>
      </c>
    </row>
    <row r="19" spans="1:29" ht="42.75">
      <c r="A19" s="899"/>
      <c r="B19" s="1211" t="s">
        <v>976</v>
      </c>
      <c r="C19" s="923" t="str">
        <f>估价对象房地状况!G5</f>
        <v>估价对象所在区域公共配套设施齐备情况</v>
      </c>
      <c r="D19" s="925">
        <v>100</v>
      </c>
      <c r="E19" s="1212"/>
      <c r="F19" s="1022">
        <f>SUMIF(74:74,E20,75:75)-SUMIF(74:74,C20,75:75)+100</f>
        <v>100</v>
      </c>
      <c r="G19" s="1213"/>
      <c r="H19" s="921">
        <f>SUMIF(74:74,G20,75:75)-SUMIF(74:74,C20,75:75)+100</f>
        <v>100</v>
      </c>
      <c r="I19" s="1212"/>
      <c r="J19" s="921">
        <f>SUMIF(74:74,I20,75:75)-SUMIF(74:74,C20,75:75)+100</f>
        <v>100</v>
      </c>
      <c r="K19" s="1241"/>
      <c r="L19" s="1351"/>
      <c r="M19" s="1006"/>
      <c r="N19" s="1006"/>
      <c r="O19" s="1350"/>
      <c r="P19" s="3333"/>
      <c r="Q19" s="641" t="str">
        <f>B19</f>
        <v>公共配套设施</v>
      </c>
      <c r="R19" s="1074" t="s">
        <v>956</v>
      </c>
      <c r="S19" s="1075">
        <f>F19</f>
        <v>100</v>
      </c>
      <c r="T19" s="1074" t="s">
        <v>956</v>
      </c>
      <c r="U19" s="1075">
        <f>H19</f>
        <v>100</v>
      </c>
      <c r="V19" s="1074" t="s">
        <v>956</v>
      </c>
      <c r="W19" s="1075">
        <f>J19</f>
        <v>100</v>
      </c>
      <c r="X19" s="1069"/>
      <c r="Y19" s="3333"/>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351"/>
      <c r="M20" s="1006"/>
      <c r="N20" s="1006"/>
      <c r="O20" s="1350"/>
      <c r="P20" s="3333"/>
      <c r="Q20" s="641"/>
      <c r="R20" s="1074"/>
      <c r="S20" s="1075"/>
      <c r="T20" s="1074"/>
      <c r="U20" s="1075"/>
      <c r="V20" s="1074"/>
      <c r="W20" s="1075"/>
      <c r="X20" s="1069"/>
      <c r="Y20" s="3333"/>
      <c r="Z20" s="1058"/>
      <c r="AA20" s="1058">
        <v>1</v>
      </c>
      <c r="AB20" s="1058">
        <v>1</v>
      </c>
      <c r="AC20" s="1058">
        <v>1</v>
      </c>
    </row>
    <row r="21" spans="1:29" ht="28.5">
      <c r="A21" s="899"/>
      <c r="B21" s="1215" t="s">
        <v>977</v>
      </c>
      <c r="C21" s="923" t="str">
        <f>估价对象房地状况!G6</f>
        <v>估价对象所在区域基础设施水平</v>
      </c>
      <c r="D21" s="921">
        <v>100</v>
      </c>
      <c r="E21" s="1212"/>
      <c r="F21" s="1022">
        <f>SUMIF(76:76,E22,77:77)-SUMIF(76:76,C22,77:77)+100</f>
        <v>100</v>
      </c>
      <c r="G21" s="1213"/>
      <c r="H21" s="921">
        <f>SUMIF(76:76,G22,77:77)-SUMIF(76:76,C22,77:77)+100</f>
        <v>100</v>
      </c>
      <c r="I21" s="1212"/>
      <c r="J21" s="921">
        <f>SUMIF(76:76,I22,77:77)-SUMIF(76:76,C22,77:77)+100</f>
        <v>100</v>
      </c>
      <c r="K21" s="1241"/>
      <c r="L21" s="1351"/>
      <c r="M21" s="1006"/>
      <c r="N21" s="1006"/>
      <c r="O21" s="1350"/>
      <c r="P21" s="3333"/>
      <c r="Q21" s="641" t="str">
        <f>B21</f>
        <v>基础设施水平</v>
      </c>
      <c r="R21" s="1074" t="s">
        <v>956</v>
      </c>
      <c r="S21" s="1075">
        <f>F21</f>
        <v>100</v>
      </c>
      <c r="T21" s="1074" t="s">
        <v>956</v>
      </c>
      <c r="U21" s="1075">
        <f>H21</f>
        <v>100</v>
      </c>
      <c r="V21" s="1074" t="s">
        <v>956</v>
      </c>
      <c r="W21" s="1075">
        <f>J21</f>
        <v>100</v>
      </c>
      <c r="X21" s="1069"/>
      <c r="Y21" s="3333"/>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351"/>
      <c r="M22" s="1006"/>
      <c r="N22" s="1006"/>
      <c r="O22" s="1350"/>
      <c r="P22" s="3333"/>
      <c r="Q22" s="641"/>
      <c r="R22" s="1074"/>
      <c r="S22" s="1075"/>
      <c r="T22" s="1074"/>
      <c r="U22" s="1075"/>
      <c r="V22" s="1074"/>
      <c r="W22" s="1075"/>
      <c r="X22" s="1069"/>
      <c r="Y22" s="3333"/>
      <c r="Z22" s="1058"/>
      <c r="AA22" s="1058">
        <v>1</v>
      </c>
      <c r="AB22" s="1058">
        <v>1</v>
      </c>
      <c r="AC22" s="1058">
        <v>1</v>
      </c>
    </row>
    <row r="23" spans="1:29" ht="71.25">
      <c r="A23" s="899"/>
      <c r="B23" s="1211" t="s">
        <v>1947</v>
      </c>
      <c r="C23" s="923" t="str">
        <f>估价对象房地状况!G7</f>
        <v>该园区内是否有污染型企业，绿化情况，卫生条件，整体环境状况判断</v>
      </c>
      <c r="D23" s="921">
        <v>100</v>
      </c>
      <c r="E23" s="924"/>
      <c r="F23" s="1023">
        <f>SUMIF(78:78,E24,79:79)-SUMIF(78:78,C24,79:79)+100</f>
        <v>100</v>
      </c>
      <c r="G23" s="1040"/>
      <c r="H23" s="921">
        <f>SUMIF(78:78,G24,79:79)-SUMIF(78:78,C24,79:79)+100</f>
        <v>100</v>
      </c>
      <c r="I23" s="924"/>
      <c r="J23" s="921">
        <f>SUMIF(78:78,I24,79:79)-SUMIF(78:78,C24,79:79)+100</f>
        <v>100</v>
      </c>
      <c r="K23" s="1241"/>
      <c r="L23" s="1351"/>
      <c r="M23" s="1006"/>
      <c r="N23" s="1006"/>
      <c r="O23" s="1350"/>
      <c r="P23" s="3333"/>
      <c r="Q23" s="641" t="str">
        <f>B23</f>
        <v>环境质量</v>
      </c>
      <c r="R23" s="1074" t="s">
        <v>956</v>
      </c>
      <c r="S23" s="1075">
        <f>F23</f>
        <v>100</v>
      </c>
      <c r="T23" s="1074" t="s">
        <v>956</v>
      </c>
      <c r="U23" s="1075">
        <f>H23</f>
        <v>100</v>
      </c>
      <c r="V23" s="1074" t="s">
        <v>956</v>
      </c>
      <c r="W23" s="1075">
        <f>J23</f>
        <v>100</v>
      </c>
      <c r="X23" s="1069"/>
      <c r="Y23" s="3333"/>
      <c r="Z23" s="1058" t="str">
        <f>Q23</f>
        <v>环境质量</v>
      </c>
      <c r="AA23" s="1058">
        <f t="shared" si="3"/>
        <v>1</v>
      </c>
      <c r="AB23" s="1058">
        <f t="shared" si="4"/>
        <v>1</v>
      </c>
      <c r="AC23" s="1058">
        <f t="shared" si="5"/>
        <v>1</v>
      </c>
    </row>
    <row r="24" spans="1:29" ht="15">
      <c r="A24" s="899"/>
      <c r="B24" s="1215"/>
      <c r="C24" s="918"/>
      <c r="D24" s="919"/>
      <c r="E24" s="927"/>
      <c r="F24" s="1024"/>
      <c r="G24" s="1041"/>
      <c r="H24" s="919"/>
      <c r="I24" s="927"/>
      <c r="J24" s="919"/>
      <c r="K24" s="1242"/>
      <c r="L24" s="1351"/>
      <c r="M24" s="1006"/>
      <c r="N24" s="1006"/>
      <c r="O24" s="1350"/>
      <c r="P24" s="3333"/>
      <c r="Q24" s="641"/>
      <c r="R24" s="1074"/>
      <c r="S24" s="1075"/>
      <c r="T24" s="1074"/>
      <c r="U24" s="1075"/>
      <c r="V24" s="1074"/>
      <c r="W24" s="1075"/>
      <c r="X24" s="1069"/>
      <c r="Y24" s="3333"/>
      <c r="Z24" s="1058"/>
      <c r="AA24" s="1058">
        <v>1</v>
      </c>
      <c r="AB24" s="1058">
        <v>1</v>
      </c>
      <c r="AC24" s="1058">
        <v>1</v>
      </c>
    </row>
    <row r="25" spans="1:29" ht="15">
      <c r="A25" s="878"/>
      <c r="B25" s="1133">
        <v>111</v>
      </c>
      <c r="C25" s="907">
        <v>111</v>
      </c>
      <c r="D25" s="765">
        <v>100</v>
      </c>
      <c r="E25" s="907"/>
      <c r="F25" s="1053">
        <f>SUMIF(80:80,E25,81:81)-SUMIF(80:80,C25,81:81)+100</f>
        <v>100</v>
      </c>
      <c r="G25" s="907"/>
      <c r="H25" s="765">
        <f>SUMIF(80:80,G25,81:81)-SUMIF(80:80,C25,81:81)+100</f>
        <v>100</v>
      </c>
      <c r="I25" s="907"/>
      <c r="J25" s="765">
        <f>SUMIF(80:80,I25,81:81)-SUMIF(80:80,C25,81:81)+100</f>
        <v>100</v>
      </c>
      <c r="K25" s="1043"/>
      <c r="L25" s="1351"/>
      <c r="M25" s="1006"/>
      <c r="N25" s="1006"/>
      <c r="O25" s="1350"/>
      <c r="P25" s="3333"/>
      <c r="Q25" s="641">
        <f>B25</f>
        <v>111</v>
      </c>
      <c r="R25" s="1074" t="s">
        <v>956</v>
      </c>
      <c r="S25" s="1075">
        <f>F25</f>
        <v>100</v>
      </c>
      <c r="T25" s="1074" t="s">
        <v>956</v>
      </c>
      <c r="U25" s="1075">
        <f>H25</f>
        <v>100</v>
      </c>
      <c r="V25" s="1074" t="s">
        <v>956</v>
      </c>
      <c r="W25" s="1075">
        <f>J25</f>
        <v>100</v>
      </c>
      <c r="X25" s="1069"/>
      <c r="Y25" s="3333"/>
      <c r="Z25" s="1058">
        <f>Q25</f>
        <v>111</v>
      </c>
      <c r="AA25" s="1058">
        <f t="shared" si="3"/>
        <v>1</v>
      </c>
      <c r="AB25" s="1058">
        <f t="shared" si="4"/>
        <v>1</v>
      </c>
      <c r="AC25" s="1058">
        <f t="shared" si="5"/>
        <v>1</v>
      </c>
    </row>
    <row r="26" spans="1:29" ht="15">
      <c r="A26" s="899"/>
      <c r="B26" s="1133">
        <v>111</v>
      </c>
      <c r="C26" s="907">
        <v>111</v>
      </c>
      <c r="D26" s="765">
        <v>100</v>
      </c>
      <c r="E26" s="907"/>
      <c r="F26" s="1053">
        <f>SUMIF(82:82,E26,83:83)-SUMIF(82:82,C26,83:83)+100</f>
        <v>100</v>
      </c>
      <c r="G26" s="907"/>
      <c r="H26" s="765">
        <f>SUMIF(82:82,G26,83:83)-SUMIF(82:82,C26,83:83)+100</f>
        <v>100</v>
      </c>
      <c r="I26" s="907"/>
      <c r="J26" s="765">
        <f>SUMIF(82:82,I26,83:83)-SUMIF(82:82,C26,83:83)+100</f>
        <v>100</v>
      </c>
      <c r="K26" s="1043"/>
      <c r="L26" s="1351"/>
      <c r="M26" s="1006"/>
      <c r="N26" s="1006"/>
      <c r="O26" s="1350"/>
      <c r="P26" s="3333"/>
      <c r="Q26" s="641">
        <f t="shared" ref="Q26:Q40" si="11">B26</f>
        <v>111</v>
      </c>
      <c r="R26" s="1074" t="s">
        <v>956</v>
      </c>
      <c r="S26" s="1075">
        <f>F26</f>
        <v>100</v>
      </c>
      <c r="T26" s="1074" t="s">
        <v>956</v>
      </c>
      <c r="U26" s="1075">
        <f>H26</f>
        <v>100</v>
      </c>
      <c r="V26" s="1074" t="s">
        <v>956</v>
      </c>
      <c r="W26" s="1075">
        <f>J26</f>
        <v>100</v>
      </c>
      <c r="X26" s="1069"/>
      <c r="Y26" s="3333"/>
      <c r="Z26" s="1058">
        <f>Q26</f>
        <v>111</v>
      </c>
      <c r="AA26" s="1058">
        <f t="shared" si="3"/>
        <v>1</v>
      </c>
      <c r="AB26" s="1058">
        <f t="shared" si="4"/>
        <v>1</v>
      </c>
      <c r="AC26" s="1058">
        <f t="shared" si="5"/>
        <v>1</v>
      </c>
    </row>
    <row r="27" spans="1:29" s="855" customFormat="1" ht="15">
      <c r="A27" s="902"/>
      <c r="B27" s="1133">
        <v>111</v>
      </c>
      <c r="C27" s="907">
        <v>111</v>
      </c>
      <c r="D27" s="926">
        <v>100</v>
      </c>
      <c r="E27" s="907"/>
      <c r="F27" s="945">
        <f>SUMIF(84:84,E27,85:85)-SUMIF(84:84,C27,85:85)+100</f>
        <v>100</v>
      </c>
      <c r="G27" s="907"/>
      <c r="H27" s="926">
        <f>SUMIF(84:84,G27,85:85)-SUMIF(84:84,C27,85:85)+100</f>
        <v>100</v>
      </c>
      <c r="I27" s="907"/>
      <c r="J27" s="926">
        <f>SUMIF(84:84,I27,85:85)-SUMIF(84:84,C27,85:85)+100</f>
        <v>100</v>
      </c>
      <c r="K27" s="1043"/>
      <c r="L27" s="1343"/>
      <c r="M27" s="1344"/>
      <c r="N27" s="1344"/>
      <c r="O27" s="1345"/>
      <c r="P27" s="3333"/>
      <c r="Q27" s="795">
        <f t="shared" si="11"/>
        <v>111</v>
      </c>
      <c r="R27" s="1070" t="s">
        <v>956</v>
      </c>
      <c r="S27" s="1071">
        <f>F27</f>
        <v>100</v>
      </c>
      <c r="T27" s="1070" t="s">
        <v>956</v>
      </c>
      <c r="U27" s="1071">
        <f>H27</f>
        <v>100</v>
      </c>
      <c r="V27" s="1070" t="s">
        <v>956</v>
      </c>
      <c r="W27" s="1071">
        <f>J27</f>
        <v>100</v>
      </c>
      <c r="X27" s="1072"/>
      <c r="Y27" s="3333"/>
      <c r="Z27" s="1082">
        <f>Q27</f>
        <v>111</v>
      </c>
      <c r="AA27" s="1058">
        <f t="shared" si="3"/>
        <v>1</v>
      </c>
      <c r="AB27" s="1058">
        <f t="shared" si="4"/>
        <v>1</v>
      </c>
      <c r="AC27" s="1058">
        <f t="shared" si="5"/>
        <v>1</v>
      </c>
    </row>
    <row r="28" spans="1:29" ht="15">
      <c r="A28" s="908"/>
      <c r="B28" s="1133">
        <v>111</v>
      </c>
      <c r="C28" s="910">
        <v>111</v>
      </c>
      <c r="D28" s="911">
        <v>100</v>
      </c>
      <c r="E28" s="907"/>
      <c r="F28" s="1225">
        <f>SUMIF(86:86,E28,87:87)-SUMIF(86:86,C28,87:87)+100</f>
        <v>100</v>
      </c>
      <c r="G28" s="1207"/>
      <c r="H28" s="911">
        <f>SUMIF(86:86,G28,87:87)-SUMIF(86:86,C28,87:87)+100</f>
        <v>100</v>
      </c>
      <c r="I28" s="1207"/>
      <c r="J28" s="911">
        <f>SUMIF(86:86,I28,87:87)-SUMIF(86:86,C28,87:87)+100</f>
        <v>100</v>
      </c>
      <c r="K28" s="1043"/>
      <c r="L28" s="1351"/>
      <c r="M28" s="1006"/>
      <c r="N28" s="1006"/>
      <c r="O28" s="1350"/>
      <c r="P28" s="3333"/>
      <c r="Q28" s="641">
        <f t="shared" si="11"/>
        <v>111</v>
      </c>
      <c r="R28" s="1074" t="s">
        <v>956</v>
      </c>
      <c r="S28" s="1075">
        <f t="shared" ref="S28:S40" si="12">F28</f>
        <v>100</v>
      </c>
      <c r="T28" s="1074" t="s">
        <v>956</v>
      </c>
      <c r="U28" s="1075">
        <f t="shared" ref="U28:U40" si="13">H28</f>
        <v>100</v>
      </c>
      <c r="V28" s="1074" t="s">
        <v>956</v>
      </c>
      <c r="W28" s="1075">
        <f t="shared" ref="W28:W40" si="14">J28</f>
        <v>100</v>
      </c>
      <c r="X28" s="1069"/>
      <c r="Y28" s="3333"/>
      <c r="Z28" s="1058">
        <f t="shared" ref="Z28:Z40" si="15">Q28</f>
        <v>111</v>
      </c>
      <c r="AA28" s="1058">
        <f t="shared" si="3"/>
        <v>1</v>
      </c>
      <c r="AB28" s="1058">
        <f t="shared" si="4"/>
        <v>1</v>
      </c>
      <c r="AC28" s="1058">
        <f t="shared" si="5"/>
        <v>1</v>
      </c>
    </row>
    <row r="29" spans="1:29" ht="15">
      <c r="A29" s="1217" t="s">
        <v>983</v>
      </c>
      <c r="B29" s="892" t="s">
        <v>1560</v>
      </c>
      <c r="C29" s="1218"/>
      <c r="D29" s="876">
        <v>100</v>
      </c>
      <c r="E29" s="1218"/>
      <c r="F29" s="1053">
        <f>SUMIF(88:88,E29,89:89)-SUMIF(88:88,C29,89:89)+100</f>
        <v>100</v>
      </c>
      <c r="G29" s="1218"/>
      <c r="H29" s="765">
        <f>SUMIF(88:88,G29,89:89)-SUMIF(88:88,C29,89:89)+100</f>
        <v>100</v>
      </c>
      <c r="I29" s="1218"/>
      <c r="J29" s="876">
        <f>SUMIF(88:88,I29,89:89)-SUMIF(88:88,C29,89:89)+100</f>
        <v>100</v>
      </c>
      <c r="K29" s="1044"/>
      <c r="L29" s="1351"/>
      <c r="M29" s="1006"/>
      <c r="N29" s="1006"/>
      <c r="O29" s="1350"/>
      <c r="P29" s="3334" t="s">
        <v>982</v>
      </c>
      <c r="Q29" s="641" t="str">
        <f t="shared" si="11"/>
        <v>建筑类型</v>
      </c>
      <c r="R29" s="1074" t="s">
        <v>956</v>
      </c>
      <c r="S29" s="1075">
        <f t="shared" si="12"/>
        <v>100</v>
      </c>
      <c r="T29" s="1074" t="s">
        <v>956</v>
      </c>
      <c r="U29" s="1075">
        <f t="shared" si="13"/>
        <v>100</v>
      </c>
      <c r="V29" s="1074" t="s">
        <v>956</v>
      </c>
      <c r="W29" s="1075">
        <f t="shared" si="14"/>
        <v>100</v>
      </c>
      <c r="X29" s="1069"/>
      <c r="Y29" s="3335" t="s">
        <v>982</v>
      </c>
      <c r="Z29" s="1058" t="str">
        <f t="shared" si="15"/>
        <v>建筑类型</v>
      </c>
      <c r="AA29" s="1058">
        <f t="shared" si="3"/>
        <v>1</v>
      </c>
      <c r="AB29" s="1058">
        <f t="shared" si="4"/>
        <v>1</v>
      </c>
      <c r="AC29" s="1058">
        <f t="shared" si="5"/>
        <v>1</v>
      </c>
    </row>
    <row r="30" spans="1:29" s="857" customFormat="1" ht="15">
      <c r="A30" s="952"/>
      <c r="B30" s="896" t="s">
        <v>1563</v>
      </c>
      <c r="C30" s="1207"/>
      <c r="D30" s="898">
        <v>100</v>
      </c>
      <c r="E30" s="901"/>
      <c r="F30" s="896" t="e">
        <f>LOOKUP(E30,91:91,92:92)-LOOKUP(C30,91:91,92:92)+100</f>
        <v>#N/A</v>
      </c>
      <c r="G30" s="900"/>
      <c r="H30" s="898" t="e">
        <f>LOOKUP(G30,91:91,92:92)-LOOKUP(C30,91:91,92:92)+100</f>
        <v>#N/A</v>
      </c>
      <c r="I30" s="900"/>
      <c r="J30" s="898" t="e">
        <f>LOOKUP(I30,91:91,92:92)-LOOKUP(C30,91:91,92:92)+100</f>
        <v>#N/A</v>
      </c>
      <c r="K30" s="1043"/>
      <c r="L30" s="1349"/>
      <c r="M30" s="1352"/>
      <c r="N30" s="1352"/>
      <c r="O30" s="1353"/>
      <c r="P30" s="3335"/>
      <c r="Q30" s="1244" t="str">
        <f t="shared" si="11"/>
        <v>项目建筑规模</v>
      </c>
      <c r="R30" s="1076" t="s">
        <v>956</v>
      </c>
      <c r="S30" s="1077" t="e">
        <f t="shared" si="12"/>
        <v>#N/A</v>
      </c>
      <c r="T30" s="1076" t="s">
        <v>956</v>
      </c>
      <c r="U30" s="1077" t="e">
        <f t="shared" si="13"/>
        <v>#N/A</v>
      </c>
      <c r="V30" s="1076" t="s">
        <v>956</v>
      </c>
      <c r="W30" s="1077" t="e">
        <f t="shared" si="14"/>
        <v>#N/A</v>
      </c>
      <c r="X30" s="1078"/>
      <c r="Y30" s="3335"/>
      <c r="Z30" s="1083" t="str">
        <f t="shared" si="15"/>
        <v>项目建筑规模</v>
      </c>
      <c r="AA30" s="1058" t="e">
        <f t="shared" si="3"/>
        <v>#N/A</v>
      </c>
      <c r="AB30" s="1058" t="e">
        <f t="shared" si="4"/>
        <v>#N/A</v>
      </c>
      <c r="AC30" s="1058" t="e">
        <f t="shared" si="5"/>
        <v>#N/A</v>
      </c>
    </row>
    <row r="31" spans="1:29" ht="15">
      <c r="A31" s="947"/>
      <c r="B31" s="896" t="s">
        <v>1564</v>
      </c>
      <c r="C31" s="1222"/>
      <c r="D31" s="765">
        <v>100</v>
      </c>
      <c r="E31" s="1222"/>
      <c r="F31" s="1053">
        <f>SUMIF(93:93,E31,94:94)-SUMIF(93:93,C31,94:94)+100</f>
        <v>100</v>
      </c>
      <c r="G31" s="1222"/>
      <c r="H31" s="765">
        <f>SUMIF(93:93,G31,94:94)-SUMIF(93:93,C31,94:94)+100</f>
        <v>100</v>
      </c>
      <c r="I31" s="1222"/>
      <c r="J31" s="765">
        <f>SUMIF(93:93,I31,94:94)-SUMIF(93:93,C31,94:94)+100</f>
        <v>100</v>
      </c>
      <c r="K31" s="1044"/>
      <c r="L31" s="1351"/>
      <c r="M31" s="1006"/>
      <c r="N31" s="1006"/>
      <c r="O31" s="1350"/>
      <c r="P31" s="3335"/>
      <c r="Q31" s="641" t="str">
        <f t="shared" si="11"/>
        <v>建筑结构</v>
      </c>
      <c r="R31" s="1074" t="s">
        <v>956</v>
      </c>
      <c r="S31" s="1075">
        <f t="shared" si="12"/>
        <v>100</v>
      </c>
      <c r="T31" s="1074" t="s">
        <v>956</v>
      </c>
      <c r="U31" s="1075">
        <f t="shared" si="13"/>
        <v>100</v>
      </c>
      <c r="V31" s="1074" t="s">
        <v>956</v>
      </c>
      <c r="W31" s="1075">
        <f t="shared" si="14"/>
        <v>100</v>
      </c>
      <c r="X31" s="1069"/>
      <c r="Y31" s="3335"/>
      <c r="Z31" s="1058" t="str">
        <f t="shared" si="15"/>
        <v>建筑结构</v>
      </c>
      <c r="AA31" s="1058">
        <f t="shared" si="3"/>
        <v>1</v>
      </c>
      <c r="AB31" s="1058">
        <f t="shared" si="4"/>
        <v>1</v>
      </c>
      <c r="AC31" s="1058">
        <f t="shared" si="5"/>
        <v>1</v>
      </c>
    </row>
    <row r="32" spans="1:29" ht="15">
      <c r="A32" s="947"/>
      <c r="B32" s="896" t="s">
        <v>1567</v>
      </c>
      <c r="C32" s="1222"/>
      <c r="D32" s="765">
        <v>100</v>
      </c>
      <c r="E32" s="1222"/>
      <c r="F32" s="1053">
        <f>SUMIF(95:95,E32,96:96)-SUMIF(95:95,C32,96:96)+100</f>
        <v>100</v>
      </c>
      <c r="G32" s="1222"/>
      <c r="H32" s="765">
        <f>SUMIF(95:95,G32,96:96)-SUMIF(95:95,C32,96:96)+100</f>
        <v>100</v>
      </c>
      <c r="I32" s="1222"/>
      <c r="J32" s="765">
        <f>SUMIF(95:95,I32,96:96)-SUMIF(95:95,C32,96:96)+100</f>
        <v>100</v>
      </c>
      <c r="K32" s="1044"/>
      <c r="L32" s="1351"/>
      <c r="M32" s="1006"/>
      <c r="N32" s="1006"/>
      <c r="O32" s="1350"/>
      <c r="P32" s="3335"/>
      <c r="Q32" s="641" t="str">
        <f t="shared" si="11"/>
        <v>公共部分装修</v>
      </c>
      <c r="R32" s="1074" t="s">
        <v>956</v>
      </c>
      <c r="S32" s="1075">
        <f t="shared" si="12"/>
        <v>100</v>
      </c>
      <c r="T32" s="1074" t="s">
        <v>956</v>
      </c>
      <c r="U32" s="1075">
        <f t="shared" si="13"/>
        <v>100</v>
      </c>
      <c r="V32" s="1074" t="s">
        <v>956</v>
      </c>
      <c r="W32" s="1075">
        <f t="shared" si="14"/>
        <v>100</v>
      </c>
      <c r="X32" s="1069"/>
      <c r="Y32" s="3335"/>
      <c r="Z32" s="1058" t="str">
        <f t="shared" si="15"/>
        <v>公共部分装修</v>
      </c>
      <c r="AA32" s="1058">
        <f t="shared" si="3"/>
        <v>1</v>
      </c>
      <c r="AB32" s="1058">
        <f t="shared" si="4"/>
        <v>1</v>
      </c>
      <c r="AC32" s="1058">
        <f t="shared" si="5"/>
        <v>1</v>
      </c>
    </row>
    <row r="33" spans="1:29" ht="15">
      <c r="A33" s="947"/>
      <c r="B33" s="896" t="s">
        <v>579</v>
      </c>
      <c r="C33" s="1207"/>
      <c r="D33" s="765">
        <v>100</v>
      </c>
      <c r="E33" s="1219"/>
      <c r="F33" s="1053" t="e">
        <f>LOOKUP(E33,98:98,99:99)-LOOKUP(C33,98:98,99:99)+100</f>
        <v>#N/A</v>
      </c>
      <c r="G33" s="1219"/>
      <c r="H33" s="1053" t="e">
        <f>LOOKUP(G33,98:98,99:99)-LOOKUP(C33,98:98,99:99)+100</f>
        <v>#N/A</v>
      </c>
      <c r="I33" s="1219"/>
      <c r="J33" s="765" t="e">
        <f>LOOKUP(I33,98:98,99:99)-LOOKUP(C33,98:98,99:99)+100</f>
        <v>#N/A</v>
      </c>
      <c r="K33" s="1044"/>
      <c r="L33" s="1351"/>
      <c r="M33" s="1006"/>
      <c r="N33" s="1006"/>
      <c r="O33" s="1350"/>
      <c r="P33" s="3335"/>
      <c r="Q33" s="641" t="str">
        <f t="shared" si="11"/>
        <v>成新度</v>
      </c>
      <c r="R33" s="1074" t="s">
        <v>956</v>
      </c>
      <c r="S33" s="1075" t="e">
        <f t="shared" si="12"/>
        <v>#N/A</v>
      </c>
      <c r="T33" s="1074" t="s">
        <v>956</v>
      </c>
      <c r="U33" s="1075" t="e">
        <f t="shared" si="13"/>
        <v>#N/A</v>
      </c>
      <c r="V33" s="1074" t="s">
        <v>956</v>
      </c>
      <c r="W33" s="1075" t="e">
        <f t="shared" si="14"/>
        <v>#N/A</v>
      </c>
      <c r="X33" s="1069"/>
      <c r="Y33" s="3335"/>
      <c r="Z33" s="1058" t="str">
        <f t="shared" si="15"/>
        <v>成新度</v>
      </c>
      <c r="AA33" s="1058" t="e">
        <f t="shared" si="3"/>
        <v>#N/A</v>
      </c>
      <c r="AB33" s="1058" t="e">
        <f t="shared" si="4"/>
        <v>#N/A</v>
      </c>
      <c r="AC33" s="1058" t="e">
        <f t="shared" si="5"/>
        <v>#N/A</v>
      </c>
    </row>
    <row r="34" spans="1:29" s="855" customFormat="1" ht="15">
      <c r="A34" s="949"/>
      <c r="B34" s="896" t="s">
        <v>1569</v>
      </c>
      <c r="C34" s="1222"/>
      <c r="D34" s="898">
        <v>100</v>
      </c>
      <c r="E34" s="1222"/>
      <c r="F34" s="1053">
        <f>SUMIF(100:100,E34,101:101)-SUMIF(100:100,C34,101:101)+100</f>
        <v>100</v>
      </c>
      <c r="G34" s="1222"/>
      <c r="H34" s="765">
        <f>SUMIF(100:100,G34,101:101)-SUMIF(100:100,C34,101:101)+100</f>
        <v>100</v>
      </c>
      <c r="I34" s="1222"/>
      <c r="J34" s="765">
        <f>SUMIF(100:100,I34,101:101)-SUMIF(100:100,C34,101:101)+100</f>
        <v>100</v>
      </c>
      <c r="K34" s="1044"/>
      <c r="L34" s="1343"/>
      <c r="M34" s="1344"/>
      <c r="N34" s="1344"/>
      <c r="O34" s="1345"/>
      <c r="P34" s="3335"/>
      <c r="Q34" s="795" t="str">
        <f t="shared" si="11"/>
        <v>物业管理</v>
      </c>
      <c r="R34" s="1070" t="s">
        <v>956</v>
      </c>
      <c r="S34" s="1071">
        <f t="shared" si="12"/>
        <v>100</v>
      </c>
      <c r="T34" s="1070" t="s">
        <v>956</v>
      </c>
      <c r="U34" s="1071">
        <f t="shared" si="13"/>
        <v>100</v>
      </c>
      <c r="V34" s="1070" t="s">
        <v>956</v>
      </c>
      <c r="W34" s="1071">
        <f t="shared" si="14"/>
        <v>100</v>
      </c>
      <c r="X34" s="1072"/>
      <c r="Y34" s="3335"/>
      <c r="Z34" s="1082" t="str">
        <f t="shared" si="15"/>
        <v>物业管理</v>
      </c>
      <c r="AA34" s="1082">
        <f t="shared" si="3"/>
        <v>1</v>
      </c>
      <c r="AB34" s="1082">
        <f t="shared" si="4"/>
        <v>1</v>
      </c>
      <c r="AC34" s="1082">
        <f t="shared" si="5"/>
        <v>1</v>
      </c>
    </row>
    <row r="35" spans="1:29" ht="15">
      <c r="A35" s="947"/>
      <c r="B35" s="896" t="s">
        <v>1571</v>
      </c>
      <c r="C35" s="1222"/>
      <c r="D35" s="765">
        <v>100</v>
      </c>
      <c r="E35" s="1222"/>
      <c r="F35" s="1053">
        <f>SUMIF(102:102,E35,103:103)-SUMIF(102:102,C35,103:103)+100</f>
        <v>100</v>
      </c>
      <c r="G35" s="1222"/>
      <c r="H35" s="765">
        <f>SUMIF(102:102,G35,103:103)-SUMIF(102:102,C35,103:103)+100</f>
        <v>100</v>
      </c>
      <c r="I35" s="1222"/>
      <c r="J35" s="765">
        <f>SUMIF(102:102,I35,103:103)-SUMIF(102:102,C35,103:103)+100</f>
        <v>100</v>
      </c>
      <c r="K35" s="1044"/>
      <c r="L35" s="1351"/>
      <c r="M35" s="1006"/>
      <c r="N35" s="1006"/>
      <c r="O35" s="1350"/>
      <c r="P35" s="3335" t="s">
        <v>982</v>
      </c>
      <c r="Q35" s="641" t="str">
        <f t="shared" si="11"/>
        <v>市政基础设施</v>
      </c>
      <c r="R35" s="1074" t="s">
        <v>956</v>
      </c>
      <c r="S35" s="1075">
        <f t="shared" si="12"/>
        <v>100</v>
      </c>
      <c r="T35" s="1074" t="s">
        <v>956</v>
      </c>
      <c r="U35" s="1075">
        <f t="shared" si="13"/>
        <v>100</v>
      </c>
      <c r="V35" s="1074" t="s">
        <v>956</v>
      </c>
      <c r="W35" s="1075">
        <f t="shared" si="14"/>
        <v>100</v>
      </c>
      <c r="X35" s="1069"/>
      <c r="Y35" s="3335" t="s">
        <v>982</v>
      </c>
      <c r="Z35" s="1058" t="str">
        <f t="shared" si="15"/>
        <v>市政基础设施</v>
      </c>
      <c r="AA35" s="1058">
        <f t="shared" si="3"/>
        <v>1</v>
      </c>
      <c r="AB35" s="1058">
        <f t="shared" si="4"/>
        <v>1</v>
      </c>
      <c r="AC35" s="1058">
        <f t="shared" si="5"/>
        <v>1</v>
      </c>
    </row>
    <row r="36" spans="1:29" ht="15">
      <c r="A36" s="947"/>
      <c r="B36" s="896" t="s">
        <v>1574</v>
      </c>
      <c r="C36" s="1222"/>
      <c r="D36" s="765">
        <v>100</v>
      </c>
      <c r="E36" s="1222"/>
      <c r="F36" s="1053">
        <f>SUMIF(104:104,E36,105:105)-SUMIF(104:104,C36,105:105)+100</f>
        <v>100</v>
      </c>
      <c r="G36" s="1222"/>
      <c r="H36" s="765">
        <f>SUMIF(104:104,G36,105:105)-SUMIF(104:104,C36,105:105)+100</f>
        <v>100</v>
      </c>
      <c r="I36" s="1222"/>
      <c r="J36" s="765">
        <f>SUMIF(104:104,I36,105:105)-SUMIF(104:104,C36,105:105)+100</f>
        <v>100</v>
      </c>
      <c r="K36" s="1044"/>
      <c r="L36" s="1351"/>
      <c r="M36" s="1006"/>
      <c r="N36" s="1006"/>
      <c r="O36" s="1350"/>
      <c r="P36" s="3335"/>
      <c r="Q36" s="641" t="str">
        <f t="shared" si="11"/>
        <v>内部装修</v>
      </c>
      <c r="R36" s="1074" t="s">
        <v>956</v>
      </c>
      <c r="S36" s="1075">
        <f t="shared" si="12"/>
        <v>100</v>
      </c>
      <c r="T36" s="1074" t="s">
        <v>956</v>
      </c>
      <c r="U36" s="1075">
        <f t="shared" si="13"/>
        <v>100</v>
      </c>
      <c r="V36" s="1074" t="s">
        <v>956</v>
      </c>
      <c r="W36" s="1075">
        <f t="shared" si="14"/>
        <v>100</v>
      </c>
      <c r="X36" s="1069"/>
      <c r="Y36" s="3335"/>
      <c r="Z36" s="1058" t="str">
        <f t="shared" si="15"/>
        <v>内部装修</v>
      </c>
      <c r="AA36" s="1058">
        <f t="shared" si="3"/>
        <v>1</v>
      </c>
      <c r="AB36" s="1058">
        <f t="shared" si="4"/>
        <v>1</v>
      </c>
      <c r="AC36" s="1058">
        <f t="shared" si="5"/>
        <v>1</v>
      </c>
    </row>
    <row r="37" spans="1:29" ht="15">
      <c r="A37" s="947"/>
      <c r="B37" s="896" t="s">
        <v>1953</v>
      </c>
      <c r="C37" s="932"/>
      <c r="D37" s="765">
        <v>100</v>
      </c>
      <c r="E37" s="932"/>
      <c r="F37" s="1053">
        <f>SUMIF(106:106,E37,107:107)-SUMIF(106:106,C37,107:107)+100</f>
        <v>100</v>
      </c>
      <c r="G37" s="932"/>
      <c r="H37" s="765">
        <f>SUMIF(106:106,G37,107:107)-SUMIF(106:106,C37,107:107)+100</f>
        <v>100</v>
      </c>
      <c r="I37" s="932"/>
      <c r="J37" s="765">
        <f>SUMIF(106:106,I37,107:107)-SUMIF(106:106,C37,107:107)+100</f>
        <v>100</v>
      </c>
      <c r="K37" s="1044"/>
      <c r="L37" s="1351"/>
      <c r="M37" s="1006"/>
      <c r="N37" s="1006"/>
      <c r="O37" s="1350"/>
      <c r="P37" s="3335"/>
      <c r="Q37" s="641" t="str">
        <f t="shared" si="11"/>
        <v>内部装修状况</v>
      </c>
      <c r="R37" s="1074" t="s">
        <v>956</v>
      </c>
      <c r="S37" s="1075">
        <f t="shared" si="12"/>
        <v>100</v>
      </c>
      <c r="T37" s="1074" t="s">
        <v>956</v>
      </c>
      <c r="U37" s="1075">
        <f t="shared" si="13"/>
        <v>100</v>
      </c>
      <c r="V37" s="1074" t="s">
        <v>956</v>
      </c>
      <c r="W37" s="1075">
        <f t="shared" si="14"/>
        <v>100</v>
      </c>
      <c r="X37" s="1069"/>
      <c r="Y37" s="3335"/>
      <c r="Z37" s="1058" t="str">
        <f t="shared" si="15"/>
        <v>内部装修状况</v>
      </c>
      <c r="AA37" s="1058">
        <f t="shared" si="3"/>
        <v>1</v>
      </c>
      <c r="AB37" s="1058">
        <f t="shared" si="4"/>
        <v>1</v>
      </c>
      <c r="AC37" s="1058">
        <f t="shared" si="5"/>
        <v>1</v>
      </c>
    </row>
    <row r="38" spans="1:29" s="857" customFormat="1" ht="15">
      <c r="A38" s="952"/>
      <c r="B38" s="1133">
        <v>111</v>
      </c>
      <c r="C38" s="1207"/>
      <c r="D38" s="765">
        <v>100</v>
      </c>
      <c r="E38" s="907"/>
      <c r="F38" s="1053">
        <f>SUMIF(108:108,E38,109:109)-SUMIF(108:108,C38,109:109)+100</f>
        <v>100</v>
      </c>
      <c r="G38" s="1207"/>
      <c r="H38" s="765">
        <f>SUMIF(108:108,G38,109:109)-SUMIF(108:108,C38,109:109)+100</f>
        <v>100</v>
      </c>
      <c r="I38" s="1207"/>
      <c r="J38" s="765">
        <f>SUMIF(108:108,I38,109:1038)-SUMIF(108:108,C38,109:109)+100</f>
        <v>100</v>
      </c>
      <c r="K38" s="1043"/>
      <c r="L38" s="1349"/>
      <c r="M38" s="1352"/>
      <c r="N38" s="1352"/>
      <c r="O38" s="1353"/>
      <c r="P38" s="3335"/>
      <c r="Q38" s="1244">
        <f t="shared" si="11"/>
        <v>111</v>
      </c>
      <c r="R38" s="1076" t="s">
        <v>956</v>
      </c>
      <c r="S38" s="1077">
        <f t="shared" si="12"/>
        <v>100</v>
      </c>
      <c r="T38" s="1076" t="s">
        <v>956</v>
      </c>
      <c r="U38" s="1077">
        <f t="shared" si="13"/>
        <v>100</v>
      </c>
      <c r="V38" s="1076" t="s">
        <v>956</v>
      </c>
      <c r="W38" s="1077">
        <f t="shared" si="14"/>
        <v>100</v>
      </c>
      <c r="X38" s="1078"/>
      <c r="Y38" s="3335"/>
      <c r="Z38" s="1083">
        <f t="shared" si="15"/>
        <v>111</v>
      </c>
      <c r="AA38" s="1058">
        <f t="shared" si="3"/>
        <v>1</v>
      </c>
      <c r="AB38" s="1058">
        <f t="shared" si="4"/>
        <v>1</v>
      </c>
      <c r="AC38" s="1058">
        <f t="shared" si="5"/>
        <v>1</v>
      </c>
    </row>
    <row r="39" spans="1:29" ht="15">
      <c r="A39" s="947"/>
      <c r="B39" s="1133">
        <v>111</v>
      </c>
      <c r="C39" s="1207"/>
      <c r="D39" s="765">
        <v>100</v>
      </c>
      <c r="E39" s="907"/>
      <c r="F39" s="1053">
        <f>SUMIF(110:110,E39,111:111)-SUMIF(110:110,C39,111:111)+100</f>
        <v>100</v>
      </c>
      <c r="G39" s="1207"/>
      <c r="H39" s="765">
        <f>SUMIF(110:110,G39,111:111)-SUMIF(110:110,C39,111:111)+100</f>
        <v>100</v>
      </c>
      <c r="I39" s="1207"/>
      <c r="J39" s="765">
        <f>SUMIF(110:110,I39,111:111)-SUMIF(110:110,C39,111:111)+100</f>
        <v>100</v>
      </c>
      <c r="K39" s="1043"/>
      <c r="L39" s="1351"/>
      <c r="M39" s="1006"/>
      <c r="N39" s="1006"/>
      <c r="O39" s="1350"/>
      <c r="P39" s="3335"/>
      <c r="Q39" s="641">
        <f t="shared" si="11"/>
        <v>111</v>
      </c>
      <c r="R39" s="1074" t="s">
        <v>956</v>
      </c>
      <c r="S39" s="1075">
        <f t="shared" si="12"/>
        <v>100</v>
      </c>
      <c r="T39" s="1074" t="s">
        <v>956</v>
      </c>
      <c r="U39" s="1075">
        <f t="shared" si="13"/>
        <v>100</v>
      </c>
      <c r="V39" s="1074" t="s">
        <v>956</v>
      </c>
      <c r="W39" s="1075">
        <f t="shared" si="14"/>
        <v>100</v>
      </c>
      <c r="X39" s="1069"/>
      <c r="Y39" s="3335"/>
      <c r="Z39" s="1058">
        <f t="shared" si="15"/>
        <v>111</v>
      </c>
      <c r="AA39" s="1058">
        <f t="shared" si="3"/>
        <v>1</v>
      </c>
      <c r="AB39" s="1058">
        <f t="shared" si="4"/>
        <v>1</v>
      </c>
      <c r="AC39" s="1058">
        <f t="shared" si="5"/>
        <v>1</v>
      </c>
    </row>
    <row r="40" spans="1:29" ht="15">
      <c r="A40" s="1224"/>
      <c r="B40" s="909">
        <v>111</v>
      </c>
      <c r="C40" s="910"/>
      <c r="D40" s="911">
        <v>100</v>
      </c>
      <c r="E40" s="907"/>
      <c r="F40" s="1225">
        <f>SUMIF(112:112,E40,113:113)-SUMIF(112:112,C40,113:113)+100</f>
        <v>100</v>
      </c>
      <c r="G40" s="1207"/>
      <c r="H40" s="911">
        <f>SUMIF(112:112,G40,113:113)-SUMIF(112:112,C40,113:113)+100</f>
        <v>100</v>
      </c>
      <c r="I40" s="1207"/>
      <c r="J40" s="911">
        <f>SUMIF(112:112,I40,113:113)-SUMIF(112:112,C40,113:113)+100</f>
        <v>100</v>
      </c>
      <c r="K40" s="1043"/>
      <c r="L40" s="1351"/>
      <c r="M40" s="1006"/>
      <c r="N40" s="1006"/>
      <c r="O40" s="1350"/>
      <c r="P40" s="3371"/>
      <c r="Q40" s="641">
        <f t="shared" si="11"/>
        <v>111</v>
      </c>
      <c r="R40" s="1074" t="s">
        <v>956</v>
      </c>
      <c r="S40" s="1075">
        <f t="shared" si="12"/>
        <v>100</v>
      </c>
      <c r="T40" s="1074" t="s">
        <v>956</v>
      </c>
      <c r="U40" s="1075">
        <f t="shared" si="13"/>
        <v>100</v>
      </c>
      <c r="V40" s="1074" t="s">
        <v>956</v>
      </c>
      <c r="W40" s="1075">
        <f t="shared" si="14"/>
        <v>100</v>
      </c>
      <c r="X40" s="1069"/>
      <c r="Y40" s="3371"/>
      <c r="Z40" s="1058">
        <f t="shared" si="15"/>
        <v>111</v>
      </c>
      <c r="AA40" s="1058">
        <f t="shared" si="3"/>
        <v>1</v>
      </c>
      <c r="AB40" s="1058">
        <f t="shared" si="4"/>
        <v>1</v>
      </c>
      <c r="AC40" s="1058">
        <f t="shared" si="5"/>
        <v>1</v>
      </c>
    </row>
    <row r="41" spans="1:29" ht="15">
      <c r="A41" s="954" t="s">
        <v>1577</v>
      </c>
      <c r="B41" s="1226"/>
      <c r="C41" s="1227" t="s">
        <v>124</v>
      </c>
      <c r="D41" s="957"/>
      <c r="E41" s="958"/>
      <c r="F41" s="959"/>
      <c r="G41" s="960"/>
      <c r="H41" s="961"/>
      <c r="I41" s="958"/>
      <c r="J41" s="961"/>
      <c r="K41" s="1049"/>
      <c r="L41" s="1354"/>
      <c r="M41" s="1006"/>
      <c r="N41" s="1006"/>
      <c r="O41" s="1006"/>
      <c r="P41" s="3330" t="str">
        <f>A41</f>
        <v>成交单价（元/平方米）</v>
      </c>
      <c r="Q41" s="3330"/>
      <c r="R41" s="3331">
        <f>E41</f>
        <v>0</v>
      </c>
      <c r="S41" s="3331"/>
      <c r="T41" s="3331">
        <f>G41</f>
        <v>0</v>
      </c>
      <c r="U41" s="3331"/>
      <c r="V41" s="3331">
        <f>I41</f>
        <v>0</v>
      </c>
      <c r="W41" s="3331"/>
      <c r="X41" s="1011"/>
      <c r="Y41" s="1084"/>
      <c r="Z41" s="1011"/>
      <c r="AA41" s="1011"/>
      <c r="AB41" s="1011"/>
      <c r="AC41" s="1011"/>
    </row>
    <row r="42" spans="1:29" ht="15">
      <c r="A42" s="962" t="s">
        <v>993</v>
      </c>
      <c r="B42" s="1228"/>
      <c r="C42" s="1229" t="e">
        <f>R43</f>
        <v>#DIV/0!</v>
      </c>
      <c r="D42" s="965" t="s">
        <v>994</v>
      </c>
      <c r="E42" s="1230" t="e">
        <f>R42</f>
        <v>#DIV/0!</v>
      </c>
      <c r="F42" s="966"/>
      <c r="G42" s="1229" t="e">
        <f>T42</f>
        <v>#DIV/0!</v>
      </c>
      <c r="H42" s="966"/>
      <c r="I42" s="1230" t="e">
        <f>V42</f>
        <v>#DIV/0!</v>
      </c>
      <c r="J42" s="966"/>
      <c r="K42" s="1051">
        <f>F42+H42+J42</f>
        <v>0</v>
      </c>
      <c r="L42" s="1354"/>
      <c r="M42" s="1006"/>
      <c r="N42" s="1006"/>
      <c r="O42" s="1006"/>
      <c r="P42" s="3330" t="str">
        <f>A42</f>
        <v>比较价值（元/平方米）</v>
      </c>
      <c r="Q42" s="3330"/>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1011"/>
      <c r="Y42" s="1011"/>
      <c r="Z42" s="1011"/>
      <c r="AA42" s="1011"/>
      <c r="AB42" s="1011"/>
      <c r="AC42" s="1011"/>
    </row>
    <row r="43" spans="1:29" ht="15">
      <c r="A43" s="968" t="s">
        <v>1578</v>
      </c>
      <c r="B43" s="969"/>
      <c r="C43" s="881" t="e">
        <f>R43</f>
        <v>#DIV/0!</v>
      </c>
      <c r="D43" s="881"/>
      <c r="E43" s="881"/>
      <c r="F43" s="881"/>
      <c r="G43" s="881"/>
      <c r="H43" s="881"/>
      <c r="I43" s="881"/>
      <c r="J43" s="881"/>
      <c r="K43" s="1052"/>
      <c r="L43" s="1354"/>
      <c r="M43" s="1006"/>
      <c r="N43" s="1006"/>
      <c r="O43" s="1006"/>
      <c r="P43" s="3354" t="str">
        <f>A43</f>
        <v>估价对象XX用房的比较价值（楼面单价，元/平方米）</v>
      </c>
      <c r="Q43" s="3355"/>
      <c r="R43" s="3372" t="e">
        <f>IF(F1="售价",ROUND(IF(D42="简单平均",AVERAGE(R42:V42),R42*F42+T42*H42+V42*J42),0),ROUND(IF(D42="简单平均",AVERAGE(R42:V42),R42*F42+T42*H42+V42*J42),1))</f>
        <v>#DIV/0!</v>
      </c>
      <c r="S43" s="3372"/>
      <c r="T43" s="3372"/>
      <c r="U43" s="3372"/>
      <c r="V43" s="3372"/>
      <c r="W43" s="3372"/>
      <c r="X43" s="1011"/>
      <c r="Y43" s="1011"/>
      <c r="Z43" s="1011"/>
      <c r="AA43" s="1011"/>
      <c r="AB43" s="1011"/>
      <c r="AC43" s="1011"/>
    </row>
    <row r="44" spans="1:29">
      <c r="A44" s="971"/>
      <c r="B44" s="971"/>
      <c r="C44" s="971"/>
      <c r="D44" s="971"/>
      <c r="E44" s="971"/>
      <c r="F44" s="971"/>
      <c r="G44" s="972"/>
      <c r="H44" s="971"/>
      <c r="I44" s="971"/>
      <c r="J44" s="971"/>
      <c r="K44" s="1054"/>
      <c r="L44" s="1063"/>
      <c r="M44" s="1006"/>
      <c r="N44" s="1006"/>
      <c r="O44" s="1006"/>
    </row>
    <row r="45" spans="1:29">
      <c r="A45" s="971"/>
      <c r="B45" s="971"/>
      <c r="C45" s="971"/>
      <c r="D45" s="971"/>
      <c r="E45" s="971"/>
      <c r="F45" s="971"/>
      <c r="G45" s="971"/>
      <c r="H45" s="971"/>
      <c r="I45" s="971"/>
      <c r="J45" s="971"/>
      <c r="K45" s="1054"/>
      <c r="L45" s="1063"/>
      <c r="M45" s="1006"/>
      <c r="N45" s="1006"/>
      <c r="O45" s="1006"/>
    </row>
    <row r="46" spans="1:29"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63"/>
      <c r="M46" s="1006"/>
      <c r="N46" s="1006"/>
      <c r="O46" s="1006"/>
    </row>
    <row r="47" spans="1:29"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63"/>
      <c r="M47" s="1006"/>
      <c r="N47" s="1006"/>
      <c r="O47" s="1006"/>
    </row>
    <row r="48" spans="1:29"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355"/>
      <c r="M48" s="1356"/>
      <c r="N48" s="1356"/>
      <c r="O48" s="1356"/>
    </row>
    <row r="49" spans="1:17" s="858" customFormat="1">
      <c r="A49" s="976"/>
      <c r="B49" s="977"/>
      <c r="C49" s="1231"/>
      <c r="D49" s="976"/>
      <c r="E49" s="976"/>
      <c r="F49" s="976"/>
      <c r="G49" s="976"/>
      <c r="H49" s="976"/>
      <c r="I49" s="976"/>
      <c r="J49" s="976"/>
      <c r="K49" s="1056"/>
      <c r="L49" s="1355"/>
      <c r="M49" s="1356"/>
      <c r="N49" s="1356"/>
      <c r="O49" s="1356"/>
    </row>
    <row r="50" spans="1:17">
      <c r="A50" s="971"/>
      <c r="B50" s="977"/>
      <c r="C50" s="1231"/>
      <c r="D50" s="971"/>
      <c r="E50" s="971"/>
      <c r="F50" s="971"/>
      <c r="G50" s="971"/>
      <c r="H50" s="971"/>
      <c r="I50" s="971"/>
      <c r="J50" s="971"/>
      <c r="K50" s="1054"/>
      <c r="L50" s="1063"/>
      <c r="M50" s="1006"/>
      <c r="N50" s="1006"/>
      <c r="O50" s="1006"/>
    </row>
    <row r="51" spans="1:17" ht="21">
      <c r="A51" s="1010" t="s">
        <v>1023</v>
      </c>
      <c r="B51" s="1011"/>
      <c r="C51" s="1012"/>
      <c r="D51" s="1012"/>
      <c r="E51" s="1012"/>
      <c r="F51" s="1013"/>
      <c r="G51" s="1013"/>
      <c r="H51" s="1012"/>
      <c r="I51" s="1012"/>
      <c r="J51" s="1012"/>
      <c r="K51" s="1306"/>
      <c r="L51" s="1307"/>
      <c r="M51" s="1066"/>
      <c r="N51" s="1066"/>
      <c r="O51" s="1066"/>
      <c r="P51" s="1357"/>
      <c r="Q51" s="1358"/>
    </row>
    <row r="52" spans="1:17" s="860" customFormat="1" ht="15">
      <c r="A52" s="1232" t="s">
        <v>954</v>
      </c>
      <c r="B52" s="1233"/>
      <c r="C52" s="1234" t="str">
        <f>YEAR(C7)&amp;"-"&amp;MONTH(C7)</f>
        <v>2024-7</v>
      </c>
      <c r="D52" s="1235">
        <f>EDATE(C52,-1)</f>
        <v>45444</v>
      </c>
      <c r="E52" s="1235">
        <f t="shared" ref="E52:O52" si="16">EDATE(D52,-1)</f>
        <v>45413</v>
      </c>
      <c r="F52" s="1235">
        <f t="shared" si="16"/>
        <v>45383</v>
      </c>
      <c r="G52" s="1235">
        <f t="shared" si="16"/>
        <v>45352</v>
      </c>
      <c r="H52" s="1235">
        <f t="shared" si="16"/>
        <v>45323</v>
      </c>
      <c r="I52" s="1235">
        <f t="shared" si="16"/>
        <v>45292</v>
      </c>
      <c r="J52" s="1235">
        <f t="shared" si="16"/>
        <v>45261</v>
      </c>
      <c r="K52" s="1235">
        <f t="shared" si="16"/>
        <v>45231</v>
      </c>
      <c r="L52" s="1235">
        <f t="shared" si="16"/>
        <v>45200</v>
      </c>
      <c r="M52" s="1235">
        <f t="shared" si="16"/>
        <v>45170</v>
      </c>
      <c r="N52" s="1235">
        <f t="shared" si="16"/>
        <v>45139</v>
      </c>
      <c r="O52" s="1235">
        <f t="shared" si="16"/>
        <v>45108</v>
      </c>
    </row>
    <row r="53" spans="1:17" s="855" customFormat="1" ht="15">
      <c r="A53" s="928"/>
      <c r="B53" s="1096"/>
      <c r="C53" s="1236">
        <v>100</v>
      </c>
      <c r="D53" s="1100"/>
      <c r="E53" s="1100"/>
      <c r="F53" s="1100"/>
      <c r="G53" s="1100"/>
      <c r="H53" s="1100"/>
      <c r="I53" s="1100"/>
      <c r="J53" s="1100"/>
      <c r="K53" s="1100"/>
      <c r="L53" s="1100"/>
      <c r="M53" s="903"/>
      <c r="N53" s="1100"/>
      <c r="O53" s="1139"/>
      <c r="P53" s="1358"/>
    </row>
    <row r="54" spans="1:17" s="855" customFormat="1" ht="15">
      <c r="A54" s="1091" t="s">
        <v>1026</v>
      </c>
      <c r="B54" s="1092"/>
      <c r="C54" s="1093"/>
      <c r="D54" s="1094"/>
      <c r="E54" s="1094"/>
      <c r="F54" s="1094"/>
      <c r="G54" s="1094"/>
      <c r="H54" s="1094"/>
      <c r="I54" s="1094"/>
      <c r="J54" s="1094"/>
      <c r="K54" s="1094"/>
      <c r="L54" s="1094"/>
      <c r="M54" s="1134"/>
      <c r="N54" s="1359"/>
      <c r="O54" s="1360"/>
      <c r="P54" s="1358"/>
      <c r="Q54" s="1358"/>
    </row>
    <row r="55" spans="1:17" s="855" customFormat="1" ht="15">
      <c r="A55" s="1095" t="s">
        <v>957</v>
      </c>
      <c r="B55" s="1096"/>
      <c r="C55" s="1097" t="s">
        <v>958</v>
      </c>
      <c r="D55" s="1098"/>
      <c r="E55" s="1098"/>
      <c r="F55" s="1098"/>
      <c r="G55" s="1098"/>
      <c r="H55" s="1098"/>
      <c r="I55" s="1098"/>
      <c r="J55" s="1098"/>
      <c r="K55" s="1098"/>
      <c r="L55" s="1136"/>
      <c r="M55" s="1137"/>
      <c r="N55" s="1361"/>
      <c r="O55" s="1361"/>
      <c r="P55" s="1362"/>
      <c r="Q55" s="1358"/>
    </row>
    <row r="56" spans="1:17" s="855" customFormat="1" ht="15">
      <c r="A56" s="1095"/>
      <c r="B56" s="1096"/>
      <c r="C56" s="1099">
        <v>100</v>
      </c>
      <c r="D56" s="1100"/>
      <c r="E56" s="1100"/>
      <c r="F56" s="1100"/>
      <c r="G56" s="1100"/>
      <c r="H56" s="1100"/>
      <c r="I56" s="1100"/>
      <c r="J56" s="1100"/>
      <c r="K56" s="1100"/>
      <c r="L56" s="1100"/>
      <c r="M56" s="1139"/>
      <c r="N56" s="1361"/>
      <c r="O56" s="1361"/>
      <c r="P56" s="1358"/>
      <c r="Q56" s="1358"/>
    </row>
    <row r="57" spans="1:17">
      <c r="A57" s="912" t="s">
        <v>1027</v>
      </c>
      <c r="B57" s="1101" t="s">
        <v>961</v>
      </c>
      <c r="C57" s="637">
        <f>C9</f>
        <v>0</v>
      </c>
      <c r="D57" s="1047"/>
      <c r="E57" s="1047"/>
      <c r="F57" s="1047"/>
      <c r="G57" s="1047"/>
      <c r="H57" s="1047"/>
      <c r="I57" s="1047"/>
      <c r="J57" s="1047"/>
      <c r="K57" s="1140"/>
      <c r="L57" s="1141"/>
      <c r="M57" s="1142"/>
      <c r="N57" s="1363"/>
      <c r="O57" s="1363"/>
      <c r="P57" s="1364"/>
      <c r="Q57" s="1358"/>
    </row>
    <row r="58" spans="1:17" ht="15">
      <c r="A58" s="899"/>
      <c r="B58" s="1102"/>
      <c r="C58" s="1103">
        <v>100</v>
      </c>
      <c r="D58" s="1103"/>
      <c r="E58" s="1103"/>
      <c r="F58" s="1103"/>
      <c r="G58" s="1103"/>
      <c r="H58" s="1103"/>
      <c r="I58" s="1103"/>
      <c r="J58" s="1103"/>
      <c r="K58" s="1103"/>
      <c r="L58" s="1103"/>
      <c r="M58" s="1144"/>
      <c r="N58" s="1365"/>
      <c r="O58" s="1365"/>
      <c r="P58" s="1364"/>
      <c r="Q58" s="1358"/>
    </row>
    <row r="59" spans="1:17" ht="27">
      <c r="A59" s="899"/>
      <c r="B59" s="1104" t="s">
        <v>964</v>
      </c>
      <c r="C59" s="1105" t="s">
        <v>1579</v>
      </c>
      <c r="D59" s="1105" t="s">
        <v>1580</v>
      </c>
      <c r="E59" s="1105" t="s">
        <v>1581</v>
      </c>
      <c r="F59" s="1105" t="s">
        <v>1582</v>
      </c>
      <c r="G59" s="1105" t="s">
        <v>1583</v>
      </c>
      <c r="H59" s="1105" t="s">
        <v>1584</v>
      </c>
      <c r="I59" s="1105" t="s">
        <v>1585</v>
      </c>
      <c r="J59" s="1105"/>
      <c r="K59" s="1146"/>
      <c r="L59" s="1147"/>
      <c r="M59" s="1148"/>
      <c r="N59" s="1363"/>
      <c r="O59" s="1363"/>
      <c r="P59" s="1364"/>
      <c r="Q59" s="1358"/>
    </row>
    <row r="60" spans="1:17" ht="15">
      <c r="A60" s="899"/>
      <c r="B60" s="1106"/>
      <c r="C60" s="1107" t="s">
        <v>1022</v>
      </c>
      <c r="D60" s="1107" t="s">
        <v>1022</v>
      </c>
      <c r="E60" s="1107">
        <v>100</v>
      </c>
      <c r="F60" s="1107">
        <f>E60-$K10</f>
        <v>100</v>
      </c>
      <c r="G60" s="1107">
        <f>F60-$K10</f>
        <v>100</v>
      </c>
      <c r="H60" s="1107">
        <f>G60-$K10</f>
        <v>100</v>
      </c>
      <c r="I60" s="1107">
        <f>H60-$K10</f>
        <v>100</v>
      </c>
      <c r="J60" s="1107"/>
      <c r="K60" s="1107"/>
      <c r="L60" s="1107"/>
      <c r="M60" s="1149"/>
      <c r="N60" s="1365"/>
      <c r="O60" s="1365"/>
      <c r="P60" s="1364"/>
      <c r="Q60" s="1358"/>
    </row>
    <row r="61" spans="1:17" ht="15">
      <c r="A61" s="899"/>
      <c r="B61" s="1108" t="s">
        <v>965</v>
      </c>
      <c r="C61" s="1109" t="str">
        <f>C62&amp;"（含）"&amp;"-"&amp;D62</f>
        <v>（含）-</v>
      </c>
      <c r="D61" s="1109" t="str">
        <f t="shared" ref="D61:L61" si="17">D62&amp;"（含）"&amp;"-"&amp;E62</f>
        <v>（含）-</v>
      </c>
      <c r="E61" s="1109" t="str">
        <f t="shared" si="17"/>
        <v>（含）-</v>
      </c>
      <c r="F61" s="1109" t="str">
        <f t="shared" si="17"/>
        <v>（含）-</v>
      </c>
      <c r="G61" s="1109" t="str">
        <f t="shared" si="17"/>
        <v>（含）-</v>
      </c>
      <c r="H61" s="1109" t="str">
        <f t="shared" si="17"/>
        <v>（含）-</v>
      </c>
      <c r="I61" s="1109" t="str">
        <f t="shared" si="17"/>
        <v>（含）-</v>
      </c>
      <c r="J61" s="1109" t="str">
        <f t="shared" si="17"/>
        <v>（含）-</v>
      </c>
      <c r="K61" s="1109" t="str">
        <f t="shared" si="17"/>
        <v>（含）-</v>
      </c>
      <c r="L61" s="1109" t="str">
        <f t="shared" si="17"/>
        <v>（含）-</v>
      </c>
      <c r="M61" s="919" t="str">
        <f>M62&amp;"（含）"&amp;"-"&amp;P62</f>
        <v>（含）-</v>
      </c>
      <c r="N61" s="1365"/>
      <c r="O61" s="1365"/>
      <c r="P61" s="1364"/>
      <c r="Q61" s="1358"/>
    </row>
    <row r="62" spans="1:17" ht="15">
      <c r="A62" s="899"/>
      <c r="B62" s="1110"/>
      <c r="C62" s="905"/>
      <c r="D62" s="905"/>
      <c r="E62" s="905"/>
      <c r="F62" s="905"/>
      <c r="G62" s="905"/>
      <c r="H62" s="905"/>
      <c r="I62" s="905"/>
      <c r="J62" s="905"/>
      <c r="K62" s="1150"/>
      <c r="L62" s="1151"/>
      <c r="M62" s="1152"/>
      <c r="N62" s="1363"/>
      <c r="O62" s="1363"/>
      <c r="P62" s="1364"/>
      <c r="Q62" s="1358"/>
    </row>
    <row r="63" spans="1:17" ht="15">
      <c r="A63" s="899"/>
      <c r="B63" s="1102"/>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49">
        <f t="shared" si="18"/>
        <v>100</v>
      </c>
      <c r="N63" s="1365"/>
      <c r="O63" s="1365"/>
      <c r="P63" s="1364"/>
      <c r="Q63" s="1358"/>
    </row>
    <row r="64" spans="1:17" s="857" customFormat="1" ht="15">
      <c r="A64" s="1111"/>
      <c r="B64" s="1104">
        <f>B12</f>
        <v>111</v>
      </c>
      <c r="C64" s="1112"/>
      <c r="D64" s="1112"/>
      <c r="E64" s="1112"/>
      <c r="F64" s="1112"/>
      <c r="G64" s="1112"/>
      <c r="H64" s="1113"/>
      <c r="I64" s="1113"/>
      <c r="J64" s="1113"/>
      <c r="K64" s="1113"/>
      <c r="L64" s="1153"/>
      <c r="M64" s="1154"/>
      <c r="N64" s="1366"/>
      <c r="O64" s="1366"/>
      <c r="P64" s="1367"/>
      <c r="Q64" s="1368"/>
    </row>
    <row r="65" spans="1:17" s="857" customFormat="1" ht="15">
      <c r="A65" s="1111"/>
      <c r="B65" s="1106"/>
      <c r="C65" s="1114"/>
      <c r="D65" s="1103"/>
      <c r="E65" s="1103"/>
      <c r="F65" s="1103"/>
      <c r="G65" s="1103"/>
      <c r="H65" s="1103"/>
      <c r="I65" s="1103"/>
      <c r="J65" s="1103"/>
      <c r="K65" s="1103"/>
      <c r="L65" s="1103"/>
      <c r="M65" s="1144"/>
      <c r="N65" s="1365"/>
      <c r="O65" s="1365"/>
      <c r="P65" s="1367"/>
      <c r="Q65" s="1368"/>
    </row>
    <row r="66" spans="1:17" s="857" customFormat="1" ht="15">
      <c r="A66" s="1111"/>
      <c r="B66" s="1104">
        <f>B13</f>
        <v>111</v>
      </c>
      <c r="C66" s="1112"/>
      <c r="D66" s="1112"/>
      <c r="E66" s="1112"/>
      <c r="F66" s="1112"/>
      <c r="G66" s="1112"/>
      <c r="H66" s="1113"/>
      <c r="I66" s="1113"/>
      <c r="J66" s="1113"/>
      <c r="K66" s="1113"/>
      <c r="L66" s="1153"/>
      <c r="M66" s="1154"/>
      <c r="N66" s="1366"/>
      <c r="O66" s="1366"/>
      <c r="Q66" s="1371"/>
    </row>
    <row r="67" spans="1:17" s="857" customFormat="1" ht="15">
      <c r="A67" s="1111"/>
      <c r="B67" s="1106"/>
      <c r="C67" s="1114"/>
      <c r="D67" s="1103"/>
      <c r="E67" s="1103"/>
      <c r="F67" s="1103"/>
      <c r="G67" s="1114"/>
      <c r="H67" s="1115"/>
      <c r="I67" s="1115"/>
      <c r="J67" s="1115"/>
      <c r="K67" s="1115"/>
      <c r="L67" s="1115"/>
      <c r="M67" s="1156"/>
      <c r="N67" s="1366"/>
      <c r="O67" s="1366"/>
      <c r="P67" s="1367"/>
      <c r="Q67" s="1368"/>
    </row>
    <row r="68" spans="1:17" s="857" customFormat="1" ht="15">
      <c r="A68" s="1111"/>
      <c r="B68" s="1108">
        <f>B14</f>
        <v>111</v>
      </c>
      <c r="C68" s="1098"/>
      <c r="D68" s="1098"/>
      <c r="E68" s="1098"/>
      <c r="F68" s="1098"/>
      <c r="G68" s="1098"/>
      <c r="H68" s="1116"/>
      <c r="I68" s="1116"/>
      <c r="J68" s="1116"/>
      <c r="K68" s="1116"/>
      <c r="L68" s="1157"/>
      <c r="M68" s="1158"/>
      <c r="N68" s="1366"/>
      <c r="O68" s="1366"/>
      <c r="P68" s="1369"/>
      <c r="Q68" s="1368"/>
    </row>
    <row r="69" spans="1:17" s="857" customFormat="1" ht="15">
      <c r="A69" s="1117"/>
      <c r="B69" s="1118"/>
      <c r="C69" s="1119"/>
      <c r="D69" s="1119"/>
      <c r="E69" s="1119"/>
      <c r="F69" s="1119"/>
      <c r="G69" s="1119"/>
      <c r="H69" s="1120"/>
      <c r="I69" s="1120"/>
      <c r="J69" s="1120"/>
      <c r="K69" s="1120"/>
      <c r="L69" s="1120"/>
      <c r="M69" s="1160"/>
      <c r="N69" s="1366"/>
      <c r="O69" s="1366"/>
      <c r="P69" s="1367"/>
      <c r="Q69" s="1368"/>
    </row>
    <row r="70" spans="1:17">
      <c r="A70" s="912" t="s">
        <v>967</v>
      </c>
      <c r="B70" s="1101" t="s">
        <v>1952</v>
      </c>
      <c r="C70" s="1121" t="s">
        <v>1028</v>
      </c>
      <c r="D70" s="1121" t="s">
        <v>1029</v>
      </c>
      <c r="E70" s="1121" t="s">
        <v>1030</v>
      </c>
      <c r="F70" s="1121" t="s">
        <v>1031</v>
      </c>
      <c r="G70" s="1121" t="s">
        <v>1032</v>
      </c>
      <c r="H70" s="637"/>
      <c r="I70" s="637"/>
      <c r="J70" s="637"/>
      <c r="K70" s="1161"/>
      <c r="L70" s="1162"/>
      <c r="M70" s="1163"/>
      <c r="N70" s="1363"/>
      <c r="O70" s="1363"/>
      <c r="P70" s="1370"/>
      <c r="Q70" s="1358"/>
    </row>
    <row r="71" spans="1:17" ht="15">
      <c r="A71" s="899"/>
      <c r="B71" s="1106"/>
      <c r="C71" s="1107">
        <v>100</v>
      </c>
      <c r="D71" s="1107">
        <f>C71-$K15</f>
        <v>100</v>
      </c>
      <c r="E71" s="1107">
        <f>D71-$K15</f>
        <v>100</v>
      </c>
      <c r="F71" s="1107">
        <f>E71-$K15</f>
        <v>100</v>
      </c>
      <c r="G71" s="1107">
        <f>F71-$K15</f>
        <v>100</v>
      </c>
      <c r="H71" s="1107"/>
      <c r="I71" s="1107"/>
      <c r="J71" s="1107"/>
      <c r="K71" s="1107"/>
      <c r="L71" s="1107"/>
      <c r="M71" s="1149"/>
      <c r="N71" s="1365"/>
      <c r="O71" s="1365"/>
      <c r="P71" s="1364"/>
      <c r="Q71" s="1358"/>
    </row>
    <row r="72" spans="1:17" ht="15">
      <c r="A72" s="899"/>
      <c r="B72" s="1104" t="s">
        <v>973</v>
      </c>
      <c r="C72" s="1122" t="s">
        <v>1028</v>
      </c>
      <c r="D72" s="1122" t="s">
        <v>1029</v>
      </c>
      <c r="E72" s="1122" t="s">
        <v>1030</v>
      </c>
      <c r="F72" s="1122" t="s">
        <v>1031</v>
      </c>
      <c r="G72" s="1122" t="s">
        <v>1032</v>
      </c>
      <c r="H72" s="1105"/>
      <c r="I72" s="1105"/>
      <c r="J72" s="1105"/>
      <c r="K72" s="1146"/>
      <c r="L72" s="1147"/>
      <c r="M72" s="1148"/>
      <c r="N72" s="1363"/>
      <c r="O72" s="1363"/>
      <c r="P72" s="1364"/>
      <c r="Q72" s="1358"/>
    </row>
    <row r="73" spans="1:17" ht="15">
      <c r="A73" s="899"/>
      <c r="B73" s="1106"/>
      <c r="C73" s="1107">
        <v>100</v>
      </c>
      <c r="D73" s="1107">
        <f>C73-$K17</f>
        <v>100</v>
      </c>
      <c r="E73" s="1107">
        <f>D73-$K17</f>
        <v>100</v>
      </c>
      <c r="F73" s="1107">
        <f>E73-$K17</f>
        <v>100</v>
      </c>
      <c r="G73" s="1107">
        <f>F73-$K17</f>
        <v>100</v>
      </c>
      <c r="H73" s="1107"/>
      <c r="I73" s="1107"/>
      <c r="J73" s="1107"/>
      <c r="K73" s="1107"/>
      <c r="L73" s="1107"/>
      <c r="M73" s="1149"/>
      <c r="N73" s="1365"/>
      <c r="O73" s="1365"/>
      <c r="P73" s="1364"/>
      <c r="Q73" s="1358"/>
    </row>
    <row r="74" spans="1:17" ht="15">
      <c r="A74" s="899"/>
      <c r="B74" s="1104" t="s">
        <v>976</v>
      </c>
      <c r="C74" s="1122" t="s">
        <v>1028</v>
      </c>
      <c r="D74" s="1122" t="s">
        <v>1029</v>
      </c>
      <c r="E74" s="1122" t="s">
        <v>1030</v>
      </c>
      <c r="F74" s="1122" t="s">
        <v>1031</v>
      </c>
      <c r="G74" s="1122" t="s">
        <v>1032</v>
      </c>
      <c r="H74" s="1105"/>
      <c r="I74" s="1105"/>
      <c r="J74" s="1105"/>
      <c r="K74" s="1146"/>
      <c r="L74" s="1147"/>
      <c r="M74" s="1148"/>
      <c r="N74" s="1363"/>
      <c r="O74" s="1363"/>
      <c r="P74" s="1364"/>
      <c r="Q74" s="1358"/>
    </row>
    <row r="75" spans="1:17" ht="15">
      <c r="A75" s="899"/>
      <c r="B75" s="1106"/>
      <c r="C75" s="1107">
        <v>100</v>
      </c>
      <c r="D75" s="1107">
        <f>C75-$K19</f>
        <v>100</v>
      </c>
      <c r="E75" s="1107">
        <f>D75-$K19</f>
        <v>100</v>
      </c>
      <c r="F75" s="1107">
        <f>E75-$K19</f>
        <v>100</v>
      </c>
      <c r="G75" s="1107">
        <f>F75-$K19</f>
        <v>100</v>
      </c>
      <c r="H75" s="1107"/>
      <c r="I75" s="1107"/>
      <c r="J75" s="1107"/>
      <c r="K75" s="1107"/>
      <c r="L75" s="1107"/>
      <c r="M75" s="1149"/>
      <c r="N75" s="1365"/>
      <c r="O75" s="1365"/>
      <c r="P75" s="1364"/>
      <c r="Q75" s="1358"/>
    </row>
    <row r="76" spans="1:17" ht="15">
      <c r="A76" s="899"/>
      <c r="B76" s="1108" t="s">
        <v>977</v>
      </c>
      <c r="C76" s="1039" t="s">
        <v>1033</v>
      </c>
      <c r="D76" s="1039" t="s">
        <v>1034</v>
      </c>
      <c r="E76" s="1039" t="s">
        <v>1035</v>
      </c>
      <c r="F76" s="1039" t="s">
        <v>1036</v>
      </c>
      <c r="G76" s="1039" t="s">
        <v>1037</v>
      </c>
      <c r="H76" s="1105"/>
      <c r="I76" s="1105"/>
      <c r="J76" s="1105"/>
      <c r="K76" s="1105"/>
      <c r="L76" s="1105"/>
      <c r="M76" s="1248"/>
      <c r="N76" s="1365"/>
      <c r="O76" s="1365"/>
      <c r="P76" s="1364"/>
      <c r="Q76" s="1358"/>
    </row>
    <row r="77" spans="1:17" ht="15">
      <c r="A77" s="899"/>
      <c r="B77" s="1108"/>
      <c r="C77" s="1107">
        <v>100</v>
      </c>
      <c r="D77" s="1107">
        <f>C77-$K21</f>
        <v>100</v>
      </c>
      <c r="E77" s="1107">
        <f>D77-$K21</f>
        <v>100</v>
      </c>
      <c r="F77" s="1107">
        <f>E77-$K21</f>
        <v>100</v>
      </c>
      <c r="G77" s="1107">
        <f>F77-$K21</f>
        <v>100</v>
      </c>
      <c r="H77" s="1039"/>
      <c r="I77" s="1039"/>
      <c r="J77" s="1039"/>
      <c r="K77" s="1039"/>
      <c r="L77" s="1039"/>
      <c r="M77" s="921"/>
      <c r="N77" s="1365"/>
      <c r="O77" s="1365"/>
      <c r="P77" s="1364"/>
      <c r="Q77" s="1358"/>
    </row>
    <row r="78" spans="1:17" ht="15">
      <c r="A78" s="899"/>
      <c r="B78" s="1104" t="s">
        <v>1947</v>
      </c>
      <c r="C78" s="1122" t="s">
        <v>1028</v>
      </c>
      <c r="D78" s="1122" t="s">
        <v>1029</v>
      </c>
      <c r="E78" s="1122" t="s">
        <v>1030</v>
      </c>
      <c r="F78" s="1122" t="s">
        <v>1031</v>
      </c>
      <c r="G78" s="1122" t="s">
        <v>1032</v>
      </c>
      <c r="H78" s="1105"/>
      <c r="I78" s="1105"/>
      <c r="J78" s="1105"/>
      <c r="K78" s="1146"/>
      <c r="L78" s="1147"/>
      <c r="M78" s="1148"/>
      <c r="N78" s="1363"/>
      <c r="O78" s="1363"/>
      <c r="P78" s="1364"/>
      <c r="Q78" s="1358"/>
    </row>
    <row r="79" spans="1:17" ht="15">
      <c r="A79" s="899"/>
      <c r="B79" s="1106"/>
      <c r="C79" s="1107">
        <v>100</v>
      </c>
      <c r="D79" s="1107">
        <f>C79-$K23</f>
        <v>100</v>
      </c>
      <c r="E79" s="1107">
        <f>D79-$K23</f>
        <v>100</v>
      </c>
      <c r="F79" s="1107">
        <f>E79-$K23</f>
        <v>100</v>
      </c>
      <c r="G79" s="1107">
        <f>F79-$K23</f>
        <v>100</v>
      </c>
      <c r="H79" s="1107"/>
      <c r="I79" s="1107"/>
      <c r="J79" s="1107"/>
      <c r="K79" s="1107"/>
      <c r="L79" s="1107"/>
      <c r="M79" s="1149"/>
      <c r="N79" s="1365"/>
      <c r="O79" s="1365"/>
      <c r="P79" s="1364"/>
      <c r="Q79" s="1358"/>
    </row>
    <row r="80" spans="1:17" s="855" customFormat="1" ht="15">
      <c r="A80" s="902"/>
      <c r="B80" s="1104">
        <f>B25</f>
        <v>111</v>
      </c>
      <c r="C80" s="1112"/>
      <c r="D80" s="1112"/>
      <c r="E80" s="1112"/>
      <c r="F80" s="1112"/>
      <c r="G80" s="1112"/>
      <c r="H80" s="1112"/>
      <c r="I80" s="1112"/>
      <c r="J80" s="1112"/>
      <c r="K80" s="1112"/>
      <c r="L80" s="1249"/>
      <c r="M80" s="1250"/>
      <c r="N80" s="1361"/>
      <c r="O80" s="1361"/>
      <c r="P80" s="1364"/>
      <c r="Q80" s="1358"/>
    </row>
    <row r="81" spans="1:17" s="855" customFormat="1" ht="15">
      <c r="A81" s="902"/>
      <c r="B81" s="1106"/>
      <c r="C81" s="1114"/>
      <c r="D81" s="1103"/>
      <c r="E81" s="1103"/>
      <c r="F81" s="1103"/>
      <c r="G81" s="1103"/>
      <c r="H81" s="1103"/>
      <c r="I81" s="1103"/>
      <c r="J81" s="1103"/>
      <c r="K81" s="1103"/>
      <c r="L81" s="1103"/>
      <c r="M81" s="1144"/>
      <c r="N81" s="1365"/>
      <c r="O81" s="1365"/>
      <c r="P81" s="1364"/>
      <c r="Q81" s="1358"/>
    </row>
    <row r="82" spans="1:17" s="855" customFormat="1" ht="15">
      <c r="A82" s="902"/>
      <c r="B82" s="1104">
        <f>B26</f>
        <v>111</v>
      </c>
      <c r="C82" s="1112"/>
      <c r="D82" s="1112"/>
      <c r="E82" s="1112"/>
      <c r="F82" s="1112"/>
      <c r="G82" s="1112"/>
      <c r="H82" s="1112"/>
      <c r="I82" s="1112"/>
      <c r="J82" s="1112"/>
      <c r="K82" s="1112"/>
      <c r="L82" s="1249"/>
      <c r="M82" s="1250"/>
      <c r="N82" s="1361"/>
      <c r="O82" s="1361"/>
      <c r="P82" s="1364"/>
      <c r="Q82" s="1358"/>
    </row>
    <row r="83" spans="1:17" s="855" customFormat="1" ht="15">
      <c r="A83" s="902"/>
      <c r="B83" s="1106"/>
      <c r="C83" s="1114"/>
      <c r="D83" s="1103"/>
      <c r="E83" s="1103"/>
      <c r="F83" s="1103"/>
      <c r="G83" s="1103"/>
      <c r="H83" s="1103"/>
      <c r="I83" s="1103"/>
      <c r="J83" s="1103"/>
      <c r="K83" s="1103"/>
      <c r="L83" s="1103"/>
      <c r="M83" s="1144"/>
      <c r="N83" s="1365"/>
      <c r="O83" s="1365"/>
      <c r="P83" s="1364"/>
      <c r="Q83" s="1358"/>
    </row>
    <row r="84" spans="1:17" s="857" customFormat="1" ht="15">
      <c r="A84" s="1111"/>
      <c r="B84" s="1104">
        <f>B27</f>
        <v>111</v>
      </c>
      <c r="C84" s="1112"/>
      <c r="D84" s="1112"/>
      <c r="E84" s="1112"/>
      <c r="F84" s="1112"/>
      <c r="G84" s="1112"/>
      <c r="H84" s="1112"/>
      <c r="I84" s="1112"/>
      <c r="J84" s="1112"/>
      <c r="K84" s="1112"/>
      <c r="L84" s="1249"/>
      <c r="M84" s="1250"/>
      <c r="N84" s="1366"/>
      <c r="O84" s="1366"/>
      <c r="P84" s="1367"/>
      <c r="Q84" s="1368"/>
    </row>
    <row r="85" spans="1:17" s="857" customFormat="1" ht="15">
      <c r="A85" s="1111"/>
      <c r="B85" s="1106"/>
      <c r="C85" s="1114"/>
      <c r="D85" s="1103"/>
      <c r="E85" s="1103"/>
      <c r="F85" s="1103"/>
      <c r="G85" s="1103"/>
      <c r="H85" s="1103"/>
      <c r="I85" s="1103"/>
      <c r="J85" s="1103"/>
      <c r="K85" s="1103"/>
      <c r="L85" s="1103"/>
      <c r="M85" s="1144"/>
      <c r="N85" s="1366"/>
      <c r="O85" s="1366"/>
      <c r="P85" s="1367"/>
      <c r="Q85" s="1368"/>
    </row>
    <row r="86" spans="1:17" ht="15">
      <c r="A86" s="899"/>
      <c r="B86" s="1108">
        <f>B28</f>
        <v>111</v>
      </c>
      <c r="C86" s="1098"/>
      <c r="D86" s="1098"/>
      <c r="E86" s="1098"/>
      <c r="F86" s="1098"/>
      <c r="G86" s="1127"/>
      <c r="H86" s="1127"/>
      <c r="I86" s="1127"/>
      <c r="J86" s="1127"/>
      <c r="K86" s="1174"/>
      <c r="L86" s="1175"/>
      <c r="M86" s="1176"/>
      <c r="N86" s="1363"/>
      <c r="O86" s="1363"/>
      <c r="P86" s="1364"/>
      <c r="Q86" s="1358"/>
    </row>
    <row r="87" spans="1:17" ht="15">
      <c r="A87" s="908"/>
      <c r="B87" s="1118"/>
      <c r="C87" s="1119"/>
      <c r="D87" s="1119"/>
      <c r="E87" s="1119"/>
      <c r="F87" s="1119"/>
      <c r="G87" s="1128"/>
      <c r="H87" s="1128"/>
      <c r="I87" s="1128"/>
      <c r="J87" s="1128"/>
      <c r="K87" s="1128"/>
      <c r="L87" s="1128"/>
      <c r="M87" s="1177"/>
      <c r="N87" s="1365"/>
      <c r="O87" s="1365"/>
      <c r="P87" s="1364"/>
      <c r="Q87" s="1358"/>
    </row>
    <row r="88" spans="1:17">
      <c r="A88" s="912" t="s">
        <v>983</v>
      </c>
      <c r="B88" s="1101" t="s">
        <v>1560</v>
      </c>
      <c r="C88" s="1047"/>
      <c r="D88" s="1047"/>
      <c r="E88" s="1047"/>
      <c r="F88" s="1047"/>
      <c r="G88" s="1047"/>
      <c r="H88" s="1047"/>
      <c r="I88" s="1047"/>
      <c r="J88" s="1047"/>
      <c r="K88" s="1140"/>
      <c r="L88" s="1141"/>
      <c r="M88" s="1142"/>
      <c r="N88" s="1363"/>
      <c r="O88" s="1363"/>
      <c r="P88" s="1364"/>
      <c r="Q88" s="1358"/>
    </row>
    <row r="89" spans="1:17" ht="15">
      <c r="A89" s="899"/>
      <c r="B89" s="1106"/>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49">
        <f t="shared" si="19"/>
        <v>100</v>
      </c>
      <c r="N89" s="1365"/>
      <c r="O89" s="1365"/>
      <c r="P89" s="1364"/>
      <c r="Q89" s="1358"/>
    </row>
    <row r="90" spans="1:17" ht="15">
      <c r="A90" s="899"/>
      <c r="B90" s="1104" t="s">
        <v>1563</v>
      </c>
      <c r="C90" s="1122" t="str">
        <f>C91&amp;"(含)"&amp;"-"&amp;D91</f>
        <v>(含)-</v>
      </c>
      <c r="D90" s="1122" t="str">
        <f t="shared" ref="D90:L90" si="20">D91&amp;"(含)"&amp;"-"&amp;E91</f>
        <v>(含)-</v>
      </c>
      <c r="E90" s="1122" t="str">
        <f t="shared" si="20"/>
        <v>(含)-</v>
      </c>
      <c r="F90" s="1122" t="str">
        <f t="shared" si="20"/>
        <v>(含)-</v>
      </c>
      <c r="G90" s="1122" t="str">
        <f t="shared" si="20"/>
        <v>(含)-</v>
      </c>
      <c r="H90" s="1122" t="str">
        <f t="shared" si="20"/>
        <v>(含)-</v>
      </c>
      <c r="I90" s="1122" t="str">
        <f t="shared" si="20"/>
        <v>(含)-</v>
      </c>
      <c r="J90" s="1122" t="str">
        <f t="shared" si="20"/>
        <v>(含)-</v>
      </c>
      <c r="K90" s="1122" t="str">
        <f t="shared" si="20"/>
        <v>(含)-</v>
      </c>
      <c r="L90" s="1122" t="str">
        <f t="shared" si="20"/>
        <v>(含)-</v>
      </c>
      <c r="M90" s="1166" t="str">
        <f>M91&amp;"(含)"&amp;"-"&amp;P91</f>
        <v>(含)-</v>
      </c>
      <c r="N90" s="1361"/>
      <c r="O90" s="1361"/>
      <c r="P90" s="1364"/>
      <c r="Q90" s="1358"/>
    </row>
    <row r="91" spans="1:17" s="857" customFormat="1">
      <c r="A91" s="952"/>
      <c r="B91" s="1129"/>
      <c r="C91" s="1090"/>
      <c r="D91" s="1090"/>
      <c r="E91" s="1090"/>
      <c r="F91" s="1090"/>
      <c r="G91" s="1090"/>
      <c r="H91" s="1090"/>
      <c r="I91" s="1090"/>
      <c r="J91" s="1178"/>
      <c r="K91" s="1178"/>
      <c r="L91" s="1179"/>
      <c r="M91" s="1180"/>
      <c r="N91" s="1366"/>
      <c r="O91" s="1366"/>
      <c r="P91" s="1367"/>
      <c r="Q91" s="1368"/>
    </row>
    <row r="92" spans="1:17" s="857" customFormat="1" ht="15">
      <c r="A92" s="1111"/>
      <c r="B92" s="1106"/>
      <c r="C92" s="1114"/>
      <c r="D92" s="1103"/>
      <c r="E92" s="1103"/>
      <c r="F92" s="1103"/>
      <c r="G92" s="1103"/>
      <c r="H92" s="1103"/>
      <c r="I92" s="1103"/>
      <c r="J92" s="1103"/>
      <c r="K92" s="1103"/>
      <c r="L92" s="1103"/>
      <c r="M92" s="1144"/>
      <c r="N92" s="1365"/>
      <c r="O92" s="1365"/>
      <c r="P92" s="1367"/>
      <c r="Q92" s="1368"/>
    </row>
    <row r="93" spans="1:17">
      <c r="A93" s="947"/>
      <c r="B93" s="1104" t="s">
        <v>1564</v>
      </c>
      <c r="C93" s="1112"/>
      <c r="D93" s="1112"/>
      <c r="E93" s="1126"/>
      <c r="F93" s="1126"/>
      <c r="G93" s="1126"/>
      <c r="H93" s="1126"/>
      <c r="I93" s="1126"/>
      <c r="J93" s="1126"/>
      <c r="K93" s="1171"/>
      <c r="L93" s="1172"/>
      <c r="M93" s="1173"/>
      <c r="N93" s="1363"/>
      <c r="O93" s="1363"/>
      <c r="P93" s="1364"/>
      <c r="Q93" s="1358"/>
    </row>
    <row r="94" spans="1:17" ht="15">
      <c r="A94" s="899"/>
      <c r="B94" s="1106"/>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49">
        <f t="shared" si="21"/>
        <v>100</v>
      </c>
      <c r="N94" s="1365"/>
      <c r="O94" s="1365"/>
      <c r="P94" s="1364"/>
      <c r="Q94" s="1358"/>
    </row>
    <row r="95" spans="1:17">
      <c r="A95" s="947"/>
      <c r="B95" s="1104" t="s">
        <v>1567</v>
      </c>
      <c r="C95" s="1112"/>
      <c r="D95" s="1112"/>
      <c r="E95" s="1112"/>
      <c r="F95" s="1126"/>
      <c r="G95" s="1126"/>
      <c r="H95" s="1126"/>
      <c r="I95" s="1126"/>
      <c r="J95" s="1126"/>
      <c r="K95" s="1171"/>
      <c r="L95" s="1172"/>
      <c r="M95" s="1173"/>
      <c r="N95" s="1363"/>
      <c r="O95" s="1363"/>
      <c r="P95" s="1364"/>
      <c r="Q95" s="1358"/>
    </row>
    <row r="96" spans="1:17" ht="15">
      <c r="A96" s="899"/>
      <c r="B96" s="1106"/>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49">
        <f t="shared" si="22"/>
        <v>100</v>
      </c>
      <c r="N96" s="1365"/>
      <c r="O96" s="1365"/>
      <c r="P96" s="1364"/>
      <c r="Q96" s="1358"/>
    </row>
    <row r="97" spans="1:17">
      <c r="A97" s="947"/>
      <c r="B97" s="1104" t="s">
        <v>579</v>
      </c>
      <c r="C97" s="1122" t="str">
        <f>C98&amp;"(含)"&amp;"-"&amp;D98</f>
        <v>0.5(含)-0.6</v>
      </c>
      <c r="D97" s="1122" t="str">
        <f>D98&amp;"(含)"&amp;"-"&amp;E98</f>
        <v>0.6(含)-0.7</v>
      </c>
      <c r="E97" s="1122" t="str">
        <f>E98&amp;"(含)"&amp;"-"&amp;F98</f>
        <v>0.7(含)-0.8</v>
      </c>
      <c r="F97" s="1122" t="str">
        <f>F98&amp;"(含)"&amp;"-"&amp;G98</f>
        <v>0.8(含)-0.9</v>
      </c>
      <c r="G97" s="1122" t="str">
        <f>G98&amp;"(含)"&amp;"-"&amp;ROUND(H98,0)&amp;"(含)"</f>
        <v>0.9(含)-1(含)</v>
      </c>
      <c r="H97" s="1122"/>
      <c r="I97" s="1126"/>
      <c r="J97" s="1126"/>
      <c r="K97" s="1171"/>
      <c r="L97" s="1172"/>
      <c r="M97" s="1173"/>
      <c r="N97" s="1363"/>
      <c r="O97" s="1363"/>
      <c r="P97" s="1364"/>
      <c r="Q97" s="1358"/>
    </row>
    <row r="98" spans="1:17">
      <c r="A98" s="947"/>
      <c r="B98" s="1108"/>
      <c r="C98" s="795">
        <v>0.5</v>
      </c>
      <c r="D98" s="795">
        <v>0.6</v>
      </c>
      <c r="E98" s="795">
        <v>0.7</v>
      </c>
      <c r="F98" s="795">
        <v>0.8</v>
      </c>
      <c r="G98" s="795">
        <v>0.9</v>
      </c>
      <c r="H98" s="795">
        <v>1.0001</v>
      </c>
      <c r="I98" s="1328"/>
      <c r="J98" s="1328"/>
      <c r="K98" s="1329"/>
      <c r="L98" s="1330"/>
      <c r="M98" s="1331"/>
      <c r="N98" s="1363"/>
      <c r="O98" s="1363"/>
      <c r="P98" s="1364"/>
      <c r="Q98" s="1358"/>
    </row>
    <row r="99" spans="1:17" ht="15">
      <c r="A99" s="899"/>
      <c r="B99" s="1106"/>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1365"/>
      <c r="O99" s="1365"/>
      <c r="P99" s="1364"/>
      <c r="Q99" s="1358"/>
    </row>
    <row r="100" spans="1:17" s="857" customFormat="1">
      <c r="A100" s="952"/>
      <c r="B100" s="1104" t="s">
        <v>1569</v>
      </c>
      <c r="C100" s="1112"/>
      <c r="D100" s="1112"/>
      <c r="E100" s="1112"/>
      <c r="F100" s="1112"/>
      <c r="G100" s="1112"/>
      <c r="H100" s="1126"/>
      <c r="I100" s="1126"/>
      <c r="J100" s="1126"/>
      <c r="K100" s="1171"/>
      <c r="L100" s="1172"/>
      <c r="M100" s="1173"/>
      <c r="N100" s="1366"/>
      <c r="O100" s="1366"/>
      <c r="P100" s="1367"/>
      <c r="Q100" s="1368"/>
    </row>
    <row r="101" spans="1:17" s="857" customFormat="1" ht="15">
      <c r="A101" s="1111"/>
      <c r="B101" s="1106"/>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1366"/>
      <c r="O101" s="1366"/>
      <c r="P101" s="1367"/>
      <c r="Q101" s="1368"/>
    </row>
    <row r="102" spans="1:17">
      <c r="A102" s="947"/>
      <c r="B102" s="1104" t="s">
        <v>1571</v>
      </c>
      <c r="C102" s="1112"/>
      <c r="D102" s="1112"/>
      <c r="E102" s="1112"/>
      <c r="F102" s="1112"/>
      <c r="G102" s="1112"/>
      <c r="H102" s="1126"/>
      <c r="I102" s="1126"/>
      <c r="J102" s="1126"/>
      <c r="K102" s="1171"/>
      <c r="L102" s="1172"/>
      <c r="M102" s="1173"/>
      <c r="N102" s="1363"/>
      <c r="O102" s="1363"/>
      <c r="P102" s="1364"/>
      <c r="Q102" s="1358"/>
    </row>
    <row r="103" spans="1:17" ht="15">
      <c r="A103" s="899"/>
      <c r="B103" s="1106"/>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49">
        <f t="shared" si="25"/>
        <v>100</v>
      </c>
      <c r="N103" s="1365"/>
      <c r="O103" s="1365"/>
      <c r="P103" s="1364"/>
      <c r="Q103" s="1358"/>
    </row>
    <row r="104" spans="1:17">
      <c r="A104" s="947"/>
      <c r="B104" s="1104" t="s">
        <v>1574</v>
      </c>
      <c r="C104" s="1112"/>
      <c r="D104" s="1112"/>
      <c r="E104" s="1112"/>
      <c r="F104" s="1112"/>
      <c r="G104" s="1112"/>
      <c r="H104" s="1126"/>
      <c r="I104" s="1126"/>
      <c r="J104" s="1126"/>
      <c r="K104" s="1171"/>
      <c r="L104" s="1172"/>
      <c r="M104" s="1173"/>
      <c r="N104" s="1363"/>
      <c r="O104" s="1363"/>
      <c r="P104" s="1364"/>
      <c r="Q104" s="1358"/>
    </row>
    <row r="105" spans="1:17" ht="15">
      <c r="A105" s="899"/>
      <c r="B105" s="1106"/>
      <c r="C105" s="1107">
        <v>100</v>
      </c>
      <c r="D105" s="1107">
        <f>C105-$K36</f>
        <v>100</v>
      </c>
      <c r="E105" s="1107">
        <f>D105-$K36</f>
        <v>100</v>
      </c>
      <c r="F105" s="1107">
        <f>E105-$K36</f>
        <v>100</v>
      </c>
      <c r="G105" s="1107">
        <f>F105-$K36</f>
        <v>100</v>
      </c>
      <c r="H105" s="1107"/>
      <c r="I105" s="1107"/>
      <c r="J105" s="1107"/>
      <c r="K105" s="1107"/>
      <c r="L105" s="1107"/>
      <c r="M105" s="1149"/>
      <c r="N105" s="1365"/>
      <c r="O105" s="1365"/>
      <c r="P105" s="1364"/>
      <c r="Q105" s="1358"/>
    </row>
    <row r="106" spans="1:17">
      <c r="A106" s="947"/>
      <c r="B106" s="1246" t="s">
        <v>1954</v>
      </c>
      <c r="C106" s="1122" t="s">
        <v>1028</v>
      </c>
      <c r="D106" s="1122" t="s">
        <v>1029</v>
      </c>
      <c r="E106" s="1122" t="s">
        <v>1030</v>
      </c>
      <c r="F106" s="1122" t="s">
        <v>1031</v>
      </c>
      <c r="G106" s="1122" t="s">
        <v>1032</v>
      </c>
      <c r="H106" s="1105"/>
      <c r="I106" s="1105"/>
      <c r="J106" s="1105"/>
      <c r="K106" s="1146"/>
      <c r="L106" s="1147"/>
      <c r="M106" s="1148"/>
      <c r="N106" s="1365"/>
      <c r="O106" s="1365"/>
      <c r="P106" s="823"/>
      <c r="Q106" s="1372"/>
    </row>
    <row r="107" spans="1:17" ht="15">
      <c r="A107" s="899"/>
      <c r="B107" s="1106"/>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1365"/>
      <c r="O107" s="1365"/>
      <c r="P107" s="1364"/>
      <c r="Q107" s="1358"/>
    </row>
    <row r="108" spans="1:17" s="857" customFormat="1">
      <c r="A108" s="952"/>
      <c r="B108" s="1104">
        <f>B38</f>
        <v>111</v>
      </c>
      <c r="C108" s="1112"/>
      <c r="D108" s="1112"/>
      <c r="E108" s="1112"/>
      <c r="F108" s="1112"/>
      <c r="G108" s="1112"/>
      <c r="H108" s="1113"/>
      <c r="I108" s="1113"/>
      <c r="J108" s="1113"/>
      <c r="K108" s="1113"/>
      <c r="L108" s="1153"/>
      <c r="M108" s="1154"/>
      <c r="N108" s="1366"/>
      <c r="O108" s="1366"/>
      <c r="P108" s="1367"/>
      <c r="Q108" s="1368"/>
    </row>
    <row r="109" spans="1:17" s="857" customFormat="1" ht="15">
      <c r="A109" s="1111"/>
      <c r="B109" s="1102"/>
      <c r="C109" s="1114"/>
      <c r="D109" s="1103"/>
      <c r="E109" s="1103"/>
      <c r="F109" s="1103"/>
      <c r="G109" s="1114"/>
      <c r="H109" s="1115"/>
      <c r="I109" s="1115"/>
      <c r="J109" s="1115"/>
      <c r="K109" s="1115"/>
      <c r="L109" s="1115"/>
      <c r="M109" s="1156"/>
      <c r="N109" s="1366"/>
      <c r="O109" s="1366"/>
      <c r="P109" s="1367"/>
      <c r="Q109" s="1368"/>
    </row>
    <row r="110" spans="1:17">
      <c r="A110" s="947"/>
      <c r="B110" s="1104">
        <f>B39</f>
        <v>111</v>
      </c>
      <c r="C110" s="1112"/>
      <c r="D110" s="1112"/>
      <c r="E110" s="1112"/>
      <c r="F110" s="1112"/>
      <c r="G110" s="1112"/>
      <c r="H110" s="1113"/>
      <c r="I110" s="1113"/>
      <c r="J110" s="1113"/>
      <c r="K110" s="1113"/>
      <c r="L110" s="1153"/>
      <c r="M110" s="1154"/>
      <c r="N110" s="1363"/>
      <c r="O110" s="1363"/>
      <c r="P110" s="1364"/>
      <c r="Q110" s="1358"/>
    </row>
    <row r="111" spans="1:17" ht="15">
      <c r="A111" s="899"/>
      <c r="B111" s="1106"/>
      <c r="C111" s="1114"/>
      <c r="D111" s="1103"/>
      <c r="E111" s="1103"/>
      <c r="F111" s="1103"/>
      <c r="G111" s="1114"/>
      <c r="H111" s="1115"/>
      <c r="I111" s="1115"/>
      <c r="J111" s="1115"/>
      <c r="K111" s="1115"/>
      <c r="L111" s="1115"/>
      <c r="M111" s="1156"/>
      <c r="N111" s="1365"/>
      <c r="O111" s="1365"/>
      <c r="P111" s="1364"/>
      <c r="Q111" s="1358"/>
    </row>
    <row r="112" spans="1:17">
      <c r="A112" s="947"/>
      <c r="B112" s="1108">
        <f>B40</f>
        <v>111</v>
      </c>
      <c r="C112" s="1098"/>
      <c r="D112" s="1098"/>
      <c r="E112" s="1098"/>
      <c r="F112" s="1098"/>
      <c r="G112" s="1127"/>
      <c r="H112" s="1127"/>
      <c r="I112" s="1127"/>
      <c r="J112" s="1127"/>
      <c r="K112" s="1098"/>
      <c r="L112" s="1136"/>
      <c r="M112" s="1176"/>
      <c r="N112" s="1363"/>
      <c r="O112" s="1363"/>
      <c r="P112" s="1364"/>
      <c r="Q112" s="1358"/>
    </row>
    <row r="113" spans="1:17" ht="15">
      <c r="A113" s="908"/>
      <c r="B113" s="1118"/>
      <c r="C113" s="1119"/>
      <c r="D113" s="1119"/>
      <c r="E113" s="1119"/>
      <c r="F113" s="1119"/>
      <c r="G113" s="1128"/>
      <c r="H113" s="1128"/>
      <c r="I113" s="1128"/>
      <c r="J113" s="1128"/>
      <c r="K113" s="1128"/>
      <c r="L113" s="1128"/>
      <c r="M113" s="1177"/>
      <c r="N113" s="1365"/>
      <c r="O113" s="1365"/>
      <c r="P113" s="1364"/>
      <c r="Q113" s="13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1"/>
    <col min="3" max="4" width="12.625" style="2131" customWidth="1"/>
    <col min="5" max="9" width="12.625" style="2131"/>
    <col min="10" max="11" width="12.625" style="232" customWidth="1"/>
    <col min="12" max="12" width="12.625" style="232"/>
    <col min="13" max="13" width="14.125" style="232" customWidth="1"/>
    <col min="14" max="26" width="12.625" style="232"/>
    <col min="27" max="35" width="12.625" style="2130"/>
    <col min="36" max="16384" width="12.625" style="2131"/>
  </cols>
  <sheetData>
    <row r="1" spans="1:12" ht="21.75" customHeight="1" thickBot="1">
      <c r="A1" s="2132" t="s">
        <v>715</v>
      </c>
      <c r="B1" s="1778"/>
      <c r="C1" s="2133" t="s">
        <v>491</v>
      </c>
      <c r="D1" s="1778"/>
      <c r="E1" s="1778"/>
      <c r="F1" s="2134" t="s">
        <v>716</v>
      </c>
      <c r="G1" s="2135" t="s">
        <v>3159</v>
      </c>
      <c r="H1" s="2134" t="str">
        <f>IF(G1="现房","——","估价对象范围")</f>
        <v>——</v>
      </c>
      <c r="I1" s="2264" t="s">
        <v>717</v>
      </c>
    </row>
    <row r="2" spans="1:12" ht="21.75" customHeight="1" thickBot="1">
      <c r="A2" s="3215" t="str">
        <f>项目基本情况!S2</f>
        <v>北京市顺义区北小营镇顺义新城第30街区30-01-02地块R2二类居住用地出让国有建设用地使用权及在建建筑物房地产</v>
      </c>
      <c r="B2" s="3216"/>
      <c r="C2" s="3216"/>
      <c r="D2" s="3216"/>
      <c r="E2" s="3216"/>
      <c r="F2" s="3216"/>
      <c r="G2" s="3216"/>
      <c r="H2" s="3216"/>
      <c r="I2" s="3217"/>
    </row>
    <row r="3" spans="1:12" ht="12.75">
      <c r="A3" s="3218" t="s">
        <v>718</v>
      </c>
      <c r="B3" s="3219"/>
      <c r="C3" s="3219"/>
      <c r="D3" s="3219"/>
      <c r="E3" s="3219"/>
      <c r="F3" s="3219"/>
      <c r="G3" s="3219"/>
      <c r="H3" s="3219"/>
      <c r="I3" s="3219"/>
    </row>
    <row r="4" spans="1:12" ht="14.25">
      <c r="A4" s="2136" t="s">
        <v>719</v>
      </c>
      <c r="B4" s="2137" t="s">
        <v>720</v>
      </c>
      <c r="C4" s="2138" t="s">
        <v>3016</v>
      </c>
      <c r="D4" s="2138" t="s">
        <v>3017</v>
      </c>
      <c r="E4" s="3220" t="s">
        <v>722</v>
      </c>
      <c r="F4" s="3221"/>
      <c r="G4" s="3221"/>
      <c r="H4" s="3221"/>
      <c r="I4" s="3222"/>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65" t="s">
        <v>723</v>
      </c>
      <c r="B5" s="3306">
        <v>25</v>
      </c>
      <c r="C5" s="3235"/>
      <c r="D5" s="3234"/>
      <c r="E5" s="1676" t="s">
        <v>724</v>
      </c>
      <c r="F5" s="2143"/>
      <c r="G5" s="2143"/>
      <c r="H5" s="2143"/>
      <c r="I5" s="1878"/>
    </row>
    <row r="6" spans="1:12" ht="12.75">
      <c r="A6" s="3265"/>
      <c r="B6" s="3306"/>
      <c r="C6" s="3236"/>
      <c r="D6" s="3234"/>
      <c r="E6" s="1676" t="s">
        <v>725</v>
      </c>
      <c r="F6" s="2143"/>
      <c r="G6" s="2143"/>
      <c r="H6" s="2143"/>
      <c r="I6" s="1878"/>
    </row>
    <row r="7" spans="1:12" ht="12.75">
      <c r="A7" s="3265"/>
      <c r="B7" s="3306"/>
      <c r="C7" s="3237"/>
      <c r="D7" s="3234"/>
      <c r="E7" s="1676" t="s">
        <v>726</v>
      </c>
      <c r="F7" s="2143"/>
      <c r="G7" s="2143"/>
      <c r="H7" s="2143"/>
      <c r="I7" s="1878"/>
    </row>
    <row r="8" spans="1:12" ht="12.75">
      <c r="A8" s="3265" t="s">
        <v>727</v>
      </c>
      <c r="B8" s="3306">
        <v>15</v>
      </c>
      <c r="C8" s="3235"/>
      <c r="D8" s="3234"/>
      <c r="E8" s="1676" t="s">
        <v>728</v>
      </c>
      <c r="F8" s="2143"/>
      <c r="G8" s="2143"/>
      <c r="H8" s="2143"/>
      <c r="I8" s="1878"/>
    </row>
    <row r="9" spans="1:12" ht="12.75">
      <c r="A9" s="3265"/>
      <c r="B9" s="3306"/>
      <c r="C9" s="3237"/>
      <c r="D9" s="3234"/>
      <c r="E9" s="1676" t="s">
        <v>729</v>
      </c>
      <c r="F9" s="2143"/>
      <c r="G9" s="2143"/>
      <c r="H9" s="2143"/>
      <c r="I9" s="1878"/>
    </row>
    <row r="10" spans="1:12" ht="12.75">
      <c r="A10" s="3265" t="s">
        <v>730</v>
      </c>
      <c r="B10" s="3306">
        <v>15</v>
      </c>
      <c r="C10" s="3235"/>
      <c r="D10" s="3234"/>
      <c r="E10" s="1676" t="s">
        <v>731</v>
      </c>
      <c r="F10" s="2143"/>
      <c r="G10" s="2143"/>
      <c r="H10" s="2143"/>
      <c r="I10" s="1878"/>
    </row>
    <row r="11" spans="1:12" ht="12.75">
      <c r="A11" s="3265"/>
      <c r="B11" s="3306"/>
      <c r="C11" s="3237"/>
      <c r="D11" s="3234"/>
      <c r="E11" s="1676" t="s">
        <v>732</v>
      </c>
      <c r="F11" s="2143"/>
      <c r="G11" s="2143"/>
      <c r="H11" s="2143"/>
      <c r="I11" s="1878"/>
    </row>
    <row r="12" spans="1:12" ht="12.75">
      <c r="A12" s="3265" t="s">
        <v>733</v>
      </c>
      <c r="B12" s="3306">
        <v>15</v>
      </c>
      <c r="C12" s="3235"/>
      <c r="D12" s="3234"/>
      <c r="E12" s="1676" t="s">
        <v>734</v>
      </c>
      <c r="F12" s="2143"/>
      <c r="G12" s="2143"/>
      <c r="H12" s="2143"/>
      <c r="I12" s="1878"/>
    </row>
    <row r="13" spans="1:12" ht="12.75">
      <c r="A13" s="3265"/>
      <c r="B13" s="3306"/>
      <c r="C13" s="3237"/>
      <c r="D13" s="3234"/>
      <c r="E13" s="1676" t="s">
        <v>735</v>
      </c>
      <c r="F13" s="2143"/>
      <c r="G13" s="2143"/>
      <c r="H13" s="2143"/>
      <c r="I13" s="1878"/>
    </row>
    <row r="14" spans="1:12" ht="12.75">
      <c r="A14" s="3265" t="s">
        <v>736</v>
      </c>
      <c r="B14" s="3306">
        <v>30</v>
      </c>
      <c r="C14" s="3235">
        <v>6</v>
      </c>
      <c r="D14" s="3234">
        <v>4</v>
      </c>
      <c r="E14" s="1676" t="s">
        <v>737</v>
      </c>
      <c r="F14" s="2143"/>
      <c r="G14" s="2143"/>
      <c r="H14" s="2143"/>
      <c r="I14" s="1878"/>
    </row>
    <row r="15" spans="1:12" ht="12.75">
      <c r="A15" s="3265"/>
      <c r="B15" s="3306"/>
      <c r="C15" s="3236"/>
      <c r="D15" s="3234"/>
      <c r="E15" s="1676" t="s">
        <v>738</v>
      </c>
      <c r="F15" s="2143"/>
      <c r="G15" s="2143"/>
      <c r="H15" s="2143"/>
      <c r="I15" s="1878"/>
    </row>
    <row r="16" spans="1:12" ht="12.75">
      <c r="A16" s="3265"/>
      <c r="B16" s="3306"/>
      <c r="C16" s="3237"/>
      <c r="D16" s="3234"/>
      <c r="E16" s="1676" t="s">
        <v>739</v>
      </c>
      <c r="F16" s="2143"/>
      <c r="G16" s="2143"/>
      <c r="H16" s="2143"/>
      <c r="I16" s="1878"/>
    </row>
    <row r="17" spans="1:36" ht="15">
      <c r="A17" s="2144" t="s">
        <v>740</v>
      </c>
      <c r="B17" s="2145"/>
      <c r="C17" s="2146">
        <f>SUM(C5:C16)</f>
        <v>6</v>
      </c>
      <c r="D17" s="2146">
        <f>SUM(D5:D16)</f>
        <v>4</v>
      </c>
      <c r="E17" s="274"/>
      <c r="F17" s="274"/>
      <c r="G17" s="274"/>
      <c r="H17" s="274"/>
      <c r="I17" s="274"/>
      <c r="K17" s="1636"/>
      <c r="L17" s="1636" t="s">
        <v>741</v>
      </c>
      <c r="M17" s="1636" t="s">
        <v>742</v>
      </c>
    </row>
    <row r="18" spans="1:36" ht="31.9" customHeight="1" thickBot="1">
      <c r="A18" s="2147" t="s">
        <v>743</v>
      </c>
      <c r="B18" s="2148"/>
      <c r="C18" s="2149">
        <f>ROUND(C17/SUM(C17:D17),2)</f>
        <v>0.6</v>
      </c>
      <c r="D18" s="2149">
        <f>1-C18</f>
        <v>0.4</v>
      </c>
      <c r="E18" s="3223" t="s">
        <v>744</v>
      </c>
      <c r="F18" s="3224"/>
      <c r="G18" s="3224"/>
      <c r="H18" s="3224"/>
      <c r="I18" s="3224"/>
      <c r="K18" s="1636" t="s">
        <v>362</v>
      </c>
      <c r="L18" s="1636">
        <f>IF(C1="",'数据-汇总表'!E3,SUMIF(项目类型,C1,'数据-汇总表'!E17:E26)+SUMIF(项目类型,C1,'数据-汇总表'!I17:I26))</f>
        <v>13611.27</v>
      </c>
      <c r="M18" s="1636">
        <f>IF(C1="",'数据-汇总表'!E3,SUMIF(项目类型,C1,'数据-汇总表'!E17:E26))</f>
        <v>13611.27</v>
      </c>
    </row>
    <row r="19" spans="1:36" ht="15">
      <c r="A19" s="1085" t="s">
        <v>745</v>
      </c>
      <c r="B19" s="2150" t="s">
        <v>746</v>
      </c>
      <c r="C19" s="2151">
        <f ca="1">SUMIF(INDIRECT("'"&amp;C4&amp;"'"&amp;"!A:A"),结果表车!B19,INDIRECT("'"&amp;C4&amp;"'"&amp;"!B:B"))</f>
        <v>3976</v>
      </c>
      <c r="D19" s="2115">
        <f ca="1">SUMIF(INDIRECT("'"&amp;D4&amp;"'"&amp;"!A:A"),结果表车!B19,INDIRECT("'"&amp;D4&amp;"'"&amp;"!B:B"))</f>
        <v>272295</v>
      </c>
      <c r="E19" s="1085" t="s">
        <v>747</v>
      </c>
      <c r="F19" s="2150" t="s">
        <v>746</v>
      </c>
      <c r="G19" s="2152">
        <f ca="1">ROUND(C19*$C$18+D19*$D$18,0)</f>
        <v>111304</v>
      </c>
      <c r="H19" s="2153" t="s">
        <v>748</v>
      </c>
      <c r="I19" s="274"/>
      <c r="K19" s="1636" t="s">
        <v>366</v>
      </c>
      <c r="L19" s="1636">
        <f>IF(C1="",'数据-汇总表'!D3,SUMIF(项目类型,C1,'数据-汇总表'!D17:D26)+SUMIF(项目类型,C1,'数据-汇总表'!H17:H27))</f>
        <v>0</v>
      </c>
      <c r="M19" s="1636">
        <f>IF(C1="",'数据-汇总表'!D3,SUMIF(项目类型,C1,'数据-汇总表'!D17:D26))</f>
        <v>0</v>
      </c>
    </row>
    <row r="20" spans="1:36" ht="15">
      <c r="A20" s="2154"/>
      <c r="B20" s="2155" t="s">
        <v>749</v>
      </c>
      <c r="C20" s="1427">
        <f ca="1">SUMIF(INDIRECT("'"&amp;C4&amp;"'"&amp;"!A:A"),结果表车!B20,INDIRECT("'"&amp;C4&amp;"'"&amp;"!B:B"))</f>
        <v>2921</v>
      </c>
      <c r="D20" s="1968">
        <f ca="1">SUMIF(INDIRECT("'"&amp;D4&amp;"'"&amp;"!A:A"),结果表车!B20,INDIRECT("'"&amp;D4&amp;"'"&amp;"!B:B"))</f>
        <v>200051</v>
      </c>
      <c r="E20" s="2154"/>
      <c r="F20" s="2155" t="s">
        <v>749</v>
      </c>
      <c r="G20" s="2156">
        <f ca="1">ROUND(C20*$C$18+D20*$D$18,0)</f>
        <v>81773</v>
      </c>
      <c r="H20" s="1787" t="s">
        <v>750</v>
      </c>
      <c r="I20" s="274"/>
    </row>
    <row r="21" spans="1:36" ht="15" customHeight="1" thickBot="1">
      <c r="A21" s="1091"/>
      <c r="B21" s="2157" t="s">
        <v>751</v>
      </c>
      <c r="C21" s="2158" t="e">
        <f ca="1">ROUND(C19*10000/L19,0)</f>
        <v>#DIV/0!</v>
      </c>
      <c r="D21" s="2159" t="e">
        <f ca="1">ROUND(D19*10000/L19,0)</f>
        <v>#DIV/0!</v>
      </c>
      <c r="E21" s="1091"/>
      <c r="F21" s="2157" t="s">
        <v>751</v>
      </c>
      <c r="G21" s="2160" t="e">
        <f ca="1">ROUND(G19*10000/L19,0)</f>
        <v>#DIV/0!</v>
      </c>
      <c r="H21" s="2161" t="s">
        <v>750</v>
      </c>
      <c r="I21" s="274"/>
      <c r="K21" s="232">
        <v>412505</v>
      </c>
      <c r="L21" s="232">
        <v>400289</v>
      </c>
    </row>
    <row r="22" spans="1:36" ht="15" thickBot="1">
      <c r="A22" s="2162" t="s">
        <v>752</v>
      </c>
      <c r="B22" s="2163"/>
      <c r="C22" s="2164"/>
      <c r="D22" s="2165">
        <f ca="1">IF(C19&lt;D19,D19/C19-1,C19/D19-1)</f>
        <v>67.484657947686117</v>
      </c>
      <c r="E22" s="274"/>
      <c r="F22" s="274"/>
      <c r="G22" s="274"/>
      <c r="H22" s="274"/>
      <c r="I22" s="274"/>
      <c r="K22" s="232">
        <f ca="1">G19</f>
        <v>111304</v>
      </c>
      <c r="L22" s="232">
        <f ca="1">N59</f>
        <v>108008</v>
      </c>
    </row>
    <row r="23" spans="1:36" ht="13.5" thickBot="1">
      <c r="A23" s="1778"/>
      <c r="B23" s="1778"/>
      <c r="C23" s="1778"/>
      <c r="D23" s="1778"/>
      <c r="E23" s="274"/>
      <c r="F23" s="274"/>
      <c r="G23" s="274"/>
      <c r="H23" s="274"/>
      <c r="I23" s="274"/>
      <c r="K23" s="232">
        <f ca="1">K21-K22</f>
        <v>301201</v>
      </c>
      <c r="L23" s="232">
        <f ca="1">L21-L22</f>
        <v>292281</v>
      </c>
    </row>
    <row r="24" spans="1:36" ht="14.25">
      <c r="A24" s="3299" t="s">
        <v>753</v>
      </c>
      <c r="B24" s="2150" t="s">
        <v>746</v>
      </c>
      <c r="C24" s="2152">
        <f>IF(B30=0,0,D30)</f>
        <v>0</v>
      </c>
      <c r="D24" s="2166"/>
      <c r="E24" s="274"/>
      <c r="F24" s="274"/>
      <c r="G24" s="274"/>
      <c r="H24" s="274"/>
      <c r="I24" s="274"/>
    </row>
    <row r="25" spans="1:36" ht="14.25">
      <c r="A25" s="3300"/>
      <c r="B25" s="2155" t="s">
        <v>749</v>
      </c>
      <c r="C25" s="2167">
        <f>IF(B30=0,0,C30)</f>
        <v>0</v>
      </c>
      <c r="D25" s="2168"/>
      <c r="E25" s="274"/>
      <c r="F25" s="274"/>
      <c r="G25" s="274"/>
      <c r="H25" s="274"/>
      <c r="I25" s="274"/>
    </row>
    <row r="26" spans="1:36" ht="13.5" customHeight="1">
      <c r="A26" s="2169" t="s">
        <v>754</v>
      </c>
      <c r="B26" s="2170" t="s">
        <v>755</v>
      </c>
      <c r="C26" s="2170" t="s">
        <v>756</v>
      </c>
      <c r="D26" s="2171" t="s">
        <v>757</v>
      </c>
      <c r="E26" s="274"/>
      <c r="F26" s="274"/>
      <c r="G26" s="274"/>
      <c r="H26" s="274"/>
      <c r="I26" s="274"/>
    </row>
    <row r="27" spans="1:36" ht="14.25">
      <c r="A27" s="2169"/>
      <c r="B27" s="2170">
        <v>0</v>
      </c>
      <c r="C27" s="2170">
        <v>0</v>
      </c>
      <c r="D27" s="2171">
        <f>ROUND(C27*B27/10000,0)</f>
        <v>0</v>
      </c>
      <c r="E27" s="274"/>
      <c r="F27" s="274"/>
      <c r="G27" s="274"/>
      <c r="H27" s="274"/>
      <c r="I27" s="274"/>
    </row>
    <row r="28" spans="1:36" ht="14.25">
      <c r="A28" s="2169"/>
      <c r="B28" s="2170"/>
      <c r="C28" s="2170"/>
      <c r="D28" s="2171"/>
      <c r="E28" s="274"/>
      <c r="F28" s="274"/>
      <c r="G28" s="274"/>
      <c r="H28" s="274"/>
      <c r="I28" s="274"/>
    </row>
    <row r="29" spans="1:36" ht="14.25">
      <c r="A29" s="2169"/>
      <c r="B29" s="2170"/>
      <c r="C29" s="2170"/>
      <c r="D29" s="2171"/>
      <c r="E29" s="274"/>
      <c r="F29" s="274"/>
      <c r="G29" s="274"/>
      <c r="H29" s="274"/>
      <c r="I29" s="274"/>
    </row>
    <row r="30" spans="1:36" ht="15" thickBot="1">
      <c r="A30" s="2170" t="s">
        <v>758</v>
      </c>
      <c r="B30" s="2170"/>
      <c r="C30" s="2170"/>
      <c r="D30" s="2170"/>
      <c r="E30" s="2172" t="s">
        <v>759</v>
      </c>
      <c r="F30" s="274"/>
      <c r="G30" s="274"/>
      <c r="H30" s="274"/>
      <c r="I30" s="274"/>
    </row>
    <row r="31" spans="1:36" s="2129" customFormat="1" ht="26.45" customHeight="1" thickTop="1" thickBot="1">
      <c r="A31" s="2173"/>
      <c r="B31" s="2174"/>
      <c r="C31" s="2174"/>
      <c r="D31" s="2174"/>
      <c r="E31" s="2174"/>
      <c r="F31" s="2174"/>
      <c r="G31" s="2174"/>
      <c r="H31" s="2174"/>
      <c r="I31" s="2266" t="s">
        <v>760</v>
      </c>
      <c r="J31" s="2267"/>
      <c r="K31" s="2268"/>
      <c r="L31" s="2268"/>
      <c r="M31" s="2268"/>
      <c r="N31" s="2268"/>
      <c r="O31" s="2268"/>
      <c r="P31" s="2268"/>
      <c r="Q31" s="2268"/>
      <c r="R31" s="2268"/>
      <c r="S31" s="2268"/>
      <c r="T31" s="2268"/>
      <c r="U31" s="2268"/>
      <c r="V31" s="2268"/>
      <c r="W31" s="2268"/>
      <c r="X31" s="2268"/>
      <c r="Y31" s="2268"/>
      <c r="Z31" s="2268"/>
      <c r="AA31" s="2268"/>
      <c r="AB31" s="2298"/>
      <c r="AC31" s="2298"/>
      <c r="AD31" s="2298"/>
      <c r="AE31" s="2298"/>
      <c r="AF31" s="2298"/>
      <c r="AG31" s="2298"/>
      <c r="AH31" s="2298"/>
      <c r="AI31" s="2298"/>
      <c r="AJ31" s="2298"/>
    </row>
    <row r="32" spans="1:36" ht="16.5" thickTop="1" thickBot="1">
      <c r="A32" s="2175" t="s">
        <v>761</v>
      </c>
      <c r="B32" s="2176"/>
      <c r="C32" s="2177">
        <f ca="1">IF(D32="总价",G19-C24,G20-C25)</f>
        <v>111304</v>
      </c>
      <c r="D32" s="2178" t="s">
        <v>762</v>
      </c>
      <c r="E32" s="274"/>
      <c r="F32" s="274"/>
      <c r="G32" s="274"/>
      <c r="H32" s="274"/>
      <c r="I32" s="274"/>
    </row>
    <row r="33" spans="1:15" ht="15">
      <c r="A33" s="2015" t="s">
        <v>763</v>
      </c>
      <c r="B33" s="1676"/>
      <c r="C33" s="2179" t="s">
        <v>764</v>
      </c>
      <c r="D33" s="2180" t="s">
        <v>721</v>
      </c>
      <c r="E33" s="2181" t="s">
        <v>765</v>
      </c>
      <c r="F33" s="2182" t="str">
        <f>IF(D32="楼面单价","取值（单价）","取值（总价）")</f>
        <v>取值（总价）</v>
      </c>
      <c r="G33" s="274"/>
      <c r="H33" s="274"/>
      <c r="I33" s="274"/>
    </row>
    <row r="34" spans="1:15" ht="15">
      <c r="A34" s="2183"/>
      <c r="B34" s="2184" t="s">
        <v>766</v>
      </c>
      <c r="C34" s="2185">
        <f ca="1">IF(C33="自定义",F34,C32-C35)</f>
        <v>83033</v>
      </c>
      <c r="D34" s="2186">
        <f ca="1">IF(C33="自定义",ROUND(C34/C32,3),IF(C33="收益比率",SUMIF(INDIRECT("'"&amp;D33&amp;"'"&amp;"!b:b"),"土地收益比率",INDIRECT("'"&amp;D33&amp;"'"&amp;"!c:c")),SUMIF(INDIRECT("'"&amp;D33&amp;"'"&amp;"!b:b"),"土地成本比率",INDIRECT("'"&amp;D33&amp;"'"&amp;"!c:c"))))</f>
        <v>0.746</v>
      </c>
      <c r="E34" s="2187" t="s">
        <v>767</v>
      </c>
      <c r="F34" s="2188"/>
      <c r="G34" s="274"/>
      <c r="H34" s="274"/>
      <c r="I34" s="274"/>
    </row>
    <row r="35" spans="1:15" ht="15.75" thickBot="1">
      <c r="A35" s="2189"/>
      <c r="B35" s="2190" t="s">
        <v>768</v>
      </c>
      <c r="C35" s="2191">
        <f ca="1">IF(C33="自定义",F35,ROUND(C32*D35,0))</f>
        <v>28271</v>
      </c>
      <c r="D35" s="2192">
        <f ca="1">IF(C33="自定义",ROUND(C35/C32,3),IF(C33="收益比率",SUMIF(INDIRECT("'"&amp;D33&amp;"'"&amp;"!b:b"),"建筑物收益比率",INDIRECT("'"&amp;D33&amp;"'"&amp;"!c:c")),SUMIF(INDIRECT("'"&amp;D33&amp;"'"&amp;"!b:b"),"建筑物成本比率",INDIRECT("'"&amp;D33&amp;"'"&amp;"!c:c"))))</f>
        <v>0.254</v>
      </c>
      <c r="E35" s="2193" t="s">
        <v>769</v>
      </c>
      <c r="F35" s="2194"/>
      <c r="G35" s="274"/>
      <c r="H35" s="274"/>
      <c r="I35" s="274"/>
    </row>
    <row r="36" spans="1:15" ht="15.75" thickBot="1">
      <c r="A36" s="3301" t="s">
        <v>770</v>
      </c>
      <c r="B36" s="2195" t="s">
        <v>771</v>
      </c>
      <c r="C36" s="2196"/>
      <c r="D36" s="2197"/>
      <c r="E36" s="2198"/>
      <c r="F36" s="2199"/>
      <c r="G36" s="274"/>
      <c r="H36" s="274"/>
      <c r="I36" s="274"/>
    </row>
    <row r="37" spans="1:15" ht="15.75" thickBot="1">
      <c r="A37" s="3302"/>
      <c r="B37" s="2200" t="s">
        <v>772</v>
      </c>
      <c r="C37" s="2201"/>
      <c r="D37" s="2202"/>
      <c r="E37" s="2202"/>
      <c r="F37" s="2199"/>
      <c r="G37" s="274"/>
      <c r="H37" s="274"/>
      <c r="I37" s="274"/>
    </row>
    <row r="38" spans="1:15" ht="15.75" thickBot="1">
      <c r="A38" s="3303"/>
      <c r="B38" s="2203" t="s">
        <v>773</v>
      </c>
      <c r="C38" s="2204"/>
      <c r="D38" s="2205" t="s">
        <v>774</v>
      </c>
      <c r="E38" s="2202"/>
      <c r="F38" s="2199"/>
      <c r="G38" s="274"/>
      <c r="H38" s="274"/>
      <c r="I38" s="274"/>
    </row>
    <row r="39" spans="1:15" ht="15">
      <c r="A39" s="2154" t="s">
        <v>775</v>
      </c>
      <c r="B39" s="2206" t="s">
        <v>755</v>
      </c>
      <c r="C39" s="2207" t="s">
        <v>756</v>
      </c>
      <c r="D39" s="2207" t="s">
        <v>776</v>
      </c>
      <c r="E39" s="2208" t="s">
        <v>757</v>
      </c>
      <c r="F39" s="2199"/>
      <c r="G39" s="274"/>
      <c r="H39" s="274"/>
      <c r="I39" s="274"/>
    </row>
    <row r="40" spans="1:15" ht="14.25">
      <c r="A40" s="2209" t="s">
        <v>777</v>
      </c>
      <c r="B40" s="2210"/>
      <c r="C40" s="292"/>
      <c r="D40" s="292"/>
      <c r="E40" s="2211"/>
      <c r="F40" s="2199"/>
      <c r="G40" s="274"/>
      <c r="H40" s="274"/>
      <c r="I40" s="274"/>
    </row>
    <row r="41" spans="1:15" ht="14.25">
      <c r="A41" s="2209" t="s">
        <v>778</v>
      </c>
      <c r="B41" s="2210"/>
      <c r="C41" s="292"/>
      <c r="D41" s="292"/>
      <c r="E41" s="2211"/>
      <c r="F41" s="2199"/>
      <c r="G41" s="274"/>
      <c r="H41" s="274"/>
      <c r="I41" s="274"/>
    </row>
    <row r="42" spans="1:15" ht="15" thickBot="1">
      <c r="A42" s="2212"/>
      <c r="B42" s="2213"/>
      <c r="C42" s="2214"/>
      <c r="D42" s="2214"/>
      <c r="E42" s="2194"/>
      <c r="F42" s="2199"/>
      <c r="G42" s="274"/>
      <c r="H42" s="274"/>
      <c r="I42" s="274"/>
    </row>
    <row r="43" spans="1:15" ht="12.75">
      <c r="A43" s="2215"/>
      <c r="B43" s="2215"/>
      <c r="C43" s="2215"/>
      <c r="D43" s="2215"/>
      <c r="E43" s="2215"/>
      <c r="F43" s="2216"/>
      <c r="G43" s="2216"/>
      <c r="H43" s="2216"/>
      <c r="I43" s="2269"/>
    </row>
    <row r="44" spans="1:15" ht="18.75">
      <c r="A44" s="2217" t="s">
        <v>779</v>
      </c>
      <c r="B44" s="2218"/>
      <c r="C44" s="2218"/>
      <c r="D44" s="2219"/>
      <c r="E44" s="2219"/>
      <c r="F44" s="2220"/>
      <c r="G44" s="2220"/>
      <c r="H44" s="2220"/>
      <c r="I44" s="2220"/>
      <c r="J44" s="2270" t="s">
        <v>780</v>
      </c>
      <c r="K44" s="465"/>
      <c r="L44" s="465"/>
      <c r="M44" s="465"/>
      <c r="N44" s="465"/>
      <c r="O44" s="465"/>
    </row>
    <row r="45" spans="1:15" ht="14.25" customHeight="1" thickBot="1">
      <c r="A45" s="3225" t="s">
        <v>781</v>
      </c>
      <c r="B45" s="3226"/>
      <c r="C45" s="3227"/>
      <c r="D45" s="1635">
        <f ca="1">ROUND(H101*F45,0)</f>
        <v>62330</v>
      </c>
      <c r="E45" s="2221" t="s">
        <v>782</v>
      </c>
      <c r="F45" s="2222">
        <v>0.56000000000000005</v>
      </c>
      <c r="G45" s="1646" t="s">
        <v>783</v>
      </c>
      <c r="H45" s="274"/>
      <c r="I45" s="274"/>
      <c r="J45" s="3228" t="s">
        <v>784</v>
      </c>
      <c r="K45" s="3228"/>
      <c r="L45" s="3228"/>
      <c r="M45" s="3228"/>
      <c r="N45" s="3228"/>
      <c r="O45" s="3228"/>
    </row>
    <row r="46" spans="1:15" ht="14.25" customHeight="1">
      <c r="A46" s="3229" t="s">
        <v>785</v>
      </c>
      <c r="B46" s="3230"/>
      <c r="C46" s="3230"/>
      <c r="D46" s="3230"/>
      <c r="E46" s="3230"/>
      <c r="F46" s="3230"/>
      <c r="G46" s="3231"/>
      <c r="H46" s="2223"/>
      <c r="I46" s="275"/>
      <c r="J46" s="3058">
        <v>1</v>
      </c>
      <c r="K46" s="3232" t="s">
        <v>786</v>
      </c>
      <c r="L46" s="3232"/>
      <c r="M46" s="3233"/>
      <c r="N46" s="3233"/>
      <c r="O46" s="3233"/>
    </row>
    <row r="47" spans="1:15" ht="12" customHeight="1">
      <c r="A47" s="2224" t="s">
        <v>787</v>
      </c>
      <c r="B47" s="2225"/>
      <c r="C47" s="2226"/>
      <c r="D47" s="1685" t="s">
        <v>788</v>
      </c>
      <c r="E47" s="1636" t="s">
        <v>789</v>
      </c>
      <c r="F47" s="2227" t="s">
        <v>790</v>
      </c>
      <c r="G47" s="2228" t="s">
        <v>791</v>
      </c>
      <c r="H47" s="2229"/>
      <c r="I47" s="275"/>
      <c r="J47" s="3058">
        <v>2</v>
      </c>
      <c r="K47" s="3232" t="s">
        <v>792</v>
      </c>
      <c r="L47" s="3232"/>
      <c r="M47" s="3238">
        <f>'数据-取费表'!B2</f>
        <v>45475</v>
      </c>
      <c r="N47" s="3238"/>
      <c r="O47" s="3238"/>
    </row>
    <row r="48" spans="1:15" ht="25.5">
      <c r="A48" s="3239" t="s">
        <v>793</v>
      </c>
      <c r="B48" s="3240"/>
      <c r="C48" s="3240"/>
      <c r="D48" s="3061">
        <f ca="1">IF(H48="情况1",0,IF(H48="情况2",D52,IF(H48="情况3",D53,IF(H48="情况4",D54))))</f>
        <v>3265</v>
      </c>
      <c r="E48" s="3055" t="str">
        <f>IF(H48="情况4","(销售额-原购置价)×税（费）率","销售额×税（费）率")</f>
        <v>销售额×税（费）率</v>
      </c>
      <c r="F48" s="2231">
        <f>IF(H48="情况1","免征",'数据-取费表'!B41)</f>
        <v>5.5E-2</v>
      </c>
      <c r="G48" s="2232" t="s">
        <v>794</v>
      </c>
      <c r="H48" s="2233" t="s">
        <v>795</v>
      </c>
      <c r="I48" s="2223"/>
      <c r="J48" s="3058">
        <v>3</v>
      </c>
      <c r="K48" s="3232" t="s">
        <v>796</v>
      </c>
      <c r="L48" s="3232"/>
      <c r="M48" s="3241">
        <f ca="1">H101</f>
        <v>111304</v>
      </c>
      <c r="N48" s="3241"/>
      <c r="O48" s="3241"/>
    </row>
    <row r="49" spans="1:35" ht="25.5" customHeight="1">
      <c r="A49" s="3054" t="s">
        <v>797</v>
      </c>
      <c r="B49" s="3242" t="s">
        <v>798</v>
      </c>
      <c r="C49" s="3242"/>
      <c r="D49" s="2234">
        <v>0</v>
      </c>
      <c r="E49" s="1695" t="s">
        <v>799</v>
      </c>
      <c r="F49" s="3051" t="s">
        <v>124</v>
      </c>
      <c r="G49" s="3248"/>
      <c r="H49" s="2236" t="s">
        <v>800</v>
      </c>
      <c r="I49" s="2273"/>
      <c r="J49" s="3058">
        <v>4</v>
      </c>
      <c r="K49" s="3232" t="str">
        <f>IF(项目基本情况!E8="房地产抵押价值","房地产抵押价值","抵押担保权已注销时的房地产抵押价值")</f>
        <v>房地产抵押价值</v>
      </c>
      <c r="L49" s="3232"/>
      <c r="M49" s="3241">
        <f ca="1">IF(项目基本情况!E8="房地产抵押价值",H107,H109)</f>
        <v>111304</v>
      </c>
      <c r="N49" s="3241"/>
      <c r="O49" s="3241"/>
    </row>
    <row r="50" spans="1:35" ht="25.5" customHeight="1">
      <c r="A50" s="2237"/>
      <c r="B50" s="3242" t="s">
        <v>801</v>
      </c>
      <c r="C50" s="3242"/>
      <c r="D50" s="2238"/>
      <c r="E50" s="1710"/>
      <c r="F50" s="3051"/>
      <c r="G50" s="3249"/>
      <c r="H50" s="2239" t="s">
        <v>802</v>
      </c>
      <c r="I50" s="2273"/>
      <c r="J50" s="3228" t="s">
        <v>803</v>
      </c>
      <c r="K50" s="3228"/>
      <c r="L50" s="3228"/>
      <c r="M50" s="3228"/>
      <c r="N50" s="3228"/>
      <c r="O50" s="3228"/>
    </row>
    <row r="51" spans="1:35" ht="20.45" customHeight="1">
      <c r="A51" s="2240"/>
      <c r="B51" s="3242" t="s">
        <v>804</v>
      </c>
      <c r="C51" s="3242"/>
      <c r="D51" s="1685"/>
      <c r="E51" s="1699"/>
      <c r="F51" s="3051"/>
      <c r="G51" s="3250"/>
      <c r="H51" s="2239" t="s">
        <v>805</v>
      </c>
      <c r="I51" s="2273"/>
      <c r="J51" s="3053" t="s">
        <v>806</v>
      </c>
      <c r="K51" s="3232" t="s">
        <v>807</v>
      </c>
      <c r="L51" s="3232"/>
      <c r="M51" s="3053" t="s">
        <v>808</v>
      </c>
      <c r="N51" s="3053" t="s">
        <v>809</v>
      </c>
      <c r="O51" s="3053" t="s">
        <v>810</v>
      </c>
    </row>
    <row r="52" spans="1:35" ht="24" customHeight="1">
      <c r="A52" s="3060" t="s">
        <v>811</v>
      </c>
      <c r="B52" s="3242" t="s">
        <v>812</v>
      </c>
      <c r="C52" s="3242"/>
      <c r="D52" s="1685">
        <f ca="1">ROUND(D45*'数据-取费表'!B41/(1+'数据-取费表'!C42),0)</f>
        <v>3265</v>
      </c>
      <c r="E52" s="3055" t="s">
        <v>813</v>
      </c>
      <c r="F52" s="2242">
        <f>'数据-取费表'!B41</f>
        <v>5.5E-2</v>
      </c>
      <c r="G52" s="2243"/>
      <c r="H52" s="1799"/>
      <c r="I52" s="2274"/>
      <c r="J52" s="3058">
        <v>1</v>
      </c>
      <c r="K52" s="3244" t="s">
        <v>814</v>
      </c>
      <c r="L52" s="3244"/>
      <c r="M52" s="2275">
        <f ca="1">D48</f>
        <v>3265</v>
      </c>
      <c r="N52" s="3058" t="str">
        <f>E48</f>
        <v>销售额×税（费）率</v>
      </c>
      <c r="O52" s="2276">
        <f>F48</f>
        <v>5.5E-2</v>
      </c>
    </row>
    <row r="53" spans="1:35" ht="12" customHeight="1">
      <c r="A53" s="3060" t="s">
        <v>815</v>
      </c>
      <c r="B53" s="3245" t="s">
        <v>816</v>
      </c>
      <c r="C53" s="3246"/>
      <c r="D53" s="1685">
        <f ca="1">ROUND(D45*'数据-取费表'!B41/(1+'数据-取费表'!C42),0)</f>
        <v>3265</v>
      </c>
      <c r="E53" s="3055" t="s">
        <v>813</v>
      </c>
      <c r="F53" s="2242">
        <f>'数据-取费表'!B41</f>
        <v>5.5E-2</v>
      </c>
      <c r="G53" s="2243"/>
      <c r="H53" s="1799"/>
      <c r="I53" s="2274"/>
      <c r="J53" s="3058">
        <v>2</v>
      </c>
      <c r="K53" s="3244" t="s">
        <v>817</v>
      </c>
      <c r="L53" s="3244"/>
      <c r="M53" s="2275">
        <f t="shared" ref="M53:O54" ca="1" si="0">D55</f>
        <v>31</v>
      </c>
      <c r="N53" s="3058" t="str">
        <f t="shared" si="0"/>
        <v>销售额×税（费）率</v>
      </c>
      <c r="O53" s="2276">
        <f t="shared" si="0"/>
        <v>5.0000000000000001E-4</v>
      </c>
    </row>
    <row r="54" spans="1:35" ht="12" customHeight="1">
      <c r="A54" s="3060" t="s">
        <v>818</v>
      </c>
      <c r="B54" s="3245" t="s">
        <v>819</v>
      </c>
      <c r="C54" s="3246"/>
      <c r="D54" s="1685">
        <f ca="1">C68</f>
        <v>3265</v>
      </c>
      <c r="E54" s="1699" t="s">
        <v>820</v>
      </c>
      <c r="F54" s="2242">
        <f>'数据-取费表'!B41</f>
        <v>5.5E-2</v>
      </c>
      <c r="G54" s="2243"/>
      <c r="H54" s="2244"/>
      <c r="I54" s="2274"/>
      <c r="J54" s="3058">
        <v>3</v>
      </c>
      <c r="K54" s="3244" t="s">
        <v>821</v>
      </c>
      <c r="L54" s="3244"/>
      <c r="M54" s="2275">
        <f t="shared" ca="1" si="0"/>
        <v>0</v>
      </c>
      <c r="N54" s="3058" t="str">
        <f t="shared" si="0"/>
        <v>增值额×税（费）率</v>
      </c>
      <c r="O54" s="2277" t="str">
        <f t="shared" si="0"/>
        <v>——</v>
      </c>
    </row>
    <row r="55" spans="1:35" ht="24" customHeight="1">
      <c r="A55" s="3247" t="s">
        <v>822</v>
      </c>
      <c r="B55" s="3240"/>
      <c r="C55" s="3240"/>
      <c r="D55" s="3061">
        <f ca="1">IF(H55="个人住宅",0,ROUND(D45*I55,0))</f>
        <v>31</v>
      </c>
      <c r="E55" s="3055" t="s">
        <v>823</v>
      </c>
      <c r="F55" s="2242">
        <f>IF(H55="正常",I55,"免征")</f>
        <v>5.0000000000000001E-4</v>
      </c>
      <c r="G55" s="2243"/>
      <c r="H55" s="2233" t="s">
        <v>824</v>
      </c>
      <c r="I55" s="2278">
        <f>'数据-取费表'!B49</f>
        <v>5.0000000000000001E-4</v>
      </c>
      <c r="J55" s="3058" t="str">
        <f>IF(H59="非个人房产","",4)</f>
        <v/>
      </c>
      <c r="K55" s="3244" t="str">
        <f>IF(H59="非个人房产","——","个人所得税")</f>
        <v>——</v>
      </c>
      <c r="L55" s="3244"/>
      <c r="M55" s="2279" t="str">
        <f>D59</f>
        <v>——</v>
      </c>
      <c r="N55" s="3064" t="str">
        <f>E59</f>
        <v>——</v>
      </c>
      <c r="O55" s="2280" t="str">
        <f>F59</f>
        <v>——</v>
      </c>
    </row>
    <row r="56" spans="1:35" ht="24.75">
      <c r="A56" s="3247" t="s">
        <v>825</v>
      </c>
      <c r="B56" s="3240"/>
      <c r="C56" s="3240"/>
      <c r="D56" s="3061">
        <f ca="1">IF(H56="个人住宅",D57,D58)</f>
        <v>0</v>
      </c>
      <c r="E56" s="3055" t="s">
        <v>826</v>
      </c>
      <c r="F56" s="2242" t="str">
        <f>IF(H56="正常",F58,"免征")</f>
        <v>——</v>
      </c>
      <c r="G56" s="2245" t="s">
        <v>827</v>
      </c>
      <c r="H56" s="2246" t="s">
        <v>824</v>
      </c>
      <c r="I56" s="2255"/>
      <c r="J56" s="3058" t="str">
        <f>IF(项目基本情况!K6="上海银行",IF(J55="",4,J55+1),"")</f>
        <v/>
      </c>
      <c r="K56" s="3251" t="str">
        <f>IF(项目基本情况!K6="上海银行","其他处置费用","")</f>
        <v/>
      </c>
      <c r="L56" s="3252"/>
      <c r="M56" s="2275" t="str">
        <f>IF(项目基本情况!K6="上海银行",M69,"")</f>
        <v/>
      </c>
      <c r="N56" s="3251" t="str">
        <f>IF(项目基本情况!K6="上海银行","包含处置中涉及的律师、诉讼、拍卖、评估等费用","")</f>
        <v/>
      </c>
      <c r="O56" s="3253"/>
    </row>
    <row r="57" spans="1:35" ht="12.75">
      <c r="A57" s="3060" t="s">
        <v>797</v>
      </c>
      <c r="B57" s="3245" t="s">
        <v>828</v>
      </c>
      <c r="C57" s="3246"/>
      <c r="D57" s="2234">
        <v>0</v>
      </c>
      <c r="E57" s="1695" t="s">
        <v>799</v>
      </c>
      <c r="F57" s="1636"/>
      <c r="G57" s="2243"/>
      <c r="H57" s="2247"/>
      <c r="I57" s="2255"/>
      <c r="J57" s="3244">
        <f>IF(AND(J55="",J56=""),4,IF(项目基本情况!K6="上海银行",结果表车!J56+1,结果表车!J55+1))</f>
        <v>4</v>
      </c>
      <c r="K57" s="3244" t="s">
        <v>829</v>
      </c>
      <c r="L57" s="2281" t="s">
        <v>830</v>
      </c>
      <c r="M57" s="2282"/>
      <c r="N57" s="2283">
        <f ca="1">SUMIF(M52:M56,"&lt;9e307")</f>
        <v>3296</v>
      </c>
      <c r="O57" s="2284"/>
      <c r="P57" s="2285">
        <f ca="1">N57/M49</f>
        <v>2.9612592539351685E-2</v>
      </c>
    </row>
    <row r="58" spans="1:35" ht="24.75">
      <c r="A58" s="3060" t="s">
        <v>811</v>
      </c>
      <c r="B58" s="3245" t="s">
        <v>831</v>
      </c>
      <c r="C58" s="3242"/>
      <c r="D58" s="3061">
        <f ca="1">IF(H58="转让取得",C81,C97)</f>
        <v>0</v>
      </c>
      <c r="E58" s="3055" t="s">
        <v>826</v>
      </c>
      <c r="F58" s="1636" t="s">
        <v>124</v>
      </c>
      <c r="G58" s="2243"/>
      <c r="H58" s="2246" t="s">
        <v>832</v>
      </c>
      <c r="I58" s="2255"/>
      <c r="J58" s="3244"/>
      <c r="K58" s="3244"/>
      <c r="L58" s="2281" t="s">
        <v>833</v>
      </c>
      <c r="M58" s="2286"/>
      <c r="N58" s="2287" t="str">
        <f ca="1">NUMBERSTRING(INT(N57*10000),2)&amp;"元整"</f>
        <v>叁仟贰佰玖拾陆万元整</v>
      </c>
      <c r="O58" s="2288"/>
    </row>
    <row r="59" spans="1:35" ht="24.75" thickBot="1">
      <c r="A59" s="3254" t="s">
        <v>834</v>
      </c>
      <c r="B59" s="3255"/>
      <c r="C59" s="3255"/>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827</v>
      </c>
      <c r="H59" s="2252" t="s">
        <v>835</v>
      </c>
      <c r="I59" s="2289" t="s">
        <v>836</v>
      </c>
      <c r="J59" s="3259">
        <f>J57+1</f>
        <v>5</v>
      </c>
      <c r="K59" s="3244" t="s">
        <v>837</v>
      </c>
      <c r="L59" s="3058" t="s">
        <v>830</v>
      </c>
      <c r="M59" s="2290"/>
      <c r="N59" s="2291">
        <f ca="1">M49-N57</f>
        <v>108008</v>
      </c>
      <c r="O59" s="2292"/>
    </row>
    <row r="60" spans="1:35" ht="12" customHeight="1">
      <c r="A60" s="2253"/>
      <c r="B60" s="1778"/>
      <c r="C60" s="1778"/>
      <c r="D60" s="1778"/>
      <c r="E60" s="2254"/>
      <c r="F60" s="2255"/>
      <c r="G60" s="2255"/>
      <c r="H60" s="275"/>
      <c r="I60" s="274"/>
      <c r="J60" s="3260"/>
      <c r="K60" s="3244"/>
      <c r="L60" s="2281" t="s">
        <v>833</v>
      </c>
      <c r="M60" s="2286"/>
      <c r="N60" s="2287" t="str">
        <f ca="1">NUMBERSTRING(INT(N59*10000),2)&amp;"元整"</f>
        <v>壹拾亿捌仟零捌万元整</v>
      </c>
      <c r="O60" s="2288"/>
    </row>
    <row r="61" spans="1:35" ht="13.5" thickBot="1">
      <c r="A61" s="3256" t="s">
        <v>838</v>
      </c>
      <c r="B61" s="3256"/>
      <c r="C61" s="3256"/>
      <c r="D61" s="3256"/>
      <c r="E61" s="3256"/>
      <c r="F61" s="2255"/>
      <c r="G61" s="2255"/>
      <c r="H61" s="275"/>
      <c r="I61" s="274"/>
      <c r="J61" s="3058">
        <f>J59+1</f>
        <v>6</v>
      </c>
      <c r="K61" s="3244" t="s">
        <v>839</v>
      </c>
      <c r="L61" s="3244"/>
      <c r="M61" s="2293"/>
      <c r="N61" s="2294">
        <f ca="1">ROUND(N59*10000/'数据-汇总表'!E3,0)</f>
        <v>14937</v>
      </c>
      <c r="O61" s="2295"/>
    </row>
    <row r="62" spans="1:35" ht="12.75">
      <c r="A62" s="3257" t="s">
        <v>840</v>
      </c>
      <c r="B62" s="3258"/>
      <c r="C62" s="3063"/>
      <c r="D62" s="3063" t="s">
        <v>841</v>
      </c>
      <c r="E62" s="2256" t="s">
        <v>791</v>
      </c>
      <c r="F62" s="2255"/>
      <c r="G62" s="2255"/>
      <c r="H62" s="275"/>
      <c r="I62" s="274"/>
    </row>
    <row r="63" spans="1:35" ht="12.75">
      <c r="A63" s="2257" t="s">
        <v>842</v>
      </c>
      <c r="B63" s="2258" t="s">
        <v>843</v>
      </c>
      <c r="C63" s="2259">
        <f ca="1">ROUND((C64+C65)/(1+'数据-取费表'!C42),0)</f>
        <v>59362</v>
      </c>
      <c r="D63" s="2258"/>
      <c r="E63" s="2260"/>
      <c r="F63" s="2255"/>
      <c r="G63" s="2255"/>
      <c r="H63" s="275"/>
      <c r="I63" s="274"/>
      <c r="J63" s="3243" t="s">
        <v>844</v>
      </c>
      <c r="K63" s="3057" t="s">
        <v>845</v>
      </c>
      <c r="L63" s="3057">
        <f ca="1">IF(M49&gt;10000,M49*0.5%,IF(AND(M49&gt;1000,M49&lt;=10000),M49*1%,IF(AND(M49&gt;100,M49&lt;=1000),M49*3%,IF(AND(M49&gt;10,M49&lt;=100),M49*5%,M49*8%))))</f>
        <v>556.52</v>
      </c>
      <c r="M63" s="1636">
        <f ca="1">ROUND(L63,1)</f>
        <v>556.5</v>
      </c>
      <c r="N63" s="2297"/>
      <c r="Z63" s="2130"/>
      <c r="AI63" s="2131"/>
    </row>
    <row r="64" spans="1:35" ht="14.25" customHeight="1">
      <c r="A64" s="2261" t="s">
        <v>846</v>
      </c>
      <c r="B64" s="560" t="s">
        <v>847</v>
      </c>
      <c r="C64" s="2262">
        <f ca="1">D45</f>
        <v>62330</v>
      </c>
      <c r="D64" s="560" t="s">
        <v>124</v>
      </c>
      <c r="E64" s="2263"/>
      <c r="F64" s="2255"/>
      <c r="G64" s="2255"/>
      <c r="H64" s="275"/>
      <c r="I64" s="274"/>
      <c r="J64" s="3243"/>
      <c r="K64" s="3057" t="s">
        <v>848</v>
      </c>
      <c r="L64" s="3057">
        <f ca="1">IF(M49&gt;2000,M49*0.5%,IF(AND(M49&gt;1000,M49&lt;=2000),M49*0.6%,IF(AND(M49&gt;500,M49&lt;=1000),M49*0.7%,IF(AND(M49&gt;200,M49&lt;=500),M49*0.8%,IF(AND(M49&gt;100,M49&lt;=200),M49*0.9%,IF(AND(M49&gt;50,M49&lt;=100),M49*1%,IF(AND(M49&gt;20,M49&lt;=50),M49*1.5%,IF(AND(M49&gt;10,M49&lt;=20),M49*2%,IF(AND(M49&gt;1,M49&lt;=10),M49*2.5%)))))))))</f>
        <v>556.52</v>
      </c>
      <c r="M64" s="1636">
        <f t="shared" ref="M64:M65" ca="1" si="1">ROUND(L64,1)</f>
        <v>556.5</v>
      </c>
      <c r="N64" s="1799" t="s">
        <v>849</v>
      </c>
      <c r="Z64" s="2130"/>
      <c r="AI64" s="2131"/>
    </row>
    <row r="65" spans="1:35" ht="14.25" customHeight="1">
      <c r="A65" s="2261" t="s">
        <v>850</v>
      </c>
      <c r="B65" s="560" t="s">
        <v>851</v>
      </c>
      <c r="C65" s="2299"/>
      <c r="D65" s="560"/>
      <c r="E65" s="2263"/>
      <c r="F65" s="2255"/>
      <c r="G65" s="2255"/>
      <c r="H65" s="275"/>
      <c r="I65" s="274"/>
      <c r="J65" s="3243"/>
      <c r="K65" s="3057" t="s">
        <v>852</v>
      </c>
      <c r="L65" s="3057">
        <f ca="1">IF(M49&gt;1000,M49*0.1%,IF(AND(M49&gt;500,M49&lt;=1000),M49*0.5%,IF(AND(M49&gt;50,M49&lt;=500),M49*1%,IF(AND(M49&gt;1,M49&lt;=50),M49*1.5%))))</f>
        <v>111.304</v>
      </c>
      <c r="M65" s="1636">
        <f t="shared" ca="1" si="1"/>
        <v>111.3</v>
      </c>
      <c r="N65" s="1799" t="s">
        <v>849</v>
      </c>
      <c r="Z65" s="2130"/>
      <c r="AI65" s="2131"/>
    </row>
    <row r="66" spans="1:35" ht="14.25" customHeight="1">
      <c r="A66" s="2257" t="s">
        <v>853</v>
      </c>
      <c r="B66" s="2300" t="s">
        <v>854</v>
      </c>
      <c r="C66" s="2301"/>
      <c r="D66" s="2300" t="s">
        <v>124</v>
      </c>
      <c r="E66" s="2302" t="s">
        <v>855</v>
      </c>
      <c r="F66" s="2255"/>
      <c r="G66" s="2255"/>
      <c r="H66" s="275"/>
      <c r="I66" s="274"/>
      <c r="J66" s="3243"/>
      <c r="K66" s="3057" t="s">
        <v>856</v>
      </c>
      <c r="L66" s="3057">
        <f ca="1">M49*0.5%</f>
        <v>556.52</v>
      </c>
      <c r="M66" s="1636">
        <f ca="1">IF(L66&gt;0.5,0.5,ROUND(L66,0))</f>
        <v>0.5</v>
      </c>
      <c r="N66" s="1799" t="s">
        <v>857</v>
      </c>
      <c r="Z66" s="2130"/>
      <c r="AI66" s="2131"/>
    </row>
    <row r="67" spans="1:35" ht="14.25" customHeight="1">
      <c r="A67" s="2257" t="s">
        <v>858</v>
      </c>
      <c r="B67" s="2300" t="s">
        <v>859</v>
      </c>
      <c r="C67" s="2303">
        <f ca="1">C63-C66</f>
        <v>59362</v>
      </c>
      <c r="D67" s="560" t="s">
        <v>124</v>
      </c>
      <c r="E67" s="2263"/>
      <c r="F67" s="2255"/>
      <c r="G67" s="2255"/>
      <c r="H67" s="275"/>
      <c r="I67" s="274"/>
      <c r="J67" s="3243"/>
      <c r="K67" s="3057" t="s">
        <v>860</v>
      </c>
      <c r="L67" s="3057">
        <f ca="1">IF(M49&gt;=10000,(8.25+(M49-10000)*0.01%),IF(AND(M49&gt;=8000,M49&lt;10000),(7.85+(M49-8000)*0.02%),IF(AND(M49&gt;=5000,M49&lt;8000),(6.65+(M49-5000)*0.04%),IF(AND(M49&gt;=2000,M49&lt;5000),(4.25+(PM49-2000)*0.08%),IF(AND(M49&gt;=1000,M49&lt;2000),(2.75+(M49-1000)*0.15%),IF(AND(M49&gt;=100,M49&lt;1000),(0.5+(M49-100)*0.25%),IF(AND(M49&gt;0,M49&lt;100),M49*0.5%)))))))</f>
        <v>18.380400000000002</v>
      </c>
      <c r="M67" s="1636">
        <f ca="1">ROUND(L67*0.9,1)</f>
        <v>16.5</v>
      </c>
      <c r="N67" s="2297"/>
      <c r="Z67" s="2130"/>
      <c r="AI67" s="2131"/>
    </row>
    <row r="68" spans="1:35" ht="14.25" customHeight="1" thickBot="1">
      <c r="A68" s="2304" t="s">
        <v>861</v>
      </c>
      <c r="B68" s="2305" t="s">
        <v>862</v>
      </c>
      <c r="C68" s="2306">
        <f ca="1">IF(C67&lt;=0,0,ROUND(C67*D68,0))</f>
        <v>3265</v>
      </c>
      <c r="D68" s="2307">
        <f>'数据-取费表'!B41</f>
        <v>5.5E-2</v>
      </c>
      <c r="E68" s="2308"/>
      <c r="F68" s="2255"/>
      <c r="G68" s="2255"/>
      <c r="H68" s="275"/>
      <c r="I68" s="274"/>
      <c r="J68" s="3243"/>
      <c r="K68" s="3057" t="s">
        <v>863</v>
      </c>
      <c r="L68" s="3057">
        <f ca="1">IF(M49&gt;10000,M49*0.5%,IF(AND(M49&gt;5000,M49&lt;=10000),M49*1%,IF(AND(M49&gt;1000,M49&lt;=5000),M49*2%,IF(AND(M49&gt;200,M49&lt;=1000),M49*3%,M49*5%))))</f>
        <v>556.52</v>
      </c>
      <c r="M68" s="1636">
        <f ca="1">ROUND(L68,1)</f>
        <v>556.5</v>
      </c>
      <c r="N68" s="2297"/>
      <c r="Z68" s="2130"/>
      <c r="AI68" s="2131"/>
    </row>
    <row r="69" spans="1:35" ht="16.5" customHeight="1">
      <c r="A69" s="2309"/>
      <c r="B69" s="2310"/>
      <c r="C69" s="2311"/>
      <c r="D69" s="711"/>
      <c r="E69" s="2312"/>
      <c r="F69" s="2254"/>
      <c r="G69" s="2254"/>
      <c r="H69" s="2215"/>
      <c r="I69" s="1778"/>
      <c r="J69" s="3243"/>
      <c r="K69" s="3057" t="s">
        <v>864</v>
      </c>
      <c r="L69" s="3057"/>
      <c r="M69" s="1636">
        <f ca="1">ROUND(SUM(M63:M68),0)</f>
        <v>1798</v>
      </c>
      <c r="N69" s="2374">
        <f ca="1">M69/M49</f>
        <v>1.6153956731114784E-2</v>
      </c>
      <c r="Z69" s="2130"/>
      <c r="AI69" s="2131"/>
    </row>
    <row r="70" spans="1:35" s="463" customFormat="1" ht="15" thickBot="1">
      <c r="A70" s="3284" t="s">
        <v>865</v>
      </c>
      <c r="B70" s="3285"/>
      <c r="C70" s="3285"/>
      <c r="D70" s="3285"/>
      <c r="E70" s="3285"/>
      <c r="F70" s="3285"/>
      <c r="G70" s="3285"/>
      <c r="H70" s="3285"/>
      <c r="I70" s="2375"/>
      <c r="J70" s="1362"/>
      <c r="K70" s="1362"/>
      <c r="L70" s="1362"/>
      <c r="M70" s="1362"/>
      <c r="N70" s="2376"/>
      <c r="O70" s="2376"/>
      <c r="P70" s="2376"/>
      <c r="Q70" s="2376"/>
      <c r="R70" s="2376"/>
      <c r="S70" s="2376"/>
      <c r="T70" s="2376"/>
      <c r="U70" s="2376"/>
      <c r="V70" s="2376"/>
      <c r="W70" s="2376"/>
      <c r="X70" s="2376"/>
      <c r="Y70" s="2376"/>
      <c r="Z70" s="2376"/>
      <c r="AA70" s="2383"/>
      <c r="AB70" s="2383"/>
      <c r="AC70" s="2383"/>
      <c r="AD70" s="2383"/>
      <c r="AE70" s="2383"/>
      <c r="AF70" s="2383"/>
      <c r="AG70" s="2383"/>
      <c r="AH70" s="2383"/>
      <c r="AI70" s="2383"/>
    </row>
    <row r="71" spans="1:35" s="463" customFormat="1" ht="14.25">
      <c r="A71" s="3257" t="s">
        <v>840</v>
      </c>
      <c r="B71" s="3258"/>
      <c r="C71" s="3063"/>
      <c r="D71" s="3063" t="s">
        <v>841</v>
      </c>
      <c r="E71" s="2313" t="s">
        <v>791</v>
      </c>
      <c r="F71" s="2314"/>
      <c r="G71" s="2314"/>
      <c r="H71" s="2315"/>
      <c r="I71" s="2377"/>
      <c r="J71" s="1362"/>
      <c r="K71" s="1362"/>
      <c r="L71" s="1362"/>
      <c r="M71" s="1362"/>
      <c r="N71" s="2376"/>
      <c r="O71" s="2376"/>
      <c r="P71" s="2376"/>
      <c r="Q71" s="2376"/>
      <c r="R71" s="2376"/>
      <c r="S71" s="2376"/>
      <c r="T71" s="2376"/>
      <c r="U71" s="2376"/>
      <c r="V71" s="2376"/>
      <c r="W71" s="2376"/>
      <c r="X71" s="2376"/>
      <c r="Y71" s="2376"/>
      <c r="Z71" s="2376"/>
      <c r="AA71" s="2383"/>
      <c r="AB71" s="2383"/>
      <c r="AC71" s="2383"/>
      <c r="AD71" s="2383"/>
      <c r="AE71" s="2383"/>
      <c r="AF71" s="2383"/>
      <c r="AG71" s="2383"/>
      <c r="AH71" s="2383"/>
      <c r="AI71" s="2383"/>
    </row>
    <row r="72" spans="1:35" s="463" customFormat="1" ht="14.25">
      <c r="A72" s="2257" t="s">
        <v>842</v>
      </c>
      <c r="B72" s="2300" t="s">
        <v>866</v>
      </c>
      <c r="C72" s="2303">
        <f ca="1">ROUND(D45/(1+'数据-取费表'!C42),0)</f>
        <v>59362</v>
      </c>
      <c r="D72" s="560" t="s">
        <v>124</v>
      </c>
      <c r="E72" s="3059"/>
      <c r="F72" s="3056"/>
      <c r="G72" s="3056"/>
      <c r="H72" s="2316"/>
      <c r="I72" s="2377"/>
      <c r="J72" s="1362"/>
      <c r="K72" s="1362"/>
      <c r="L72" s="1362"/>
      <c r="M72" s="1362"/>
      <c r="N72" s="2376"/>
      <c r="O72" s="2376"/>
      <c r="P72" s="2376"/>
      <c r="Q72" s="2376"/>
      <c r="R72" s="2376"/>
      <c r="S72" s="2376"/>
      <c r="T72" s="2376"/>
      <c r="U72" s="2376"/>
      <c r="V72" s="2376"/>
      <c r="W72" s="2376"/>
      <c r="X72" s="2376"/>
      <c r="Y72" s="2376"/>
      <c r="Z72" s="2376"/>
      <c r="AA72" s="2383"/>
      <c r="AB72" s="2383"/>
      <c r="AC72" s="2383"/>
      <c r="AD72" s="2383"/>
      <c r="AE72" s="2383"/>
      <c r="AF72" s="2383"/>
      <c r="AG72" s="2383"/>
      <c r="AH72" s="2383"/>
      <c r="AI72" s="2383"/>
    </row>
    <row r="73" spans="1:35" s="463" customFormat="1" ht="14.25">
      <c r="A73" s="2257" t="s">
        <v>853</v>
      </c>
      <c r="B73" s="2227" t="s">
        <v>867</v>
      </c>
      <c r="C73" s="2303">
        <f ca="1">C74+C78</f>
        <v>297</v>
      </c>
      <c r="D73" s="560" t="s">
        <v>124</v>
      </c>
      <c r="E73" s="3059"/>
      <c r="F73" s="3056"/>
      <c r="G73" s="3056"/>
      <c r="H73" s="2316"/>
      <c r="I73" s="2377"/>
      <c r="J73" s="2376"/>
      <c r="K73" s="2376"/>
      <c r="L73" s="2376"/>
      <c r="M73" s="2376"/>
      <c r="N73" s="2376"/>
      <c r="O73" s="2376"/>
      <c r="P73" s="2376"/>
      <c r="Q73" s="2376"/>
      <c r="R73" s="2376"/>
      <c r="S73" s="2376"/>
      <c r="T73" s="2376"/>
      <c r="U73" s="2376"/>
      <c r="V73" s="2376"/>
      <c r="W73" s="2376"/>
      <c r="X73" s="2376"/>
      <c r="Y73" s="2376"/>
      <c r="Z73" s="2376"/>
      <c r="AA73" s="2383"/>
      <c r="AB73" s="2383"/>
      <c r="AC73" s="2383"/>
      <c r="AD73" s="2383"/>
      <c r="AE73" s="2383"/>
      <c r="AF73" s="2383"/>
      <c r="AG73" s="2383"/>
      <c r="AH73" s="2383"/>
      <c r="AI73" s="2383"/>
    </row>
    <row r="74" spans="1:35" s="463" customFormat="1" ht="24">
      <c r="A74" s="2261" t="s">
        <v>846</v>
      </c>
      <c r="B74" s="560" t="s">
        <v>868</v>
      </c>
      <c r="C74" s="560">
        <f>ROUND(IF(G77="2016年5月1日后购买",C75/(1+'数据-取费表'!C42)+C76+C77,C75+C76+C77),0)</f>
        <v>0</v>
      </c>
      <c r="D74" s="560" t="s">
        <v>124</v>
      </c>
      <c r="E74" s="3059"/>
      <c r="F74" s="3056"/>
      <c r="G74" s="3056"/>
      <c r="H74" s="2316"/>
      <c r="I74" s="2377"/>
      <c r="J74" s="2376"/>
      <c r="K74" s="2376"/>
      <c r="L74" s="2376"/>
      <c r="M74" s="2376"/>
      <c r="N74" s="2376"/>
      <c r="O74" s="2376"/>
      <c r="P74" s="2376"/>
      <c r="Q74" s="2376"/>
      <c r="R74" s="2376"/>
      <c r="S74" s="2376"/>
      <c r="T74" s="2376"/>
      <c r="U74" s="2376"/>
      <c r="V74" s="2376"/>
      <c r="W74" s="2376"/>
      <c r="X74" s="2376"/>
      <c r="Y74" s="2376"/>
      <c r="Z74" s="2376"/>
      <c r="AA74" s="2383"/>
      <c r="AB74" s="2383"/>
      <c r="AC74" s="2383"/>
      <c r="AD74" s="2383"/>
      <c r="AE74" s="2383"/>
      <c r="AF74" s="2383"/>
      <c r="AG74" s="2383"/>
      <c r="AH74" s="2383"/>
      <c r="AI74" s="2383"/>
    </row>
    <row r="75" spans="1:35" s="463" customFormat="1" ht="14.25">
      <c r="A75" s="2261" t="s">
        <v>869</v>
      </c>
      <c r="B75" s="560" t="s">
        <v>870</v>
      </c>
      <c r="C75" s="2317"/>
      <c r="D75" s="560" t="s">
        <v>124</v>
      </c>
      <c r="E75" s="2318" t="s">
        <v>871</v>
      </c>
      <c r="F75" s="2319"/>
      <c r="G75" s="2318" t="s">
        <v>872</v>
      </c>
      <c r="H75" s="2320"/>
      <c r="I75" s="794"/>
      <c r="J75" s="2376"/>
      <c r="K75" s="2376"/>
      <c r="L75" s="2376"/>
      <c r="M75" s="2376"/>
      <c r="N75" s="2376"/>
      <c r="O75" s="2376"/>
      <c r="P75" s="2376"/>
      <c r="Q75" s="2376"/>
      <c r="R75" s="2376"/>
      <c r="S75" s="2376"/>
      <c r="T75" s="2376"/>
      <c r="U75" s="2376"/>
      <c r="V75" s="2376"/>
      <c r="W75" s="2376"/>
      <c r="X75" s="2376"/>
      <c r="Y75" s="2376"/>
      <c r="Z75" s="2376"/>
      <c r="AA75" s="2383"/>
      <c r="AB75" s="2383"/>
      <c r="AC75" s="2383"/>
      <c r="AD75" s="2383"/>
      <c r="AE75" s="2383"/>
      <c r="AF75" s="2383"/>
      <c r="AG75" s="2383"/>
      <c r="AH75" s="2383"/>
      <c r="AI75" s="2383"/>
    </row>
    <row r="76" spans="1:35" s="463" customFormat="1" ht="24.75" customHeight="1">
      <c r="A76" s="2261" t="s">
        <v>873</v>
      </c>
      <c r="B76" s="2321" t="s">
        <v>874</v>
      </c>
      <c r="C76" s="560">
        <f>IF(F75="购房发票",ROUND(C75*H75*D76,0),0)</f>
        <v>0</v>
      </c>
      <c r="D76" s="2322">
        <v>0.05</v>
      </c>
      <c r="E76" s="3245" t="s">
        <v>875</v>
      </c>
      <c r="F76" s="3242"/>
      <c r="G76" s="3242"/>
      <c r="H76" s="3286"/>
      <c r="I76" s="2377"/>
      <c r="J76" s="2376"/>
      <c r="K76" s="2376">
        <f>'数据-汇总表'!F19+'数据-汇总表'!F20</f>
        <v>58697.66</v>
      </c>
      <c r="L76" s="2378" t="s">
        <v>876</v>
      </c>
      <c r="M76" s="2376">
        <v>15056</v>
      </c>
      <c r="N76" s="2376"/>
      <c r="O76" s="2376"/>
      <c r="P76" s="2376"/>
      <c r="Q76" s="2376"/>
      <c r="R76" s="2376"/>
      <c r="S76" s="2376"/>
      <c r="T76" s="2376"/>
      <c r="U76" s="2376"/>
      <c r="V76" s="2376"/>
      <c r="W76" s="2376"/>
      <c r="X76" s="2376"/>
      <c r="Y76" s="2376"/>
      <c r="Z76" s="2376"/>
      <c r="AA76" s="2383"/>
      <c r="AB76" s="2383"/>
      <c r="AC76" s="2383"/>
      <c r="AD76" s="2383"/>
      <c r="AE76" s="2383"/>
      <c r="AF76" s="2383"/>
      <c r="AG76" s="2383"/>
      <c r="AH76" s="2383"/>
      <c r="AI76" s="2383"/>
    </row>
    <row r="77" spans="1:35" s="463" customFormat="1" ht="24.75" customHeight="1">
      <c r="A77" s="2261" t="s">
        <v>877</v>
      </c>
      <c r="B77" s="560" t="s">
        <v>878</v>
      </c>
      <c r="C77" s="560">
        <f>ROUND(IF(G77="个人住宅",0,IF(G77="2016年5月1日前购买",C75*D77,C75*D77/(1+'数据-取费表'!C42))),0)</f>
        <v>0</v>
      </c>
      <c r="D77" s="2324">
        <f>'数据-取费表'!B48+'数据-取费表'!B49</f>
        <v>3.0499999999999999E-2</v>
      </c>
      <c r="E77" s="3061" t="s">
        <v>879</v>
      </c>
      <c r="F77" s="2325"/>
      <c r="G77" s="2326"/>
      <c r="H77" s="3066" t="str">
        <f>IF(G77="个人买卖住房","免征印花税"," ")</f>
        <v xml:space="preserve"> </v>
      </c>
      <c r="I77" s="2377"/>
      <c r="J77" s="2376"/>
      <c r="K77" s="2376">
        <f>'数据-汇总表'!G21</f>
        <v>0</v>
      </c>
      <c r="L77" s="2378" t="s">
        <v>880</v>
      </c>
      <c r="M77" s="2376">
        <f>M76*0.2*0.25</f>
        <v>752.80000000000007</v>
      </c>
      <c r="N77" s="2378" t="s">
        <v>464</v>
      </c>
      <c r="O77" s="2376"/>
      <c r="P77" s="2376"/>
      <c r="Q77" s="2376"/>
      <c r="R77" s="2376"/>
      <c r="S77" s="2376"/>
      <c r="T77" s="2376"/>
      <c r="U77" s="2376"/>
      <c r="V77" s="2376"/>
      <c r="W77" s="2376"/>
      <c r="X77" s="2376"/>
      <c r="Y77" s="2376"/>
      <c r="Z77" s="2376"/>
      <c r="AA77" s="2383"/>
      <c r="AB77" s="2383"/>
      <c r="AC77" s="2383"/>
      <c r="AD77" s="2383"/>
      <c r="AE77" s="2383"/>
      <c r="AF77" s="2383"/>
      <c r="AG77" s="2383"/>
      <c r="AH77" s="2383"/>
      <c r="AI77" s="2383"/>
    </row>
    <row r="78" spans="1:35" s="463" customFormat="1" ht="24.75" customHeight="1">
      <c r="A78" s="2261" t="s">
        <v>850</v>
      </c>
      <c r="B78" s="560" t="s">
        <v>881</v>
      </c>
      <c r="C78" s="2327">
        <f ca="1">ROUND(D45*D78/(1+'数据-取费表'!C42),0)</f>
        <v>297</v>
      </c>
      <c r="D78" s="2328">
        <f>'数据-取费表'!B43</f>
        <v>5.0000000000000001E-3</v>
      </c>
      <c r="E78" s="3287" t="s">
        <v>882</v>
      </c>
      <c r="F78" s="3288"/>
      <c r="G78" s="3288"/>
      <c r="H78" s="3289"/>
      <c r="I78" s="2379"/>
      <c r="J78" s="2376"/>
      <c r="K78" s="2376">
        <f>'数据-汇总表'!G22</f>
        <v>13611.27</v>
      </c>
      <c r="L78" s="2376"/>
      <c r="M78" s="2376">
        <f>M76*0.15*0.25</f>
        <v>564.6</v>
      </c>
      <c r="N78" s="2378" t="s">
        <v>465</v>
      </c>
      <c r="O78" s="2376"/>
      <c r="P78" s="2376"/>
      <c r="Q78" s="2376"/>
      <c r="R78" s="2376"/>
      <c r="S78" s="2376"/>
      <c r="T78" s="2376"/>
      <c r="U78" s="2376"/>
      <c r="V78" s="2376"/>
      <c r="W78" s="2376"/>
      <c r="X78" s="2376"/>
      <c r="Y78" s="2376"/>
      <c r="Z78" s="2376"/>
      <c r="AA78" s="2383"/>
      <c r="AB78" s="2383"/>
      <c r="AC78" s="2383"/>
      <c r="AD78" s="2383"/>
      <c r="AE78" s="2383"/>
      <c r="AF78" s="2383"/>
      <c r="AG78" s="2383"/>
      <c r="AH78" s="2383"/>
      <c r="AI78" s="2383"/>
    </row>
    <row r="79" spans="1:35" s="463" customFormat="1" ht="14.25">
      <c r="A79" s="2257" t="s">
        <v>858</v>
      </c>
      <c r="B79" s="2300" t="s">
        <v>883</v>
      </c>
      <c r="C79" s="2303">
        <f ca="1">C72-C73</f>
        <v>59065</v>
      </c>
      <c r="D79" s="560" t="s">
        <v>124</v>
      </c>
      <c r="E79" s="3059"/>
      <c r="F79" s="3056"/>
      <c r="G79" s="3056"/>
      <c r="H79" s="2316"/>
      <c r="I79" s="2377"/>
      <c r="J79" s="2376"/>
      <c r="K79" s="2376"/>
      <c r="L79" s="2376"/>
      <c r="M79" s="2376"/>
      <c r="N79" s="2376"/>
      <c r="O79" s="2376"/>
      <c r="P79" s="2376"/>
      <c r="Q79" s="2376"/>
      <c r="R79" s="2376"/>
      <c r="S79" s="2376"/>
      <c r="T79" s="2376"/>
      <c r="U79" s="2376"/>
      <c r="V79" s="2376"/>
      <c r="W79" s="2376"/>
      <c r="X79" s="2376"/>
      <c r="Y79" s="2376"/>
      <c r="Z79" s="2376"/>
      <c r="AA79" s="2383"/>
      <c r="AB79" s="2383"/>
      <c r="AC79" s="2383"/>
      <c r="AD79" s="2383"/>
      <c r="AE79" s="2383"/>
      <c r="AF79" s="2383"/>
      <c r="AG79" s="2383"/>
      <c r="AH79" s="2383"/>
      <c r="AI79" s="2383"/>
    </row>
    <row r="80" spans="1:35" s="463" customFormat="1" ht="24">
      <c r="A80" s="2257" t="s">
        <v>861</v>
      </c>
      <c r="B80" s="2300" t="s">
        <v>884</v>
      </c>
      <c r="C80" s="2332">
        <f ca="1">IF(C79&lt;=0,0,C79/C73)</f>
        <v>198.87205387205387</v>
      </c>
      <c r="D80" s="560"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6"/>
      <c r="I80" s="2377"/>
      <c r="J80" s="2376"/>
      <c r="K80" s="2376"/>
      <c r="L80" s="2376"/>
      <c r="M80" s="2376"/>
      <c r="N80" s="2376"/>
      <c r="O80" s="2376"/>
      <c r="P80" s="2376"/>
      <c r="Q80" s="2376"/>
      <c r="R80" s="2376"/>
      <c r="S80" s="2376"/>
      <c r="T80" s="2376"/>
      <c r="U80" s="2376"/>
      <c r="V80" s="2376"/>
      <c r="W80" s="2376"/>
      <c r="X80" s="2376"/>
      <c r="Y80" s="2376"/>
      <c r="Z80" s="2376"/>
      <c r="AA80" s="2383"/>
      <c r="AB80" s="2383"/>
      <c r="AC80" s="2383"/>
      <c r="AD80" s="2383"/>
      <c r="AE80" s="2383"/>
      <c r="AF80" s="2383"/>
      <c r="AG80" s="2383"/>
      <c r="AH80" s="2383"/>
      <c r="AI80" s="2383"/>
    </row>
    <row r="81" spans="1:35" s="463" customFormat="1" ht="24.75" thickBot="1">
      <c r="A81" s="2304" t="s">
        <v>885</v>
      </c>
      <c r="B81" s="2305" t="s">
        <v>886</v>
      </c>
      <c r="C81" s="2333">
        <f ca="1">ROUND(IF(C79&lt;=0,0,IF(C80&gt;=200%,C79*60%-C73*35%,IF(C80&gt;=100%,C79*50%-C73*15%,IF(C80&gt;=50%,C79*40%-C73*5%,IF(C80&lt;50%,C79*30%,0))))),0)</f>
        <v>35335</v>
      </c>
      <c r="D81" s="2334" t="s">
        <v>124</v>
      </c>
      <c r="E81" s="23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6"/>
      <c r="G81" s="2336"/>
      <c r="H81" s="2337"/>
      <c r="I81" s="2377"/>
      <c r="J81" s="2376"/>
      <c r="K81" s="2376"/>
      <c r="L81" s="2376"/>
      <c r="M81" s="2376"/>
      <c r="N81" s="2376"/>
      <c r="O81" s="2376"/>
      <c r="P81" s="2376"/>
      <c r="Q81" s="2376"/>
      <c r="R81" s="2376"/>
      <c r="S81" s="2376"/>
      <c r="T81" s="2376"/>
      <c r="U81" s="2376"/>
      <c r="V81" s="2376"/>
      <c r="W81" s="2376"/>
      <c r="X81" s="2376"/>
      <c r="Y81" s="2376"/>
      <c r="Z81" s="2376"/>
      <c r="AA81" s="2383"/>
      <c r="AB81" s="2383"/>
      <c r="AC81" s="2383"/>
      <c r="AD81" s="2383"/>
      <c r="AE81" s="2383"/>
      <c r="AF81" s="2383"/>
      <c r="AG81" s="2383"/>
      <c r="AH81" s="2383"/>
      <c r="AI81" s="2383"/>
    </row>
    <row r="82" spans="1:35" s="463" customFormat="1" ht="7.5" customHeight="1">
      <c r="A82" s="465"/>
      <c r="B82" s="2338"/>
      <c r="C82" s="465"/>
      <c r="D82" s="465"/>
      <c r="E82" s="2338"/>
      <c r="F82" s="2338"/>
      <c r="G82" s="2338"/>
      <c r="H82" s="2339"/>
      <c r="I82" s="2379"/>
      <c r="J82" s="2376"/>
      <c r="K82" s="2376"/>
      <c r="L82" s="2376"/>
      <c r="M82" s="2376"/>
      <c r="N82" s="2376"/>
      <c r="O82" s="2376"/>
      <c r="P82" s="2376"/>
      <c r="Q82" s="2376"/>
      <c r="R82" s="2376"/>
      <c r="S82" s="2376"/>
      <c r="T82" s="2376"/>
      <c r="U82" s="2376"/>
      <c r="V82" s="2376"/>
      <c r="W82" s="2376"/>
      <c r="X82" s="2376"/>
      <c r="Y82" s="2376"/>
      <c r="Z82" s="2376"/>
      <c r="AA82" s="2383"/>
      <c r="AB82" s="2383"/>
      <c r="AC82" s="2383"/>
      <c r="AD82" s="2383"/>
      <c r="AE82" s="2383"/>
      <c r="AF82" s="2383"/>
      <c r="AG82" s="2383"/>
      <c r="AH82" s="2383"/>
      <c r="AI82" s="2383"/>
    </row>
    <row r="83" spans="1:35" s="463" customFormat="1" ht="15" thickBot="1">
      <c r="A83" s="3284" t="s">
        <v>887</v>
      </c>
      <c r="B83" s="3285"/>
      <c r="C83" s="3285"/>
      <c r="D83" s="3285"/>
      <c r="E83" s="3285"/>
      <c r="F83" s="3285"/>
      <c r="G83" s="3285"/>
      <c r="H83" s="3285"/>
      <c r="I83" s="794"/>
      <c r="J83" s="2376"/>
      <c r="K83" s="2376"/>
      <c r="L83" s="2376"/>
      <c r="M83" s="2376"/>
      <c r="N83" s="2376"/>
      <c r="O83" s="2376"/>
      <c r="P83" s="2376"/>
      <c r="Q83" s="2376"/>
      <c r="R83" s="2376"/>
      <c r="S83" s="2376"/>
      <c r="T83" s="2376"/>
      <c r="U83" s="2376"/>
      <c r="V83" s="2376"/>
      <c r="W83" s="2376"/>
      <c r="X83" s="2376"/>
      <c r="Y83" s="2376"/>
      <c r="Z83" s="2376"/>
      <c r="AA83" s="2383"/>
      <c r="AB83" s="2383"/>
      <c r="AC83" s="2383"/>
      <c r="AD83" s="2383"/>
      <c r="AE83" s="2383"/>
      <c r="AF83" s="2383"/>
      <c r="AG83" s="2383"/>
      <c r="AH83" s="2383"/>
      <c r="AI83" s="2383"/>
    </row>
    <row r="84" spans="1:35" s="463" customFormat="1" ht="14.25">
      <c r="A84" s="3257" t="s">
        <v>840</v>
      </c>
      <c r="B84" s="3258"/>
      <c r="C84" s="3063"/>
      <c r="D84" s="3063" t="s">
        <v>841</v>
      </c>
      <c r="E84" s="2313" t="s">
        <v>791</v>
      </c>
      <c r="F84" s="2314"/>
      <c r="G84" s="2314"/>
      <c r="H84" s="2340"/>
      <c r="I84" s="794"/>
      <c r="J84" s="2376"/>
      <c r="K84" s="2376"/>
      <c r="L84" s="2376"/>
      <c r="M84" s="2376"/>
      <c r="N84" s="2376"/>
      <c r="O84" s="2376"/>
      <c r="P84" s="2376"/>
      <c r="Q84" s="2376"/>
      <c r="R84" s="2376"/>
      <c r="S84" s="2376"/>
      <c r="T84" s="2376"/>
      <c r="U84" s="2376"/>
      <c r="V84" s="2376"/>
      <c r="W84" s="2376"/>
      <c r="X84" s="2376"/>
      <c r="Y84" s="2376"/>
      <c r="Z84" s="2376"/>
      <c r="AA84" s="2383"/>
      <c r="AB84" s="2383"/>
      <c r="AC84" s="2383"/>
      <c r="AD84" s="2383"/>
      <c r="AE84" s="2383"/>
      <c r="AF84" s="2383"/>
      <c r="AG84" s="2383"/>
      <c r="AH84" s="2383"/>
      <c r="AI84" s="2383"/>
    </row>
    <row r="85" spans="1:35" s="463" customFormat="1" ht="14.25">
      <c r="A85" s="2257" t="s">
        <v>842</v>
      </c>
      <c r="B85" s="2300" t="s">
        <v>866</v>
      </c>
      <c r="C85" s="2303">
        <f ca="1">ROUND(D45/(1+'数据-取费表'!C42),0)</f>
        <v>59362</v>
      </c>
      <c r="D85" s="560" t="s">
        <v>124</v>
      </c>
      <c r="E85" s="3059"/>
      <c r="F85" s="3056"/>
      <c r="G85" s="3056"/>
      <c r="H85" s="2341"/>
      <c r="I85" s="794"/>
      <c r="J85" s="2376"/>
      <c r="K85" s="2376"/>
      <c r="L85" s="2376"/>
      <c r="M85" s="2376"/>
      <c r="N85" s="2376"/>
      <c r="O85" s="2376"/>
      <c r="P85" s="2376"/>
      <c r="Q85" s="2376"/>
      <c r="R85" s="2376"/>
      <c r="S85" s="2376"/>
      <c r="T85" s="2376"/>
      <c r="U85" s="2376"/>
      <c r="V85" s="2376"/>
      <c r="W85" s="2376"/>
      <c r="X85" s="2376"/>
      <c r="Y85" s="2376"/>
      <c r="Z85" s="2376"/>
      <c r="AA85" s="2383"/>
      <c r="AB85" s="2383"/>
      <c r="AC85" s="2383"/>
      <c r="AD85" s="2383"/>
      <c r="AE85" s="2383"/>
      <c r="AF85" s="2383"/>
      <c r="AG85" s="2383"/>
      <c r="AH85" s="2383"/>
      <c r="AI85" s="2383"/>
    </row>
    <row r="86" spans="1:35" s="463" customFormat="1" ht="14.25">
      <c r="A86" s="2257" t="s">
        <v>853</v>
      </c>
      <c r="B86" s="2227" t="s">
        <v>867</v>
      </c>
      <c r="C86" s="2303">
        <f ca="1">IF(H88="仅含出让金",C87+C90+C91+C92+C93+C94,C87+C91+C92+C93+C94)</f>
        <v>150910</v>
      </c>
      <c r="D86" s="2342"/>
      <c r="E86" s="3059"/>
      <c r="F86" s="3056"/>
      <c r="G86" s="3056"/>
      <c r="H86" s="2341"/>
      <c r="I86" s="794"/>
      <c r="J86" s="2376"/>
      <c r="K86" s="2376"/>
      <c r="L86" s="2376"/>
      <c r="M86" s="2376"/>
      <c r="N86" s="2376"/>
      <c r="O86" s="2376"/>
      <c r="P86" s="2376"/>
      <c r="Q86" s="2376"/>
      <c r="R86" s="2376"/>
      <c r="S86" s="2376"/>
      <c r="T86" s="2376"/>
      <c r="U86" s="2376"/>
      <c r="V86" s="2376"/>
      <c r="W86" s="2376"/>
      <c r="X86" s="2376"/>
      <c r="Y86" s="2376"/>
      <c r="Z86" s="2376"/>
      <c r="AA86" s="2383"/>
      <c r="AB86" s="2383"/>
      <c r="AC86" s="2383"/>
      <c r="AD86" s="2383"/>
      <c r="AE86" s="2383"/>
      <c r="AF86" s="2383"/>
      <c r="AG86" s="2383"/>
      <c r="AH86" s="2383"/>
      <c r="AI86" s="2383"/>
    </row>
    <row r="87" spans="1:35" s="463" customFormat="1" ht="14.25">
      <c r="A87" s="2261" t="s">
        <v>846</v>
      </c>
      <c r="B87" s="560" t="s">
        <v>888</v>
      </c>
      <c r="C87" s="2327">
        <f>C88+C89</f>
        <v>91863</v>
      </c>
      <c r="D87" s="2328"/>
      <c r="E87" s="3067"/>
      <c r="F87" s="3068"/>
      <c r="G87" s="3068"/>
      <c r="H87" s="3069"/>
      <c r="I87" s="794"/>
      <c r="J87" s="2376"/>
      <c r="K87" s="2376"/>
      <c r="L87" s="2376"/>
      <c r="M87" s="2376"/>
      <c r="N87" s="2376"/>
      <c r="O87" s="2376"/>
      <c r="P87" s="2376"/>
      <c r="Q87" s="2376"/>
      <c r="R87" s="2376"/>
      <c r="S87" s="2376"/>
      <c r="T87" s="2376"/>
      <c r="U87" s="2376"/>
      <c r="V87" s="2376"/>
      <c r="W87" s="2376"/>
      <c r="X87" s="2376"/>
      <c r="Y87" s="2376"/>
      <c r="Z87" s="2376"/>
      <c r="AA87" s="2383"/>
      <c r="AB87" s="2383"/>
      <c r="AC87" s="2383"/>
      <c r="AD87" s="2383"/>
      <c r="AE87" s="2383"/>
      <c r="AF87" s="2383"/>
      <c r="AG87" s="2383"/>
      <c r="AH87" s="2383"/>
      <c r="AI87" s="2383"/>
    </row>
    <row r="88" spans="1:35" s="463" customFormat="1" ht="14.25">
      <c r="A88" s="2261" t="s">
        <v>869</v>
      </c>
      <c r="B88" s="560" t="s">
        <v>889</v>
      </c>
      <c r="C88" s="2343">
        <f>ROUND((M76*K76+M77*K77+M78*K78)/10000,0)</f>
        <v>89144</v>
      </c>
      <c r="D88" s="2328"/>
      <c r="E88" s="2344" t="s">
        <v>890</v>
      </c>
      <c r="F88" s="3068"/>
      <c r="G88" s="2345" t="s">
        <v>891</v>
      </c>
      <c r="H88" s="2346" t="s">
        <v>892</v>
      </c>
      <c r="I88" s="794"/>
      <c r="J88" s="2380" t="s">
        <v>893</v>
      </c>
      <c r="K88" s="2376"/>
      <c r="L88" s="2376"/>
      <c r="M88" s="2376"/>
      <c r="N88" s="2376"/>
      <c r="O88" s="2376"/>
      <c r="P88" s="2376"/>
      <c r="Q88" s="2376"/>
      <c r="R88" s="2376"/>
      <c r="S88" s="2376"/>
      <c r="T88" s="2376"/>
      <c r="U88" s="2376"/>
      <c r="V88" s="2376"/>
      <c r="W88" s="2376"/>
      <c r="X88" s="2376"/>
      <c r="Y88" s="2376"/>
      <c r="Z88" s="2376"/>
      <c r="AA88" s="2383"/>
      <c r="AB88" s="2383"/>
      <c r="AC88" s="2383"/>
      <c r="AD88" s="2383"/>
      <c r="AE88" s="2383"/>
      <c r="AF88" s="2383"/>
      <c r="AG88" s="2383"/>
      <c r="AH88" s="2383"/>
      <c r="AI88" s="2383"/>
    </row>
    <row r="89" spans="1:35" s="463" customFormat="1" ht="14.25">
      <c r="A89" s="2261" t="s">
        <v>873</v>
      </c>
      <c r="B89" s="560" t="s">
        <v>878</v>
      </c>
      <c r="C89" s="2327">
        <f>ROUND(C88*D89,0)</f>
        <v>2719</v>
      </c>
      <c r="D89" s="2328">
        <f>'数据-取费表'!B48+'数据-取费表'!B49</f>
        <v>3.0499999999999999E-2</v>
      </c>
      <c r="E89" s="2344" t="s">
        <v>894</v>
      </c>
      <c r="F89" s="3068"/>
      <c r="G89" s="3068"/>
      <c r="H89" s="3069"/>
      <c r="I89" s="794"/>
      <c r="J89" s="2376"/>
      <c r="K89" s="2376"/>
      <c r="L89" s="2376"/>
      <c r="M89" s="2376"/>
      <c r="N89" s="2376"/>
      <c r="O89" s="2376"/>
      <c r="P89" s="2376"/>
      <c r="Q89" s="2376"/>
      <c r="R89" s="2376"/>
      <c r="S89" s="2376"/>
      <c r="T89" s="2376"/>
      <c r="U89" s="2376"/>
      <c r="V89" s="2376"/>
      <c r="W89" s="2376"/>
      <c r="X89" s="2376"/>
      <c r="Y89" s="2376"/>
      <c r="Z89" s="2376"/>
      <c r="AA89" s="2383"/>
      <c r="AB89" s="2383"/>
      <c r="AC89" s="2383"/>
      <c r="AD89" s="2383"/>
      <c r="AE89" s="2383"/>
      <c r="AF89" s="2383"/>
      <c r="AG89" s="2383"/>
      <c r="AH89" s="2383"/>
      <c r="AI89" s="2383"/>
    </row>
    <row r="90" spans="1:35" s="463" customFormat="1" ht="14.25">
      <c r="A90" s="2261" t="s">
        <v>850</v>
      </c>
      <c r="B90" s="560" t="s">
        <v>895</v>
      </c>
      <c r="C90" s="2343"/>
      <c r="D90" s="2328"/>
      <c r="E90" s="2344" t="str">
        <f>IF(H88="-","土地取得成本中已包含该笔费用"," ")</f>
        <v xml:space="preserve"> </v>
      </c>
      <c r="F90" s="3068"/>
      <c r="G90" s="3296" t="s">
        <v>896</v>
      </c>
      <c r="H90" s="3297"/>
      <c r="I90" s="794"/>
      <c r="J90" s="2380" t="s">
        <v>897</v>
      </c>
      <c r="K90" s="2376"/>
      <c r="L90" s="2376"/>
      <c r="M90" s="2376"/>
      <c r="N90" s="2376"/>
      <c r="O90" s="2376"/>
      <c r="P90" s="2376"/>
      <c r="Q90" s="2376"/>
      <c r="R90" s="2376"/>
      <c r="S90" s="2376"/>
      <c r="T90" s="2376"/>
      <c r="U90" s="2376"/>
      <c r="V90" s="2376"/>
      <c r="W90" s="2376"/>
      <c r="X90" s="2376"/>
      <c r="Y90" s="2376"/>
      <c r="Z90" s="2376"/>
      <c r="AA90" s="2383"/>
      <c r="AB90" s="2383"/>
      <c r="AC90" s="2383"/>
      <c r="AD90" s="2383"/>
      <c r="AE90" s="2383"/>
      <c r="AF90" s="2383"/>
      <c r="AG90" s="2383"/>
      <c r="AH90" s="2383"/>
      <c r="AI90" s="2383"/>
    </row>
    <row r="91" spans="1:35" s="463" customFormat="1" ht="27.75" customHeight="1">
      <c r="A91" s="2261" t="s">
        <v>898</v>
      </c>
      <c r="B91" s="560" t="s">
        <v>899</v>
      </c>
      <c r="C91" s="2327">
        <f ca="1">IF(H91="——",成本法!C33,I91)</f>
        <v>33648</v>
      </c>
      <c r="D91" s="2328"/>
      <c r="E91" s="3287" t="s">
        <v>900</v>
      </c>
      <c r="F91" s="3288"/>
      <c r="G91" s="3288"/>
      <c r="H91" s="2347" t="s">
        <v>124</v>
      </c>
      <c r="I91" s="2381"/>
      <c r="J91" s="2376"/>
      <c r="K91" s="2376"/>
      <c r="L91" s="2376"/>
      <c r="M91" s="2376"/>
      <c r="N91" s="2376"/>
      <c r="O91" s="2376"/>
      <c r="P91" s="2376"/>
      <c r="Q91" s="2376"/>
      <c r="R91" s="2376"/>
      <c r="S91" s="2376"/>
      <c r="T91" s="2376"/>
      <c r="U91" s="2376"/>
      <c r="V91" s="2376"/>
      <c r="W91" s="2376"/>
      <c r="X91" s="2376"/>
      <c r="Y91" s="2376"/>
      <c r="Z91" s="2376"/>
      <c r="AA91" s="2383"/>
      <c r="AB91" s="2383"/>
      <c r="AC91" s="2383"/>
      <c r="AD91" s="2383"/>
      <c r="AE91" s="2383"/>
      <c r="AF91" s="2383"/>
      <c r="AG91" s="2383"/>
      <c r="AH91" s="2383"/>
      <c r="AI91" s="2383"/>
    </row>
    <row r="92" spans="1:35" s="463" customFormat="1" ht="25.5" customHeight="1">
      <c r="A92" s="2261" t="s">
        <v>901</v>
      </c>
      <c r="B92" s="560" t="s">
        <v>902</v>
      </c>
      <c r="C92" s="2327">
        <f ca="1">ROUND((C87+C90+C91)*D92,0)</f>
        <v>0</v>
      </c>
      <c r="D92" s="2348"/>
      <c r="E92" s="3287" t="s">
        <v>903</v>
      </c>
      <c r="F92" s="3288"/>
      <c r="G92" s="3288"/>
      <c r="H92" s="3289"/>
      <c r="I92" s="794"/>
      <c r="J92" s="2382" t="s">
        <v>904</v>
      </c>
      <c r="K92" s="2376"/>
      <c r="L92" s="2376"/>
      <c r="M92" s="2376"/>
      <c r="N92" s="2376"/>
      <c r="O92" s="2376"/>
      <c r="P92" s="2376"/>
      <c r="Q92" s="2376"/>
      <c r="R92" s="2376"/>
      <c r="S92" s="2376"/>
      <c r="T92" s="2376"/>
      <c r="U92" s="2376"/>
      <c r="V92" s="2376"/>
      <c r="W92" s="2376"/>
      <c r="X92" s="2376"/>
      <c r="Y92" s="2376"/>
      <c r="Z92" s="2376"/>
      <c r="AA92" s="2383"/>
      <c r="AB92" s="2383"/>
      <c r="AC92" s="2383"/>
      <c r="AD92" s="2383"/>
      <c r="AE92" s="2383"/>
      <c r="AF92" s="2383"/>
      <c r="AG92" s="2383"/>
      <c r="AH92" s="2383"/>
      <c r="AI92" s="2383"/>
    </row>
    <row r="93" spans="1:35" s="463" customFormat="1" ht="25.5" customHeight="1">
      <c r="A93" s="2261" t="s">
        <v>905</v>
      </c>
      <c r="B93" s="560" t="s">
        <v>881</v>
      </c>
      <c r="C93" s="2327">
        <f ca="1">ROUND(D45*D93/(1+'数据-取费表'!C42),0)</f>
        <v>297</v>
      </c>
      <c r="D93" s="2328">
        <f>'数据-取费表'!B43</f>
        <v>5.0000000000000001E-3</v>
      </c>
      <c r="E93" s="3287" t="s">
        <v>882</v>
      </c>
      <c r="F93" s="3288"/>
      <c r="G93" s="3288"/>
      <c r="H93" s="3289"/>
      <c r="I93" s="794"/>
      <c r="J93" s="2376"/>
      <c r="K93" s="2376"/>
      <c r="L93" s="2376"/>
      <c r="M93" s="2376"/>
      <c r="N93" s="2376"/>
      <c r="O93" s="2376"/>
      <c r="P93" s="2376"/>
      <c r="Q93" s="2376"/>
      <c r="R93" s="2376"/>
      <c r="S93" s="2376"/>
      <c r="T93" s="2376"/>
      <c r="U93" s="2376"/>
      <c r="V93" s="2376"/>
      <c r="W93" s="2376"/>
      <c r="X93" s="2376"/>
      <c r="Y93" s="2376"/>
      <c r="Z93" s="2376"/>
      <c r="AA93" s="2383"/>
      <c r="AB93" s="2383"/>
      <c r="AC93" s="2383"/>
      <c r="AD93" s="2383"/>
      <c r="AE93" s="2383"/>
      <c r="AF93" s="2383"/>
      <c r="AG93" s="2383"/>
      <c r="AH93" s="2383"/>
      <c r="AI93" s="2383"/>
    </row>
    <row r="94" spans="1:35" s="463" customFormat="1" ht="36.75" customHeight="1">
      <c r="A94" s="2261" t="s">
        <v>906</v>
      </c>
      <c r="B94" s="560" t="s">
        <v>907</v>
      </c>
      <c r="C94" s="2343">
        <f ca="1">ROUND((C87+C90+C91)*D94,0)</f>
        <v>25102</v>
      </c>
      <c r="D94" s="2328">
        <v>0.2</v>
      </c>
      <c r="E94" s="3309" t="s">
        <v>908</v>
      </c>
      <c r="F94" s="3310"/>
      <c r="G94" s="3310"/>
      <c r="H94" s="3311"/>
      <c r="I94" s="794"/>
      <c r="J94" s="2376"/>
      <c r="K94" s="2376"/>
      <c r="L94" s="2376"/>
      <c r="M94" s="2376"/>
      <c r="N94" s="2376"/>
      <c r="O94" s="2376"/>
      <c r="P94" s="2376"/>
      <c r="Q94" s="2376"/>
      <c r="R94" s="2376"/>
      <c r="S94" s="2376"/>
      <c r="T94" s="2376"/>
      <c r="U94" s="2376"/>
      <c r="V94" s="2376"/>
      <c r="W94" s="2376"/>
      <c r="X94" s="2376"/>
      <c r="Y94" s="2376"/>
      <c r="Z94" s="2376"/>
      <c r="AA94" s="2383"/>
      <c r="AB94" s="2383"/>
      <c r="AC94" s="2383"/>
      <c r="AD94" s="2383"/>
      <c r="AE94" s="2383"/>
      <c r="AF94" s="2383"/>
      <c r="AG94" s="2383"/>
      <c r="AH94" s="2383"/>
      <c r="AI94" s="2383"/>
    </row>
    <row r="95" spans="1:35" s="463" customFormat="1" ht="14.25">
      <c r="A95" s="2257" t="s">
        <v>858</v>
      </c>
      <c r="B95" s="2300" t="s">
        <v>883</v>
      </c>
      <c r="C95" s="2303">
        <f ca="1">ROUND(C85-C86,0)</f>
        <v>-91548</v>
      </c>
      <c r="D95" s="560" t="s">
        <v>124</v>
      </c>
      <c r="E95" s="3059"/>
      <c r="F95" s="3056"/>
      <c r="G95" s="3056"/>
      <c r="H95" s="2341"/>
      <c r="I95" s="794"/>
      <c r="J95" s="2376"/>
      <c r="K95" s="2376"/>
      <c r="L95" s="2376"/>
      <c r="M95" s="2376"/>
      <c r="N95" s="2376"/>
      <c r="O95" s="2376"/>
      <c r="P95" s="2376"/>
      <c r="Q95" s="2376"/>
      <c r="R95" s="2376"/>
      <c r="S95" s="2376"/>
      <c r="T95" s="2376"/>
      <c r="U95" s="2376"/>
      <c r="V95" s="2376"/>
      <c r="W95" s="2376"/>
      <c r="X95" s="2376"/>
      <c r="Y95" s="2376"/>
      <c r="Z95" s="2376"/>
      <c r="AA95" s="2383"/>
      <c r="AB95" s="2383"/>
      <c r="AC95" s="2383"/>
      <c r="AD95" s="2383"/>
      <c r="AE95" s="2383"/>
      <c r="AF95" s="2383"/>
      <c r="AG95" s="2383"/>
      <c r="AH95" s="2383"/>
      <c r="AI95" s="2383"/>
    </row>
    <row r="96" spans="1:35" s="463" customFormat="1" ht="24">
      <c r="A96" s="2257" t="s">
        <v>861</v>
      </c>
      <c r="B96" s="2300" t="s">
        <v>884</v>
      </c>
      <c r="C96" s="2332">
        <f ca="1">IF(C95&lt;=0,0,C95/C86)</f>
        <v>0</v>
      </c>
      <c r="D96" s="560"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1"/>
      <c r="I96" s="794"/>
      <c r="J96" s="2376"/>
      <c r="K96" s="2376"/>
      <c r="L96" s="2376"/>
      <c r="M96" s="2376"/>
      <c r="N96" s="2376"/>
      <c r="O96" s="2376"/>
      <c r="P96" s="2376"/>
      <c r="Q96" s="2376"/>
      <c r="R96" s="2376"/>
      <c r="S96" s="2376"/>
      <c r="T96" s="2376"/>
      <c r="U96" s="2376"/>
      <c r="V96" s="2376"/>
      <c r="W96" s="2376"/>
      <c r="X96" s="2376"/>
      <c r="Y96" s="2376"/>
      <c r="Z96" s="2376"/>
      <c r="AA96" s="2383"/>
      <c r="AB96" s="2383"/>
      <c r="AC96" s="2383"/>
      <c r="AD96" s="2383"/>
      <c r="AE96" s="2383"/>
      <c r="AF96" s="2383"/>
      <c r="AG96" s="2383"/>
      <c r="AH96" s="2383"/>
      <c r="AI96" s="2383"/>
    </row>
    <row r="97" spans="1:35" s="463" customFormat="1" ht="24.75" thickBot="1">
      <c r="A97" s="2304" t="s">
        <v>885</v>
      </c>
      <c r="B97" s="2305" t="s">
        <v>886</v>
      </c>
      <c r="C97" s="2333">
        <f ca="1">ROUND(IF(C95&lt;=0,0,IF(C96&gt;=200%,C95*60%-C86*35%,IF(C96&gt;=100%,C95*50%-C86*15%,IF(C96&gt;=50%,C95*40%-C86*5%,IF(C96&lt;50%,C95*30%,0))))),0)</f>
        <v>0</v>
      </c>
      <c r="D97" s="2334" t="s">
        <v>124</v>
      </c>
      <c r="E97" s="23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6"/>
      <c r="G97" s="2336"/>
      <c r="H97" s="2349"/>
      <c r="I97" s="794"/>
      <c r="J97" s="2376"/>
      <c r="K97" s="2376"/>
      <c r="L97" s="2376"/>
      <c r="M97" s="2376"/>
      <c r="N97" s="2376"/>
      <c r="O97" s="2376"/>
      <c r="P97" s="2376"/>
      <c r="Q97" s="2376"/>
      <c r="R97" s="2376"/>
      <c r="S97" s="2376"/>
      <c r="T97" s="2376"/>
      <c r="U97" s="2376"/>
      <c r="V97" s="2376"/>
      <c r="W97" s="2376"/>
      <c r="X97" s="2376"/>
      <c r="Y97" s="2376"/>
      <c r="Z97" s="2376"/>
      <c r="AA97" s="2383"/>
      <c r="AB97" s="2383"/>
      <c r="AC97" s="2383"/>
      <c r="AD97" s="2383"/>
      <c r="AE97" s="2383"/>
      <c r="AF97" s="2383"/>
      <c r="AG97" s="2383"/>
      <c r="AH97" s="2383"/>
      <c r="AI97" s="2383"/>
    </row>
    <row r="98" spans="1:35" ht="21.75" customHeight="1">
      <c r="A98" s="2253"/>
      <c r="B98" s="1778"/>
      <c r="C98" s="1778"/>
      <c r="D98" s="1778"/>
      <c r="E98" s="2254"/>
      <c r="F98" s="2254"/>
      <c r="G98" s="2254"/>
      <c r="H98" s="2215"/>
      <c r="I98" s="274"/>
    </row>
    <row r="99" spans="1:35" ht="21.75" customHeight="1" thickBot="1">
      <c r="A99" s="2217" t="s">
        <v>909</v>
      </c>
      <c r="B99" s="1778"/>
      <c r="C99" s="1778"/>
      <c r="D99" s="1778"/>
      <c r="E99" s="2254"/>
      <c r="F99" s="2254"/>
      <c r="G99" s="2254"/>
      <c r="H99" s="2215"/>
      <c r="I99" s="274"/>
    </row>
    <row r="100" spans="1:35" ht="18.75" customHeight="1">
      <c r="A100" s="3201" t="s">
        <v>910</v>
      </c>
      <c r="B100" s="3202"/>
      <c r="C100" s="3202"/>
      <c r="D100" s="3272"/>
      <c r="E100" s="3202" t="s">
        <v>911</v>
      </c>
      <c r="F100" s="3202"/>
      <c r="G100" s="3202"/>
      <c r="H100" s="3272"/>
      <c r="I100" s="274"/>
    </row>
    <row r="101" spans="1:35" ht="18.75" customHeight="1">
      <c r="A101" s="3273" t="s">
        <v>912</v>
      </c>
      <c r="B101" s="3274"/>
      <c r="C101" s="2351" t="str">
        <f>C4</f>
        <v>比较法-车位</v>
      </c>
      <c r="D101" s="2352" t="str">
        <f>D4</f>
        <v>收益法车</v>
      </c>
      <c r="E101" s="3295" t="s">
        <v>913</v>
      </c>
      <c r="F101" s="3291"/>
      <c r="G101" s="2354" t="s">
        <v>914</v>
      </c>
      <c r="H101" s="2355">
        <f ca="1">H118</f>
        <v>111304</v>
      </c>
      <c r="I101" s="274"/>
    </row>
    <row r="102" spans="1:35" ht="18.75" customHeight="1">
      <c r="A102" s="3304" t="s">
        <v>915</v>
      </c>
      <c r="B102" s="2356" t="s">
        <v>914</v>
      </c>
      <c r="C102" s="2351">
        <f ca="1">C19</f>
        <v>3976</v>
      </c>
      <c r="D102" s="2352">
        <f ca="1">D19</f>
        <v>272295</v>
      </c>
      <c r="E102" s="3295"/>
      <c r="F102" s="3291"/>
      <c r="G102" s="2354" t="s">
        <v>99</v>
      </c>
      <c r="H102" s="2243">
        <f ca="1">I118</f>
        <v>81773</v>
      </c>
      <c r="I102" s="274"/>
    </row>
    <row r="103" spans="1:35" ht="42.75" customHeight="1">
      <c r="A103" s="3304"/>
      <c r="B103" s="2356" t="s">
        <v>99</v>
      </c>
      <c r="C103" s="2357">
        <f ca="1">C20</f>
        <v>2921</v>
      </c>
      <c r="D103" s="2358">
        <f ca="1">D20</f>
        <v>200051</v>
      </c>
      <c r="E103" s="3275" t="s">
        <v>916</v>
      </c>
      <c r="F103" s="3276"/>
      <c r="G103" s="2359" t="s">
        <v>102</v>
      </c>
      <c r="H103" s="2355">
        <f>IF(D36="正常操作",H104+H105+H106,H105+H106)</f>
        <v>0</v>
      </c>
      <c r="I103" s="274"/>
    </row>
    <row r="104" spans="1:35" ht="18.75" customHeight="1">
      <c r="A104" s="3304" t="s">
        <v>917</v>
      </c>
      <c r="B104" s="2360" t="s">
        <v>914</v>
      </c>
      <c r="C104" s="2361">
        <f ca="1">H118</f>
        <v>111304</v>
      </c>
      <c r="D104" s="2362"/>
      <c r="E104" s="2200" t="s">
        <v>918</v>
      </c>
      <c r="F104" s="2363"/>
      <c r="G104" s="2359" t="s">
        <v>102</v>
      </c>
      <c r="H104" s="2364">
        <f>IF(D36="同一抵押权人同一抵押物续贷",C36&amp;"（续贷，未扣减，详见特别提示）",C36)</f>
        <v>0</v>
      </c>
      <c r="I104" s="274"/>
    </row>
    <row r="105" spans="1:35" ht="18.75" customHeight="1" thickBot="1">
      <c r="A105" s="3305"/>
      <c r="B105" s="2365" t="s">
        <v>99</v>
      </c>
      <c r="C105" s="2366">
        <f ca="1">I118</f>
        <v>81773</v>
      </c>
      <c r="D105" s="2367"/>
      <c r="E105" s="2200" t="s">
        <v>919</v>
      </c>
      <c r="F105" s="2363"/>
      <c r="G105" s="2359" t="s">
        <v>102</v>
      </c>
      <c r="H105" s="2368">
        <f>C37</f>
        <v>0</v>
      </c>
      <c r="I105" s="274"/>
    </row>
    <row r="106" spans="1:35" ht="18.75" customHeight="1">
      <c r="A106" s="1778" t="s">
        <v>920</v>
      </c>
      <c r="B106" s="1778"/>
      <c r="C106" s="1778"/>
      <c r="D106" s="1778"/>
      <c r="E106" s="2369" t="s">
        <v>921</v>
      </c>
      <c r="F106" s="2363"/>
      <c r="G106" s="2359" t="s">
        <v>102</v>
      </c>
      <c r="H106" s="2368">
        <f>C38</f>
        <v>0</v>
      </c>
      <c r="I106" s="274"/>
    </row>
    <row r="107" spans="1:35" ht="18.75" customHeight="1">
      <c r="A107" s="274"/>
      <c r="B107" s="274"/>
      <c r="C107" s="274"/>
      <c r="D107" s="274"/>
      <c r="E107" s="3290" t="str">
        <f>IF(项目基本情况!E8="已注销","——","3.房地产抵押价值")</f>
        <v>3.房地产抵押价值</v>
      </c>
      <c r="F107" s="3291"/>
      <c r="G107" s="2354" t="s">
        <v>914</v>
      </c>
      <c r="H107" s="2355">
        <f ca="1">IF(E107="——","——",H101-H103)</f>
        <v>111304</v>
      </c>
      <c r="I107" s="274"/>
    </row>
    <row r="108" spans="1:35" ht="18.75" customHeight="1">
      <c r="A108" s="274"/>
      <c r="B108" s="274"/>
      <c r="C108" s="274"/>
      <c r="D108" s="274"/>
      <c r="E108" s="3290"/>
      <c r="F108" s="3291"/>
      <c r="G108" s="2354" t="s">
        <v>99</v>
      </c>
      <c r="H108" s="2243">
        <f ca="1">ROUND(H107*10000/'数据-汇总表'!E3,0)</f>
        <v>15393</v>
      </c>
      <c r="I108" s="274"/>
    </row>
    <row r="109" spans="1:35" ht="18.75" customHeight="1">
      <c r="A109" s="274"/>
      <c r="B109" s="274"/>
      <c r="C109" s="274"/>
      <c r="D109" s="274"/>
      <c r="E109" s="3290" t="str">
        <f>IF(项目基本情况!E8="已注销及未注销","4.抵押担保权已注销时的房地产抵押价值",IF(项目基本情况!E8="已注销","3.抵押担保权已注销时的房地产抵押价值","——"))</f>
        <v>——</v>
      </c>
      <c r="F109" s="3291"/>
      <c r="G109" s="2354" t="s">
        <v>914</v>
      </c>
      <c r="H109" s="2370" t="str">
        <f>IF(E109="——","——",H101-H105-H106)</f>
        <v>——</v>
      </c>
      <c r="I109" s="274"/>
    </row>
    <row r="110" spans="1:35" ht="18.75" customHeight="1">
      <c r="A110" s="274"/>
      <c r="B110" s="274"/>
      <c r="C110" s="274"/>
      <c r="D110" s="274"/>
      <c r="E110" s="3290"/>
      <c r="F110" s="3291"/>
      <c r="G110" s="2354" t="s">
        <v>99</v>
      </c>
      <c r="H110" s="2243" t="str">
        <f>IF(H109="——","——",ROUND(H109*10000/'数据-汇总表'!E3,0))</f>
        <v>——</v>
      </c>
      <c r="I110" s="274"/>
    </row>
    <row r="111" spans="1:35" ht="18.75" customHeight="1">
      <c r="A111" s="274"/>
      <c r="B111" s="274"/>
      <c r="C111" s="274"/>
      <c r="D111" s="274"/>
      <c r="E111" s="3292" t="str">
        <f>IF(项目基本情况!E9="抵押净值",IF(OR(项目基本情况!E8="已注销",项目基本情况!E8="房地产抵押价值"),"4.抵押净值","5.抵押净值"),"——")</f>
        <v>4.抵押净值</v>
      </c>
      <c r="F111" s="3261"/>
      <c r="G111" s="2354" t="s">
        <v>914</v>
      </c>
      <c r="H111" s="2355">
        <f ca="1">IF(E111="——","——",N59)</f>
        <v>108008</v>
      </c>
      <c r="I111" s="274"/>
    </row>
    <row r="112" spans="1:35" ht="18.75" customHeight="1" thickBot="1">
      <c r="A112" s="274"/>
      <c r="B112" s="274"/>
      <c r="C112" s="274"/>
      <c r="D112" s="274"/>
      <c r="E112" s="3293"/>
      <c r="F112" s="3294"/>
      <c r="G112" s="2371" t="s">
        <v>99</v>
      </c>
      <c r="H112" s="2372">
        <f ca="1">IF(E111="——","——",N61)</f>
        <v>14937</v>
      </c>
      <c r="I112" s="274"/>
    </row>
    <row r="113" spans="1:27" ht="18.75" customHeight="1">
      <c r="A113" s="274"/>
      <c r="B113" s="274"/>
      <c r="C113" s="274"/>
      <c r="D113" s="274"/>
      <c r="E113" s="3277" t="s">
        <v>920</v>
      </c>
      <c r="F113" s="3277"/>
      <c r="G113" s="3277"/>
      <c r="H113" s="3277"/>
      <c r="I113" s="274"/>
    </row>
    <row r="114" spans="1:27" ht="3.75" customHeight="1">
      <c r="A114" s="1778"/>
      <c r="B114" s="1778"/>
      <c r="C114" s="1778"/>
      <c r="D114" s="1778"/>
      <c r="E114" s="2253"/>
      <c r="F114" s="2253"/>
      <c r="G114" s="2253"/>
      <c r="H114" s="2253"/>
      <c r="I114" s="1778"/>
    </row>
    <row r="115" spans="1:27" ht="18.75" customHeight="1">
      <c r="A115" s="3278" t="s">
        <v>922</v>
      </c>
      <c r="B115" s="3279"/>
      <c r="C115" s="3279"/>
      <c r="D115" s="3279"/>
      <c r="E115" s="3279"/>
      <c r="F115" s="3279"/>
      <c r="G115" s="3279"/>
      <c r="H115" s="3279"/>
      <c r="I115" s="3280"/>
    </row>
    <row r="116" spans="1:27" ht="27" customHeight="1">
      <c r="A116" s="3265" t="s">
        <v>923</v>
      </c>
      <c r="B116" s="3307" t="s">
        <v>924</v>
      </c>
      <c r="C116" s="3307" t="s">
        <v>925</v>
      </c>
      <c r="D116" s="3281" t="s">
        <v>926</v>
      </c>
      <c r="E116" s="3282"/>
      <c r="F116" s="3283" t="s">
        <v>927</v>
      </c>
      <c r="G116" s="3283"/>
      <c r="H116" s="3265" t="s">
        <v>928</v>
      </c>
      <c r="I116" s="3265"/>
    </row>
    <row r="117" spans="1:27" ht="18.75" customHeight="1">
      <c r="A117" s="3265"/>
      <c r="B117" s="3308"/>
      <c r="C117" s="3308"/>
      <c r="D117" s="3065" t="s">
        <v>929</v>
      </c>
      <c r="E117" s="3065" t="s">
        <v>749</v>
      </c>
      <c r="F117" s="3065" t="s">
        <v>929</v>
      </c>
      <c r="G117" s="3065" t="s">
        <v>749</v>
      </c>
      <c r="H117" s="3065" t="s">
        <v>929</v>
      </c>
      <c r="I117" s="3065" t="s">
        <v>749</v>
      </c>
    </row>
    <row r="118" spans="1:27" ht="24.75" customHeight="1">
      <c r="A118" s="2373" t="str">
        <f>项目基本情况!S2</f>
        <v>北京市顺义区北小营镇顺义新城第30街区30-01-02地块R2二类居住用地出让国有建设用地使用权及在建建筑物房地产</v>
      </c>
      <c r="B118" s="3065">
        <f>M18</f>
        <v>13611.27</v>
      </c>
      <c r="C118" s="3065">
        <f>M19</f>
        <v>0</v>
      </c>
      <c r="D118" s="3065">
        <f ca="1">ROUND(IF(D32="总价",C34,E118*B118/10000),0)</f>
        <v>83033</v>
      </c>
      <c r="E118" s="3065">
        <f ca="1">ROUND(IF(C33="自定义",IF(D32="楼面单价",C34,D118*10000/B118),I118-G118),0)</f>
        <v>61003</v>
      </c>
      <c r="F118" s="3065">
        <f ca="1">ROUND(IF(D32="总价",C35,G118*B118/10000),0)</f>
        <v>28271</v>
      </c>
      <c r="G118" s="3065">
        <f ca="1">ROUND(IF(D32="楼面单价",C35,F118*10000/B118),0)</f>
        <v>20770</v>
      </c>
      <c r="H118" s="3065">
        <f ca="1">ROUND(IF(D32="总价",C32,I118*B118/10000),0)</f>
        <v>111304</v>
      </c>
      <c r="I118" s="3065">
        <f ca="1">ROUND(IF(D32="楼面单价",C32,H118*10000/B118),0)</f>
        <v>81773</v>
      </c>
    </row>
    <row r="119" spans="1:27" ht="18.75" customHeight="1">
      <c r="A119" s="3265" t="s">
        <v>930</v>
      </c>
      <c r="B119" s="3265"/>
      <c r="C119" s="3265"/>
      <c r="D119" s="3266" t="str">
        <f ca="1">NUMBERSTRING(INT(D118*10000),2)&amp;"元整"</f>
        <v>捌亿叁仟零叁拾叁万元整</v>
      </c>
      <c r="E119" s="3268"/>
      <c r="F119" s="3266" t="str">
        <f ca="1">NUMBERSTRING(INT(F118*10000),2)&amp;"元整"</f>
        <v>贰亿捌仟贰佰柒拾壹万元整</v>
      </c>
      <c r="G119" s="3268"/>
      <c r="H119" s="3266" t="str">
        <f ca="1">NUMBERSTRING(INT(H118*10000),2)&amp;"元整"</f>
        <v>壹拾壹亿壹仟叁佰零肆万元整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3269" t="s">
        <v>930</v>
      </c>
      <c r="B121" s="3270"/>
      <c r="C121" s="3271"/>
      <c r="D121" s="3266" t="str">
        <f>IF(D120=0,"零元整",NUMBERSTRING(INT(D120*10000),2)&amp;"元整")</f>
        <v>零元整</v>
      </c>
      <c r="E121" s="3267"/>
      <c r="F121" s="3267"/>
      <c r="G121" s="3267"/>
      <c r="H121" s="3267"/>
      <c r="I121" s="3268"/>
      <c r="AA121" s="232"/>
    </row>
    <row r="122" spans="1:27" ht="18.75" customHeight="1">
      <c r="A122" s="3261" t="str">
        <f>IF(项目基本情况!B9="房地产市场价值","",MID(E107,3,LEN(E107)-2))</f>
        <v>房地产抵押价值</v>
      </c>
      <c r="B122" s="3261"/>
      <c r="C122" s="3261"/>
      <c r="D122" s="3262">
        <f ca="1">H107</f>
        <v>111304</v>
      </c>
      <c r="E122" s="3263"/>
      <c r="F122" s="3263"/>
      <c r="G122" s="3263"/>
      <c r="H122" s="3263"/>
      <c r="I122" s="3264"/>
      <c r="AA122" s="232"/>
    </row>
    <row r="123" spans="1:27" ht="18.75" customHeight="1">
      <c r="A123" s="3265" t="s">
        <v>930</v>
      </c>
      <c r="B123" s="3265"/>
      <c r="C123" s="3265"/>
      <c r="D123" s="3266" t="str">
        <f ca="1">NUMBERSTRING(INT(D122*10000),2)&amp;"元整"</f>
        <v>壹拾壹亿壹仟叁佰零肆万元整</v>
      </c>
      <c r="E123" s="3267"/>
      <c r="F123" s="3267"/>
      <c r="G123" s="3267"/>
      <c r="H123" s="3267"/>
      <c r="I123" s="3268"/>
      <c r="AA123" s="232"/>
    </row>
    <row r="124" spans="1:27" ht="18.75" customHeight="1">
      <c r="A124" s="3261" t="str">
        <f>IF(项目基本情况!B9="房地产市场价值","",MID(E109,3,LEN(E109)-2))</f>
        <v/>
      </c>
      <c r="B124" s="3261"/>
      <c r="C124" s="3261"/>
      <c r="D124" s="3262" t="str">
        <f>H109</f>
        <v>——</v>
      </c>
      <c r="E124" s="3263"/>
      <c r="F124" s="3263"/>
      <c r="G124" s="3263"/>
      <c r="H124" s="3263"/>
      <c r="I124" s="3264"/>
      <c r="AA124" s="232"/>
    </row>
    <row r="125" spans="1:27" ht="18.75" customHeight="1">
      <c r="A125" s="3265" t="s">
        <v>930</v>
      </c>
      <c r="B125" s="3265"/>
      <c r="C125" s="3265"/>
      <c r="D125" s="3266" t="e">
        <f>NUMBERSTRING(INT(D124*10000),2)&amp;"元整"</f>
        <v>#VALUE!</v>
      </c>
      <c r="E125" s="3267"/>
      <c r="F125" s="3267"/>
      <c r="G125" s="3267"/>
      <c r="H125" s="3267"/>
      <c r="I125" s="3268"/>
      <c r="AA125" s="232"/>
    </row>
    <row r="126" spans="1:27" ht="18.75" customHeight="1">
      <c r="A126" s="3261" t="str">
        <f>IF(项目基本情况!B9="房地产市场价值","",MID(E111,3,LEN(E111)-2))</f>
        <v>抵押净值</v>
      </c>
      <c r="B126" s="3261"/>
      <c r="C126" s="3261"/>
      <c r="D126" s="3262">
        <f ca="1">H111</f>
        <v>108008</v>
      </c>
      <c r="E126" s="3263"/>
      <c r="F126" s="3263"/>
      <c r="G126" s="3263"/>
      <c r="H126" s="3263"/>
      <c r="I126" s="3264"/>
      <c r="AA126" s="232"/>
    </row>
    <row r="127" spans="1:27" ht="18.75" customHeight="1">
      <c r="A127" s="3265" t="s">
        <v>930</v>
      </c>
      <c r="B127" s="3265"/>
      <c r="C127" s="3265"/>
      <c r="D127" s="3266" t="str">
        <f ca="1">NUMBERSTRING(INT(D126*10000),2)&amp;"元整"</f>
        <v>壹拾亿捌仟零捌万元整</v>
      </c>
      <c r="E127" s="3267"/>
      <c r="F127" s="3267"/>
      <c r="G127" s="3267"/>
      <c r="H127" s="3267"/>
      <c r="I127" s="3268"/>
      <c r="AA127" s="232"/>
    </row>
    <row r="128" spans="1:27" ht="21.75" customHeight="1">
      <c r="A128" s="3298" t="s">
        <v>113</v>
      </c>
      <c r="B128" s="3298"/>
      <c r="C128" s="3298"/>
      <c r="D128" s="3298"/>
      <c r="E128" s="3298"/>
      <c r="F128" s="3298"/>
      <c r="G128" s="3298"/>
      <c r="H128" s="3298"/>
      <c r="I128" s="3298"/>
      <c r="AA128" s="232"/>
    </row>
    <row r="129" spans="1:35" ht="21.75" customHeight="1">
      <c r="A129" s="2384" t="s">
        <v>931</v>
      </c>
      <c r="B129" s="2385"/>
      <c r="C129" s="2386" t="s">
        <v>932</v>
      </c>
      <c r="D129" s="2387"/>
      <c r="E129" s="2387"/>
      <c r="F129" s="2387"/>
      <c r="G129" s="2387"/>
      <c r="H129" s="2388"/>
      <c r="I129" s="2401"/>
      <c r="AA129" s="232"/>
    </row>
    <row r="130" spans="1:35" ht="21.75" customHeight="1">
      <c r="A130" s="2389">
        <v>1</v>
      </c>
      <c r="B130" s="2390"/>
      <c r="C130" s="2390"/>
      <c r="D130" s="340"/>
      <c r="E130" s="340"/>
      <c r="F130" s="340"/>
      <c r="G130" s="340"/>
      <c r="H130" s="323"/>
      <c r="I130" s="2402"/>
      <c r="AA130" s="232"/>
    </row>
    <row r="131" spans="1:35" ht="21.75" customHeight="1">
      <c r="A131" s="2389">
        <v>2</v>
      </c>
      <c r="B131" s="2390"/>
      <c r="C131" s="2390"/>
      <c r="D131" s="340"/>
      <c r="E131" s="340"/>
      <c r="F131" s="340"/>
      <c r="G131" s="340"/>
      <c r="H131" s="323"/>
      <c r="I131" s="2402"/>
      <c r="AA131" s="232"/>
    </row>
    <row r="132" spans="1:35" ht="21.75" customHeight="1">
      <c r="A132" s="2389">
        <v>3</v>
      </c>
      <c r="B132" s="2390"/>
      <c r="C132" s="2390"/>
      <c r="D132" s="340"/>
      <c r="E132" s="340"/>
      <c r="F132" s="340"/>
      <c r="G132" s="340"/>
      <c r="H132" s="323"/>
      <c r="I132" s="2402"/>
      <c r="AA132" s="232"/>
    </row>
    <row r="133" spans="1:35" ht="21.75" customHeight="1">
      <c r="A133" s="2391"/>
      <c r="B133" s="2392"/>
      <c r="C133" s="2392"/>
      <c r="D133" s="2393"/>
      <c r="E133" s="2393"/>
      <c r="F133" s="2393"/>
      <c r="G133" s="2393"/>
      <c r="H133" s="2394"/>
      <c r="I133" s="2403"/>
    </row>
    <row r="134" spans="1:35" ht="21.75" customHeight="1">
      <c r="A134" s="2390"/>
      <c r="B134" s="2390"/>
      <c r="C134" s="2390"/>
      <c r="D134" s="340"/>
      <c r="E134" s="340"/>
      <c r="F134" s="340"/>
      <c r="G134" s="340"/>
      <c r="H134" s="323"/>
      <c r="I134" s="232"/>
    </row>
    <row r="135" spans="1:35" ht="21.75" customHeight="1">
      <c r="A135" s="232"/>
      <c r="B135" s="232"/>
      <c r="C135" s="232"/>
      <c r="D135" s="232"/>
      <c r="E135" s="232"/>
      <c r="F135" s="2395" t="s">
        <v>933</v>
      </c>
      <c r="G135" s="2396"/>
      <c r="H135" s="2396"/>
      <c r="I135" s="2404" t="s">
        <v>934</v>
      </c>
    </row>
    <row r="136" spans="1:35" ht="21.75" customHeight="1">
      <c r="A136" s="232"/>
      <c r="B136" s="2397"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6"/>
      <c r="C138" s="2396"/>
      <c r="D138" s="2396"/>
      <c r="E138" s="2396"/>
      <c r="F138" s="2396"/>
      <c r="G138" s="2396"/>
      <c r="H138" s="2396"/>
      <c r="I138" s="2404" t="s">
        <v>936</v>
      </c>
    </row>
    <row r="139" spans="1:35" ht="21.75" customHeight="1">
      <c r="A139" s="232"/>
      <c r="B139" s="2397" t="s">
        <v>937</v>
      </c>
      <c r="C139" s="232"/>
      <c r="D139" s="232"/>
      <c r="E139" s="232"/>
      <c r="F139" s="232"/>
      <c r="G139" s="232"/>
      <c r="H139" s="232"/>
      <c r="I139" s="232"/>
    </row>
    <row r="140" spans="1:35" ht="21.75" customHeight="1">
      <c r="A140" s="232"/>
      <c r="B140" s="2397"/>
      <c r="C140" s="232"/>
      <c r="D140" s="232"/>
      <c r="E140" s="232"/>
      <c r="F140" s="232"/>
      <c r="G140" s="232"/>
      <c r="H140" s="232"/>
      <c r="I140" s="232"/>
    </row>
    <row r="141" spans="1:35" ht="21.75" customHeight="1">
      <c r="A141" s="232"/>
      <c r="B141" s="2396"/>
      <c r="C141" s="2396"/>
      <c r="D141" s="2396"/>
      <c r="E141" s="2396"/>
      <c r="F141" s="2396"/>
      <c r="G141" s="2396"/>
      <c r="H141" s="2396"/>
      <c r="I141" s="2404" t="s">
        <v>936</v>
      </c>
    </row>
    <row r="142" spans="1:35" ht="21.75" customHeight="1">
      <c r="A142" s="232"/>
      <c r="B142" s="2397"/>
      <c r="C142" s="2398"/>
      <c r="D142" s="2399"/>
      <c r="E142" s="2399"/>
      <c r="F142" s="2400"/>
      <c r="G142" s="232"/>
      <c r="H142" s="232"/>
      <c r="I142" s="232"/>
    </row>
    <row r="143" spans="1:35" s="231" customFormat="1" ht="21.75" customHeight="1">
      <c r="A143" s="232"/>
      <c r="B143" s="2397"/>
      <c r="C143" s="2398"/>
      <c r="D143" s="2399"/>
      <c r="E143" s="2399"/>
      <c r="F143" s="2400"/>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0"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0"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0"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0"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0"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0"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0"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0"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0"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0"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0"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0"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0"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0"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0"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0"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0"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0"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0"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0"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0"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0"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0"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0"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0"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0"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0"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0"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0"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0"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0"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0"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0"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0"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0"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0"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0"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0"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0"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0"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0"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0"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0"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0"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0"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0"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0"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0"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0"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0"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0"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0"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0"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0"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0"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0"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0"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0"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0"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0"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0"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0"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0"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0"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0"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0"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0"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0"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0"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0"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0"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0"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0"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0"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0"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0"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0"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0"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0"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0"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0"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0"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0"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0"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0"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0"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0"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0"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0"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0"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0"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0"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0"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0"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0"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0"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0"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0"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0"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0"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0"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0"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0"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0"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5"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8.75">
      <c r="A4" s="3000"/>
      <c r="B4" s="3126" t="s">
        <v>95</v>
      </c>
      <c r="C4" s="3126"/>
      <c r="D4" s="3126"/>
      <c r="E4" s="3000"/>
    </row>
    <row r="5" spans="1:5" ht="15.75">
      <c r="B5" s="3118" t="s">
        <v>96</v>
      </c>
      <c r="C5" s="3001" t="s">
        <v>97</v>
      </c>
      <c r="D5" s="3002">
        <f ca="1">结果表!H101</f>
        <v>159143</v>
      </c>
    </row>
    <row r="6" spans="1:5" ht="15.75">
      <c r="B6" s="3118"/>
      <c r="C6" s="3001" t="s">
        <v>98</v>
      </c>
      <c r="D6" s="3002" t="str">
        <f ca="1">NUMBERSTRING(INT(D5*10000),2)&amp;"元整"</f>
        <v>壹拾伍亿玖仟壹佰肆拾叁万元整</v>
      </c>
    </row>
    <row r="7" spans="1:5" ht="15.75">
      <c r="B7" s="3119"/>
      <c r="C7" s="3003" t="s">
        <v>99</v>
      </c>
      <c r="D7" s="3004" t="e">
        <f ca="1">结果表!H102</f>
        <v>#DIV/0!</v>
      </c>
    </row>
    <row r="8" spans="1:5" ht="15.75">
      <c r="B8" s="3120" t="str">
        <f>结果表!E103</f>
        <v>2.估价师知悉的法定优先受偿款</v>
      </c>
      <c r="C8" s="3005" t="s">
        <v>100</v>
      </c>
      <c r="D8" s="3004">
        <f>结果表!H103</f>
        <v>0</v>
      </c>
    </row>
    <row r="9" spans="1:5" ht="15.75">
      <c r="B9" s="3122"/>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7" t="str">
        <f>结果表!E107</f>
        <v>3.房地产抵押价值</v>
      </c>
      <c r="C13" s="3009" t="s">
        <v>97</v>
      </c>
      <c r="D13" s="3010">
        <f ca="1">结果表!H107</f>
        <v>159143</v>
      </c>
    </row>
    <row r="14" spans="1:5" ht="15.75">
      <c r="B14" s="3118"/>
      <c r="C14" s="3001" t="s">
        <v>98</v>
      </c>
      <c r="D14" s="3002" t="str">
        <f ca="1">NUMBERSTRING(INT(D13*10000),2)&amp;"元整"</f>
        <v>壹拾伍亿玖仟壹佰肆拾叁万元整</v>
      </c>
    </row>
    <row r="15" spans="1:5" ht="15">
      <c r="B15" s="3119"/>
      <c r="C15" s="3003" t="s">
        <v>99</v>
      </c>
      <c r="D15" s="3011">
        <f ca="1">结果表!H108</f>
        <v>22009</v>
      </c>
    </row>
    <row r="16" spans="1:5" ht="15">
      <c r="B16" s="3120" t="str">
        <f>结果表!E109</f>
        <v>——</v>
      </c>
      <c r="C16" s="3009" t="s">
        <v>97</v>
      </c>
      <c r="D16" s="3012" t="str">
        <f>结果表!H109</f>
        <v>——</v>
      </c>
    </row>
    <row r="17" spans="1:5" ht="15.75">
      <c r="B17" s="3121"/>
      <c r="C17" s="3001" t="s">
        <v>98</v>
      </c>
      <c r="D17" s="3002" t="e">
        <f>NUMBERSTRING(INT(D16*10000),2)&amp;"元整"</f>
        <v>#VALUE!</v>
      </c>
    </row>
    <row r="18" spans="1:5" ht="15">
      <c r="B18" s="3122"/>
      <c r="C18" s="3003" t="s">
        <v>99</v>
      </c>
      <c r="D18" s="3011" t="str">
        <f>结果表!H110</f>
        <v>——</v>
      </c>
    </row>
    <row r="19" spans="1:5" ht="15.75">
      <c r="B19" s="3117" t="str">
        <f>结果表!E111</f>
        <v>4.抵押净值</v>
      </c>
      <c r="C19" s="3009" t="s">
        <v>97</v>
      </c>
      <c r="D19" s="3004">
        <f ca="1">结果表!H111</f>
        <v>150727</v>
      </c>
    </row>
    <row r="20" spans="1:5" ht="15.75">
      <c r="B20" s="3118"/>
      <c r="C20" s="3001" t="s">
        <v>98</v>
      </c>
      <c r="D20" s="3002" t="str">
        <f ca="1">NUMBERSTRING(INT(D19*10000),2)&amp;"元整"</f>
        <v>壹拾伍亿零柒佰贰拾柒万元整</v>
      </c>
    </row>
    <row r="21" spans="1:5" ht="15">
      <c r="B21" s="3123"/>
      <c r="C21" s="3013" t="s">
        <v>99</v>
      </c>
      <c r="D21" s="3014">
        <f ca="1">结果表!H112</f>
        <v>20845</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0" t="s">
        <v>491</v>
      </c>
      <c r="C1" s="146"/>
      <c r="D1" s="146"/>
      <c r="E1" s="146"/>
      <c r="F1" s="146"/>
      <c r="G1" s="2092">
        <f>MATCH(B1,'数据-取费表'!A6:A16,0)+5</f>
        <v>9</v>
      </c>
    </row>
    <row r="2" spans="1:9" s="136" customFormat="1" ht="18" customHeight="1">
      <c r="A2" s="148" t="s">
        <v>941</v>
      </c>
      <c r="B2" s="149">
        <f ca="1">IF(D2="——",C52,C52-E2)</f>
        <v>6796</v>
      </c>
      <c r="C2" s="147" t="s">
        <v>1397</v>
      </c>
      <c r="D2" s="2093" t="s">
        <v>124</v>
      </c>
      <c r="E2" s="2094" t="e">
        <f ca="1">SUMIF(INDIRECT("'"&amp;G2&amp;"'"&amp;"!A:A"),"承租人权益价值",INDIRECT("'"&amp;G2&amp;"'"&amp;"!c:c"))</f>
        <v>#REF!</v>
      </c>
      <c r="F2" s="2095" t="s">
        <v>1397</v>
      </c>
      <c r="G2" s="2096"/>
    </row>
    <row r="3" spans="1:9" s="136" customFormat="1" ht="18" customHeight="1" thickBot="1">
      <c r="A3" s="151" t="s">
        <v>942</v>
      </c>
      <c r="B3" s="152">
        <f ca="1">ROUND(B2*10000/(IF(B1="",'数据-汇总表'!E3,INDIRECT("'数据-取费表'!k"&amp;$G$1))),0)</f>
        <v>4993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541</v>
      </c>
      <c r="D5" s="158" t="s">
        <v>1402</v>
      </c>
      <c r="E5" s="159" t="s">
        <v>1403</v>
      </c>
      <c r="F5" s="159" t="s">
        <v>841</v>
      </c>
      <c r="G5" s="160"/>
    </row>
    <row r="6" spans="1:9" s="138" customFormat="1" ht="13.5" customHeight="1">
      <c r="A6" s="161" t="s">
        <v>1404</v>
      </c>
      <c r="B6" s="162" t="s">
        <v>1405</v>
      </c>
      <c r="C6" s="163">
        <f ca="1">ROUND('土地比较法-住宅、综合'!B62*成本法车!D10/10000,0)</f>
        <v>525</v>
      </c>
      <c r="D6" s="164"/>
      <c r="E6" s="165"/>
      <c r="F6" s="165"/>
      <c r="G6" s="166"/>
    </row>
    <row r="7" spans="1:9" s="138" customFormat="1" ht="13.5" customHeight="1">
      <c r="A7" s="161" t="s">
        <v>1406</v>
      </c>
      <c r="B7" s="162" t="s">
        <v>1407</v>
      </c>
      <c r="C7" s="167">
        <f ca="1">ROUND(C6*F7,0)</f>
        <v>16</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7"/>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1"/>
      <c r="H9" s="2102"/>
      <c r="I9" s="2103" t="s">
        <v>1412</v>
      </c>
    </row>
    <row r="10" spans="1:9" s="138" customFormat="1" ht="13.5" customHeight="1">
      <c r="A10" s="171" t="s">
        <v>1413</v>
      </c>
      <c r="B10" s="172" t="s">
        <v>1414</v>
      </c>
      <c r="C10" s="173">
        <f ca="1">ROUND(D10*E10/10000,0)</f>
        <v>272</v>
      </c>
      <c r="D10" s="174">
        <f ca="1">IF(B1="",'数据-汇总表'!E6,IF(INDIRECT("'数据-取费表'!c"&amp;$G$1)="住宅",INDIRECT("'数据-取费表'!s"&amp;$G$1),INDIRECT("'数据-取费表'!k"&amp;$G$1)+INDIRECT("'数据-取费表'!s"&amp;$G$1)))</f>
        <v>13611.27</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13611.27</v>
      </c>
      <c r="E19" s="158">
        <f>'数据-取费表'!B31</f>
        <v>200</v>
      </c>
      <c r="F19" s="180"/>
      <c r="G19" s="2097" t="s">
        <v>1433</v>
      </c>
    </row>
    <row r="20" spans="1:10" s="138" customFormat="1" ht="13.5" customHeight="1">
      <c r="A20" s="156" t="s">
        <v>1434</v>
      </c>
      <c r="B20" s="157" t="s">
        <v>1435</v>
      </c>
      <c r="C20" s="181">
        <f ca="1">ROUND((C5+C19)*F20,0)</f>
        <v>11</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57</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56</v>
      </c>
      <c r="D23" s="191"/>
      <c r="E23" s="191"/>
      <c r="F23" s="192"/>
      <c r="G23" s="193" t="s">
        <v>1444</v>
      </c>
      <c r="J23" s="138">
        <f ca="1">B2/'数据-汇总表'!F31</f>
        <v>0.11577974317885925</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26</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26</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686</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5040</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4573</v>
      </c>
      <c r="D34" s="164"/>
      <c r="E34" s="167"/>
      <c r="F34" s="210">
        <f ca="1">IF('数据-取费表'!B24=0,1,IF(B1="",'数据-取费表'!N16,INDIRECT("'数据-取费表'!n"&amp;$G$1)))</f>
        <v>0.96</v>
      </c>
      <c r="G34" s="166" t="s">
        <v>1464</v>
      </c>
    </row>
    <row r="35" spans="1:7" ht="13.5" customHeight="1">
      <c r="A35" s="189" t="s">
        <v>1406</v>
      </c>
      <c r="B35" s="162" t="s">
        <v>1465</v>
      </c>
      <c r="C35" s="167">
        <f ca="1">ROUND(C34*F35,0)</f>
        <v>137</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261</v>
      </c>
      <c r="D37" s="164">
        <f ca="1">D19</f>
        <v>13611.27</v>
      </c>
      <c r="E37" s="202">
        <f>'数据-取费表'!B35</f>
        <v>200</v>
      </c>
      <c r="F37" s="211"/>
      <c r="G37" s="213" t="s">
        <v>1470</v>
      </c>
    </row>
    <row r="38" spans="1:7" ht="13.5" customHeight="1">
      <c r="A38" s="189" t="s">
        <v>1471</v>
      </c>
      <c r="B38" s="162" t="s">
        <v>878</v>
      </c>
      <c r="C38" s="167">
        <f ca="1">ROUND(C34*F38,0)</f>
        <v>69</v>
      </c>
      <c r="D38" s="167"/>
      <c r="E38" s="167"/>
      <c r="F38" s="211">
        <f>'数据-取费表'!B36</f>
        <v>1.4999999999999999E-2</v>
      </c>
      <c r="G38" s="166" t="s">
        <v>1466</v>
      </c>
    </row>
    <row r="39" spans="1:7" s="138" customFormat="1" ht="13.5" customHeight="1">
      <c r="A39" s="156" t="s">
        <v>1431</v>
      </c>
      <c r="B39" s="157" t="s">
        <v>1435</v>
      </c>
      <c r="C39" s="181">
        <f ca="1">ROUND(C33*F20,0)</f>
        <v>101</v>
      </c>
      <c r="D39" s="181"/>
      <c r="E39" s="181"/>
      <c r="F39" s="2098">
        <f>F20</f>
        <v>0.02</v>
      </c>
      <c r="G39" s="186" t="s">
        <v>1472</v>
      </c>
    </row>
    <row r="40" spans="1:7" s="138" customFormat="1" ht="13.5" customHeight="1">
      <c r="A40" s="156" t="s">
        <v>1434</v>
      </c>
      <c r="B40" s="157" t="s">
        <v>1438</v>
      </c>
      <c r="C40" s="184">
        <f>F21</f>
        <v>0.02</v>
      </c>
      <c r="D40" s="185" t="s">
        <v>1473</v>
      </c>
      <c r="E40" s="181"/>
      <c r="F40" s="2098">
        <f>F21</f>
        <v>0.02</v>
      </c>
      <c r="G40" s="186" t="s">
        <v>1474</v>
      </c>
    </row>
    <row r="41" spans="1:7" s="138" customFormat="1" ht="13.5" customHeight="1">
      <c r="A41" s="156" t="s">
        <v>1437</v>
      </c>
      <c r="B41" s="157" t="s">
        <v>1442</v>
      </c>
      <c r="C41" s="181">
        <f ca="1">ROUND(SUM(C42:C43),0)</f>
        <v>257</v>
      </c>
      <c r="D41" s="184">
        <f>C44</f>
        <v>1E-3</v>
      </c>
      <c r="E41" s="185" t="s">
        <v>1473</v>
      </c>
      <c r="F41" s="2099">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252</v>
      </c>
      <c r="D42" s="191"/>
      <c r="E42" s="191"/>
      <c r="F42" s="192"/>
      <c r="G42" s="3312" t="s">
        <v>1475</v>
      </c>
    </row>
    <row r="43" spans="1:7" ht="13.5" customHeight="1">
      <c r="A43" s="189" t="s">
        <v>1406</v>
      </c>
      <c r="B43" s="162" t="s">
        <v>1445</v>
      </c>
      <c r="C43" s="191">
        <f ca="1">ROUND(IF('数据-取费表'!B22&lt;=1,C39*F22*'数据-取费表'!B21/2,C39*(POWER((1+F22),'数据-取费表'!B21/2)-1)),0)</f>
        <v>5</v>
      </c>
      <c r="D43" s="191"/>
      <c r="E43" s="191"/>
      <c r="F43" s="192"/>
      <c r="G43" s="3313"/>
    </row>
    <row r="44" spans="1:7" ht="13.5" customHeight="1">
      <c r="A44" s="189" t="s">
        <v>1408</v>
      </c>
      <c r="B44" s="162" t="s">
        <v>1447</v>
      </c>
      <c r="C44" s="191">
        <f>ROUND(IF('数据-取费表'!B22&lt;=1,C40*F22*'数据-取费表'!B21/2,C40*(POWER((1+F22),'数据-取费表'!B21/2)-1)),4)</f>
        <v>1E-3</v>
      </c>
      <c r="D44" s="191"/>
      <c r="E44" s="191"/>
      <c r="F44" s="192"/>
      <c r="G44" s="3314"/>
    </row>
    <row r="45" spans="1:7" s="138" customFormat="1" ht="13.5" customHeight="1">
      <c r="A45" s="156" t="s">
        <v>1441</v>
      </c>
      <c r="B45" s="197" t="s">
        <v>1452</v>
      </c>
      <c r="C45" s="198">
        <f ca="1">C46</f>
        <v>257</v>
      </c>
      <c r="D45" s="184">
        <f ca="1">C47</f>
        <v>1E-3</v>
      </c>
      <c r="E45" s="185" t="s">
        <v>1473</v>
      </c>
      <c r="F45" s="2100">
        <f ca="1">F27</f>
        <v>0.05</v>
      </c>
      <c r="G45" s="200" t="s">
        <v>1476</v>
      </c>
    </row>
    <row r="46" spans="1:7" s="138" customFormat="1" ht="13.5" customHeight="1">
      <c r="A46" s="189" t="s">
        <v>1404</v>
      </c>
      <c r="B46" s="201" t="s">
        <v>1477</v>
      </c>
      <c r="C46" s="202">
        <f ca="1">ROUND((C33+C39)*F27,0)</f>
        <v>257</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099">
        <f>F30</f>
        <v>5.5E-2</v>
      </c>
      <c r="G48" s="186" t="s">
        <v>1479</v>
      </c>
    </row>
    <row r="49" spans="1:7" ht="16.5" customHeight="1">
      <c r="A49" s="156" t="s">
        <v>1456</v>
      </c>
      <c r="B49" s="157" t="s">
        <v>1480</v>
      </c>
      <c r="C49" s="181">
        <f ca="1">ROUND((C33+C39+C41+C45)/(1-C40-D41-D45-C48),0)</f>
        <v>6110</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6110</v>
      </c>
      <c r="D51" s="181"/>
      <c r="E51" s="181"/>
      <c r="F51" s="216"/>
      <c r="G51" s="186" t="s">
        <v>1487</v>
      </c>
    </row>
    <row r="52" spans="1:7" s="137" customFormat="1" ht="16.5" thickBot="1">
      <c r="A52" s="217" t="s">
        <v>1488</v>
      </c>
      <c r="B52" s="218"/>
      <c r="C52" s="219">
        <f ca="1">C31+C51</f>
        <v>6796</v>
      </c>
      <c r="D52" s="218"/>
      <c r="E52" s="218"/>
      <c r="F52" s="218"/>
      <c r="G52" s="220"/>
    </row>
    <row r="55" spans="1:7" ht="15">
      <c r="B55" s="221" t="s">
        <v>1489</v>
      </c>
      <c r="C55" s="222"/>
    </row>
    <row r="56" spans="1:7">
      <c r="B56" s="223" t="s">
        <v>1490</v>
      </c>
      <c r="C56" s="225">
        <f ca="1">1-C57</f>
        <v>0.10099999999999998</v>
      </c>
    </row>
    <row r="57" spans="1:7">
      <c r="B57" s="223" t="s">
        <v>1491</v>
      </c>
      <c r="C57" s="224">
        <f ca="1">ROUND(C51/C52,3)</f>
        <v>0.89900000000000002</v>
      </c>
    </row>
  </sheetData>
  <sheetProtection password="CEE9" sheet="1" objects="1" scenarios="1" formatCells="0"/>
  <mergeCells count="1">
    <mergeCell ref="G42:G44"/>
  </mergeCells>
  <phoneticPr fontId="215"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M37" sqref="M37"/>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5.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1955</v>
      </c>
      <c r="B1" s="1187" t="s">
        <v>465</v>
      </c>
      <c r="C1" s="1188" t="s">
        <v>1553</v>
      </c>
      <c r="D1" s="1189" t="s">
        <v>491</v>
      </c>
      <c r="E1" s="1258"/>
      <c r="F1" s="1191" t="s">
        <v>1956</v>
      </c>
      <c r="G1" s="1259" t="s">
        <v>940</v>
      </c>
      <c r="H1" s="1258"/>
      <c r="I1" s="1258"/>
      <c r="J1" s="1258"/>
      <c r="K1" s="1297"/>
      <c r="L1" s="1298"/>
      <c r="M1" s="1299"/>
      <c r="N1" s="1299"/>
      <c r="O1" s="1299"/>
      <c r="P1" s="1300"/>
      <c r="Q1" s="1188"/>
      <c r="R1" s="1188"/>
      <c r="S1" s="1188"/>
      <c r="T1" s="1188"/>
      <c r="U1" s="1188"/>
      <c r="V1" s="1188"/>
      <c r="W1" s="1188"/>
      <c r="X1" s="1188"/>
      <c r="Y1" s="1188"/>
      <c r="Z1" s="1188"/>
      <c r="AA1" s="1188"/>
      <c r="AB1" s="1188"/>
      <c r="AC1" s="1245"/>
    </row>
    <row r="2" spans="1:29" s="854" customFormat="1" ht="28.5" customHeight="1">
      <c r="A2" s="1193" t="s">
        <v>941</v>
      </c>
      <c r="B2" s="1194">
        <f>IF(C2="——",IF(B37="元/平方米",ROUND(C39*D3/10000,0),ROUND(F3*C39/10000,0)),IF(B37="元/平方米",ROUND(C39*D3/10000,0),ROUND(F3*C39/10000,0))-D2)</f>
        <v>3976</v>
      </c>
      <c r="C2" s="1195" t="s">
        <v>124</v>
      </c>
      <c r="D2" s="1196" t="e">
        <f ca="1">SUMIF(INDIRECT("'"&amp;F2&amp;"'"&amp;"!A:A"),"承租人权益价值",INDIRECT("'"&amp;F2&amp;"'"&amp;"!c:c"))</f>
        <v>#REF!</v>
      </c>
      <c r="E2" s="1197" t="s">
        <v>1397</v>
      </c>
      <c r="F2" s="1198"/>
      <c r="G2" s="870"/>
      <c r="H2" s="870"/>
      <c r="I2" s="870"/>
      <c r="J2" s="870"/>
      <c r="K2" s="1017"/>
      <c r="L2" s="1018"/>
      <c r="M2" s="1019"/>
      <c r="N2" s="1019"/>
      <c r="O2" s="1019"/>
      <c r="P2" s="1301"/>
      <c r="Q2" s="866"/>
      <c r="R2" s="866"/>
      <c r="S2" s="866"/>
      <c r="T2" s="866"/>
      <c r="U2" s="866"/>
      <c r="V2" s="866"/>
      <c r="W2" s="866"/>
      <c r="X2" s="866"/>
      <c r="Y2" s="866"/>
      <c r="Z2" s="866"/>
      <c r="AA2" s="866"/>
      <c r="AB2" s="866"/>
      <c r="AC2" s="1080"/>
    </row>
    <row r="3" spans="1:29" s="854" customFormat="1" ht="28.5" customHeight="1">
      <c r="A3" s="151" t="s">
        <v>942</v>
      </c>
      <c r="B3" s="872">
        <f>IF(AND(C2="——",B37="元/平方米"),C39,ROUND(B2*10000/D3,0))</f>
        <v>2921</v>
      </c>
      <c r="C3" s="1199" t="s">
        <v>943</v>
      </c>
      <c r="D3" s="1200">
        <f>SUMIF('数据-汇总表'!$C19:$C33,D1,'数据-汇总表'!$E19:$E33)</f>
        <v>13611.27</v>
      </c>
      <c r="E3" s="1199" t="s">
        <v>1957</v>
      </c>
      <c r="F3" s="1200">
        <f>SUMIF('数据-取费表'!A5:A15,D1,'数据-取费表'!AH5:AH15)</f>
        <v>49403.210000000006</v>
      </c>
      <c r="G3" s="870"/>
      <c r="H3" s="870"/>
      <c r="I3" s="870"/>
      <c r="J3" s="870"/>
      <c r="K3" s="1017"/>
      <c r="L3" s="1018"/>
      <c r="M3" s="1019"/>
      <c r="N3" s="1019"/>
      <c r="O3" s="1019"/>
      <c r="P3" s="1301"/>
      <c r="Q3" s="866"/>
      <c r="R3" s="866"/>
      <c r="S3" s="866"/>
      <c r="T3" s="866"/>
      <c r="U3" s="866"/>
      <c r="V3" s="866"/>
      <c r="W3" s="866"/>
      <c r="X3" s="866"/>
      <c r="Y3" s="866"/>
      <c r="Z3" s="866"/>
      <c r="AA3" s="866"/>
      <c r="AB3" s="1081"/>
      <c r="AC3" s="1080"/>
    </row>
    <row r="4" spans="1:29" ht="15">
      <c r="A4" s="874" t="s">
        <v>944</v>
      </c>
      <c r="B4" s="875"/>
      <c r="C4" s="3315" t="s">
        <v>945</v>
      </c>
      <c r="D4" s="3316"/>
      <c r="E4" s="3317" t="s">
        <v>946</v>
      </c>
      <c r="F4" s="3318"/>
      <c r="G4" s="3315" t="s">
        <v>947</v>
      </c>
      <c r="H4" s="3316"/>
      <c r="I4" s="3315" t="s">
        <v>948</v>
      </c>
      <c r="J4" s="3316"/>
      <c r="K4" s="1020" t="s">
        <v>949</v>
      </c>
      <c r="L4" s="1021"/>
      <c r="M4" s="971"/>
      <c r="N4" s="971"/>
      <c r="O4" s="971"/>
      <c r="P4" s="3341" t="s">
        <v>950</v>
      </c>
      <c r="Q4" s="3342"/>
      <c r="R4" s="3347" t="s">
        <v>946</v>
      </c>
      <c r="S4" s="3348"/>
      <c r="T4" s="3347" t="s">
        <v>947</v>
      </c>
      <c r="U4" s="3348"/>
      <c r="V4" s="3331" t="s">
        <v>948</v>
      </c>
      <c r="W4" s="3331"/>
      <c r="X4" s="1069"/>
      <c r="Y4" s="3347" t="s">
        <v>950</v>
      </c>
      <c r="Z4" s="3348"/>
      <c r="AA4" s="3336" t="s">
        <v>946</v>
      </c>
      <c r="AB4" s="3337" t="s">
        <v>947</v>
      </c>
      <c r="AC4" s="3336" t="s">
        <v>948</v>
      </c>
    </row>
    <row r="5" spans="1:29" ht="15">
      <c r="A5" s="878"/>
      <c r="B5" s="879"/>
      <c r="C5" s="3319" t="s">
        <v>951</v>
      </c>
      <c r="D5" s="3320"/>
      <c r="E5" s="3420" t="s">
        <v>3156</v>
      </c>
      <c r="F5" s="3421"/>
      <c r="G5" s="3422" t="s">
        <v>3157</v>
      </c>
      <c r="H5" s="3421"/>
      <c r="I5" s="3420" t="s">
        <v>4270</v>
      </c>
      <c r="J5" s="3421"/>
      <c r="K5" s="1020"/>
      <c r="L5" s="1021"/>
      <c r="M5" s="971"/>
      <c r="N5" s="971"/>
      <c r="O5" s="971"/>
      <c r="P5" s="3343"/>
      <c r="Q5" s="3344"/>
      <c r="R5" s="3349"/>
      <c r="S5" s="3350"/>
      <c r="T5" s="3349"/>
      <c r="U5" s="3350"/>
      <c r="V5" s="3331"/>
      <c r="W5" s="3331"/>
      <c r="X5" s="1069"/>
      <c r="Y5" s="3349"/>
      <c r="Z5" s="3350"/>
      <c r="AA5" s="3337"/>
      <c r="AB5" s="3337"/>
      <c r="AC5" s="3337"/>
    </row>
    <row r="6" spans="1:29" ht="15">
      <c r="A6" s="880"/>
      <c r="B6" s="881"/>
      <c r="C6" s="3323" t="s">
        <v>952</v>
      </c>
      <c r="D6" s="3324"/>
      <c r="E6" s="3362" t="s">
        <v>1555</v>
      </c>
      <c r="F6" s="3363"/>
      <c r="G6" s="3364" t="s">
        <v>1555</v>
      </c>
      <c r="H6" s="3365"/>
      <c r="I6" s="3364" t="s">
        <v>1555</v>
      </c>
      <c r="J6" s="3365"/>
      <c r="K6" s="1020" t="s">
        <v>953</v>
      </c>
      <c r="L6" s="1021"/>
      <c r="M6" s="971"/>
      <c r="N6" s="971"/>
      <c r="O6" s="971"/>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1201">
        <v>45474</v>
      </c>
      <c r="F7" s="888">
        <f>SUMIF(48:48,YEAR(E7)&amp;"-"&amp;MONTH(E7),49:49)</f>
        <v>100</v>
      </c>
      <c r="G7" s="1201">
        <v>45474</v>
      </c>
      <c r="H7" s="886">
        <f>SUMIF(48:48,YEAR(G7)&amp;"-"&amp;MONTH(G7),49:49)</f>
        <v>100</v>
      </c>
      <c r="I7" s="1201">
        <v>45474</v>
      </c>
      <c r="J7" s="886">
        <f>SUMIF(48:48,YEAR(I7)&amp;"-"&amp;MONTH(I7),49:49)</f>
        <v>100</v>
      </c>
      <c r="K7" s="1025"/>
      <c r="L7" s="1026"/>
      <c r="M7" s="1027"/>
      <c r="N7" s="1027"/>
      <c r="O7" s="1027"/>
      <c r="P7" s="3327" t="s">
        <v>955</v>
      </c>
      <c r="Q7" s="3328"/>
      <c r="R7" s="1070" t="s">
        <v>956</v>
      </c>
      <c r="S7" s="1071">
        <f t="shared" ref="S7:S14" si="0">F7</f>
        <v>100</v>
      </c>
      <c r="T7" s="1070" t="s">
        <v>956</v>
      </c>
      <c r="U7" s="1071">
        <f t="shared" ref="U7:U14" si="1">H7</f>
        <v>100</v>
      </c>
      <c r="V7" s="1070" t="s">
        <v>956</v>
      </c>
      <c r="W7" s="1071">
        <f t="shared" ref="W7:W14" si="2">J7</f>
        <v>100</v>
      </c>
      <c r="X7" s="1072"/>
      <c r="Y7" s="3327" t="s">
        <v>955</v>
      </c>
      <c r="Z7" s="3329"/>
      <c r="AA7" s="1082">
        <f>D7/F7</f>
        <v>1</v>
      </c>
      <c r="AB7" s="1082">
        <f>D7/H7</f>
        <v>1</v>
      </c>
      <c r="AC7" s="1082">
        <f>D7/J7</f>
        <v>1</v>
      </c>
    </row>
    <row r="8" spans="1:29" s="855" customFormat="1" ht="15">
      <c r="A8" s="883" t="s">
        <v>957</v>
      </c>
      <c r="B8" s="884"/>
      <c r="C8" s="890" t="s">
        <v>958</v>
      </c>
      <c r="D8" s="886">
        <v>100</v>
      </c>
      <c r="E8" s="1202" t="s">
        <v>824</v>
      </c>
      <c r="F8" s="888">
        <f>SUMIF(51:51,E8,52:52)-SUMIF(51:51,C8,52:52)+100</f>
        <v>100</v>
      </c>
      <c r="G8" s="1202" t="s">
        <v>824</v>
      </c>
      <c r="H8" s="886">
        <f>SUMIF(51:51,G8,52:52)-SUMIF(51:51,C8,52:52)+100</f>
        <v>100</v>
      </c>
      <c r="I8" s="1202" t="s">
        <v>824</v>
      </c>
      <c r="J8" s="886">
        <f>SUMIF(51:51,I8,52:52)-SUMIF(51:51,C8,52:52)+100</f>
        <v>100</v>
      </c>
      <c r="K8" s="1025"/>
      <c r="L8" s="1026"/>
      <c r="M8" s="1027"/>
      <c r="N8" s="1027"/>
      <c r="O8" s="1027"/>
      <c r="P8" s="3327" t="s">
        <v>959</v>
      </c>
      <c r="Q8" s="3329"/>
      <c r="R8" s="1070" t="s">
        <v>956</v>
      </c>
      <c r="S8" s="1071">
        <f t="shared" si="0"/>
        <v>100</v>
      </c>
      <c r="T8" s="1070" t="s">
        <v>956</v>
      </c>
      <c r="U8" s="1071">
        <f t="shared" si="1"/>
        <v>100</v>
      </c>
      <c r="V8" s="1070" t="s">
        <v>956</v>
      </c>
      <c r="W8" s="1071">
        <f t="shared" si="2"/>
        <v>100</v>
      </c>
      <c r="X8" s="1072"/>
      <c r="Y8" s="3327" t="s">
        <v>959</v>
      </c>
      <c r="Z8" s="3329"/>
      <c r="AA8" s="1082">
        <f t="shared" ref="AA8:AA36" si="3">D8/F8</f>
        <v>1</v>
      </c>
      <c r="AB8" s="1082">
        <f t="shared" ref="AB8:AB36" si="4">D8/H8</f>
        <v>1</v>
      </c>
      <c r="AC8" s="1082">
        <f t="shared" ref="AC8:AC36" si="5">D8/J8</f>
        <v>1</v>
      </c>
    </row>
    <row r="9" spans="1:29" s="855" customFormat="1">
      <c r="A9" s="1260" t="s">
        <v>960</v>
      </c>
      <c r="B9" s="1261" t="s">
        <v>961</v>
      </c>
      <c r="C9" s="1262" t="s">
        <v>465</v>
      </c>
      <c r="D9" s="894">
        <v>100</v>
      </c>
      <c r="E9" s="1204" t="s">
        <v>465</v>
      </c>
      <c r="F9" s="894">
        <f>SUMIF(53:53,E9,54:54)-SUMIF(53:53,C9,54:54)+100</f>
        <v>100</v>
      </c>
      <c r="G9" s="1205" t="s">
        <v>465</v>
      </c>
      <c r="H9" s="894">
        <f>SUMIF(53:53,G9,54:54)-SUMIF(53:53,C9,54:54)+100</f>
        <v>100</v>
      </c>
      <c r="I9" s="1205" t="s">
        <v>465</v>
      </c>
      <c r="J9" s="894">
        <f>SUMIF(53:53,I9,54:54)-SUMIF(53:53,C9,54:54)+100</f>
        <v>100</v>
      </c>
      <c r="K9" s="1025"/>
      <c r="L9" s="1026"/>
      <c r="M9" s="1027"/>
      <c r="N9" s="1027"/>
      <c r="O9" s="1027"/>
      <c r="P9" s="3330" t="s">
        <v>962</v>
      </c>
      <c r="Q9" s="795" t="str">
        <f t="shared" ref="Q9:Q14" si="6">B9</f>
        <v>用途</v>
      </c>
      <c r="R9" s="1070" t="s">
        <v>956</v>
      </c>
      <c r="S9" s="1071">
        <f t="shared" si="0"/>
        <v>100</v>
      </c>
      <c r="T9" s="1070" t="s">
        <v>956</v>
      </c>
      <c r="U9" s="1071">
        <f t="shared" si="1"/>
        <v>100</v>
      </c>
      <c r="V9" s="1070" t="s">
        <v>956</v>
      </c>
      <c r="W9" s="1071">
        <f t="shared" si="2"/>
        <v>100</v>
      </c>
      <c r="X9" s="1072"/>
      <c r="Y9" s="3306" t="s">
        <v>963</v>
      </c>
      <c r="Z9" s="1082" t="str">
        <f t="shared" ref="Z9:Z14" si="7">Q9</f>
        <v>用途</v>
      </c>
      <c r="AA9" s="1082">
        <f t="shared" si="3"/>
        <v>1</v>
      </c>
      <c r="AB9" s="1082">
        <f t="shared" si="4"/>
        <v>1</v>
      </c>
      <c r="AC9" s="1082">
        <f t="shared" si="5"/>
        <v>1</v>
      </c>
    </row>
    <row r="10" spans="1:29" s="856" customFormat="1" ht="27">
      <c r="A10" s="1263"/>
      <c r="B10" s="1264" t="s">
        <v>964</v>
      </c>
      <c r="C10" s="1206" t="s">
        <v>1958</v>
      </c>
      <c r="D10" s="898">
        <v>100</v>
      </c>
      <c r="E10" s="1206" t="s">
        <v>1958</v>
      </c>
      <c r="F10" s="898">
        <f>SUMIF(55:55,E10,56:56)-SUMIF(55:55,C10,56:56)+100</f>
        <v>100</v>
      </c>
      <c r="G10" s="1206" t="s">
        <v>1958</v>
      </c>
      <c r="H10" s="898">
        <f>SUMIF(55:55,G10,56:56)-SUMIF(55:55,C10,56:56)+100</f>
        <v>100</v>
      </c>
      <c r="I10" s="1206" t="s">
        <v>1958</v>
      </c>
      <c r="J10" s="898">
        <f>SUMIF(55:55,I10,56:56)-SUMIF(55:55,C10,56:56)+100</f>
        <v>100</v>
      </c>
      <c r="K10" s="1044">
        <v>1</v>
      </c>
      <c r="L10" s="1031"/>
      <c r="M10" s="1032"/>
      <c r="N10" s="1032"/>
      <c r="O10" s="1032"/>
      <c r="P10" s="333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082">
        <f t="shared" si="5"/>
        <v>1</v>
      </c>
    </row>
    <row r="11" spans="1:29" ht="15">
      <c r="A11" s="1265"/>
      <c r="B11" s="1266">
        <v>111</v>
      </c>
      <c r="C11" s="897"/>
      <c r="D11" s="898">
        <v>100</v>
      </c>
      <c r="E11" s="897"/>
      <c r="F11" s="898">
        <f>SUMIF(57:57,E11,58:58)-SUMIF(57:57,C11,58:58)+100</f>
        <v>100</v>
      </c>
      <c r="G11" s="897"/>
      <c r="H11" s="898">
        <f>SUMIF(57:57,G11,58:58)-SUMIF(57:57,C11,58:58)+100</f>
        <v>100</v>
      </c>
      <c r="I11" s="897"/>
      <c r="J11" s="898">
        <f>SUMIF(57:57,I11,58:58)-SUMIF(57:57,C11,58:58)+100</f>
        <v>100</v>
      </c>
      <c r="K11" s="1043"/>
      <c r="L11" s="1035"/>
      <c r="M11" s="971"/>
      <c r="N11" s="971"/>
      <c r="O11" s="971"/>
      <c r="P11" s="3330"/>
      <c r="Q11" s="795">
        <f t="shared" si="6"/>
        <v>111</v>
      </c>
      <c r="R11" s="1070" t="s">
        <v>956</v>
      </c>
      <c r="S11" s="1071">
        <f t="shared" si="0"/>
        <v>100</v>
      </c>
      <c r="T11" s="1070" t="s">
        <v>956</v>
      </c>
      <c r="U11" s="1071">
        <f t="shared" si="1"/>
        <v>100</v>
      </c>
      <c r="V11" s="1070" t="s">
        <v>956</v>
      </c>
      <c r="W11" s="1071">
        <f t="shared" si="2"/>
        <v>100</v>
      </c>
      <c r="X11" s="1072"/>
      <c r="Y11" s="3306"/>
      <c r="Z11" s="1082">
        <f t="shared" si="7"/>
        <v>111</v>
      </c>
      <c r="AA11" s="1082">
        <f t="shared" si="3"/>
        <v>1</v>
      </c>
      <c r="AB11" s="1082">
        <f t="shared" si="4"/>
        <v>1</v>
      </c>
      <c r="AC11" s="1082">
        <f t="shared" si="5"/>
        <v>1</v>
      </c>
    </row>
    <row r="12" spans="1:29" s="855" customFormat="1" ht="15">
      <c r="A12" s="1267"/>
      <c r="B12" s="1266">
        <v>111</v>
      </c>
      <c r="C12" s="897"/>
      <c r="D12" s="904">
        <v>100</v>
      </c>
      <c r="E12" s="897"/>
      <c r="F12" s="898">
        <f>SUMIF(59:59,E12,60:60)-SUMIF(59:59,C12,60:60)+100</f>
        <v>100</v>
      </c>
      <c r="G12" s="897"/>
      <c r="H12" s="898">
        <f>SUMIF(59:59,G12,60:60)-SUMIF(59:59,C12,60:60)+100</f>
        <v>100</v>
      </c>
      <c r="I12" s="897"/>
      <c r="J12" s="898">
        <f>SUMIF(59:59,I12,60:60)-SUMIF(59:59,C12,60:60)+100</f>
        <v>100</v>
      </c>
      <c r="K12" s="1043"/>
      <c r="L12" s="1026"/>
      <c r="M12" s="1027"/>
      <c r="N12" s="1027"/>
      <c r="O12" s="1027"/>
      <c r="P12" s="333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1268"/>
      <c r="B13" s="1266">
        <v>111</v>
      </c>
      <c r="C13" s="907"/>
      <c r="D13" s="765">
        <v>100</v>
      </c>
      <c r="E13" s="897"/>
      <c r="F13" s="898">
        <f>SUMIF(61:61,E13,62:62)-SUMIF(61:61,C13,62:62)+100</f>
        <v>100</v>
      </c>
      <c r="G13" s="897"/>
      <c r="H13" s="765">
        <f>SUMIF(61:61,G13,62:62)-SUMIF(61:61,C13,62:62)+100</f>
        <v>100</v>
      </c>
      <c r="I13" s="897"/>
      <c r="J13" s="765">
        <f>SUMIF(61:61,I13,62:62)-SUMIF(61:61,C13,62:62)+100</f>
        <v>100</v>
      </c>
      <c r="K13" s="1043"/>
      <c r="L13" s="1037"/>
      <c r="M13" s="971"/>
      <c r="N13" s="971"/>
      <c r="O13" s="971"/>
      <c r="P13" s="333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25.5" customHeight="1">
      <c r="A14" s="874" t="s">
        <v>967</v>
      </c>
      <c r="B14" s="913" t="s">
        <v>973</v>
      </c>
      <c r="C14" s="914" t="str">
        <f>IF(B1="工业",估价对象房地状况!G4,估价对象房地状况!C6)</f>
        <v>一般</v>
      </c>
      <c r="D14" s="915">
        <v>100</v>
      </c>
      <c r="E14" s="1269"/>
      <c r="F14" s="1210">
        <f>SUMIF(63:63,E15,64:64)-SUMIF(63:63,C15,64:64)+100</f>
        <v>100</v>
      </c>
      <c r="G14" s="1270"/>
      <c r="H14" s="915">
        <f>SUMIF(63:63,G15,64:64)-SUMIF(63:63,C15,64:64)+100</f>
        <v>100</v>
      </c>
      <c r="I14" s="1269"/>
      <c r="J14" s="915">
        <f>SUMIF(63:63,I15,64:64)-SUMIF(63:63,C15,64:64)+100</f>
        <v>100</v>
      </c>
      <c r="K14" s="1241">
        <v>5</v>
      </c>
      <c r="L14" s="1037"/>
      <c r="M14" s="971"/>
      <c r="N14" s="971"/>
      <c r="O14" s="971"/>
      <c r="P14" s="3332" t="s">
        <v>969</v>
      </c>
      <c r="Q14" s="641" t="str">
        <f t="shared" si="6"/>
        <v>交通便捷度</v>
      </c>
      <c r="R14" s="1074" t="s">
        <v>956</v>
      </c>
      <c r="S14" s="1075">
        <f t="shared" si="0"/>
        <v>100</v>
      </c>
      <c r="T14" s="1074" t="s">
        <v>956</v>
      </c>
      <c r="U14" s="1075">
        <f t="shared" si="1"/>
        <v>100</v>
      </c>
      <c r="V14" s="1074" t="s">
        <v>956</v>
      </c>
      <c r="W14" s="1075">
        <f t="shared" si="2"/>
        <v>100</v>
      </c>
      <c r="X14" s="1069"/>
      <c r="Y14" s="3332" t="s">
        <v>969</v>
      </c>
      <c r="Z14" s="1058" t="str">
        <f t="shared" si="7"/>
        <v>交通便捷度</v>
      </c>
      <c r="AA14" s="1058">
        <f t="shared" si="3"/>
        <v>1</v>
      </c>
      <c r="AB14" s="1058">
        <f t="shared" si="4"/>
        <v>1</v>
      </c>
      <c r="AC14" s="1058">
        <f t="shared" si="5"/>
        <v>1</v>
      </c>
    </row>
    <row r="15" spans="1:29" ht="15">
      <c r="A15" s="878"/>
      <c r="B15" s="1271"/>
      <c r="C15" s="918" t="s">
        <v>667</v>
      </c>
      <c r="D15" s="919"/>
      <c r="E15" s="918" t="s">
        <v>667</v>
      </c>
      <c r="F15" s="1024"/>
      <c r="G15" s="1272" t="s">
        <v>667</v>
      </c>
      <c r="H15" s="921"/>
      <c r="I15" s="1272" t="s">
        <v>667</v>
      </c>
      <c r="J15" s="919"/>
      <c r="K15" s="1242"/>
      <c r="L15" s="1037"/>
      <c r="M15" s="971"/>
      <c r="N15" s="971"/>
      <c r="O15" s="971"/>
      <c r="P15" s="3333"/>
      <c r="Q15" s="641"/>
      <c r="R15" s="1074"/>
      <c r="S15" s="1075"/>
      <c r="T15" s="1074"/>
      <c r="U15" s="1075"/>
      <c r="V15" s="1074"/>
      <c r="W15" s="1075"/>
      <c r="X15" s="1069"/>
      <c r="Y15" s="3333"/>
      <c r="Z15" s="1058"/>
      <c r="AA15" s="1058">
        <v>1</v>
      </c>
      <c r="AB15" s="1058">
        <v>1</v>
      </c>
      <c r="AC15" s="1058">
        <v>1</v>
      </c>
    </row>
    <row r="16" spans="1:29" ht="15">
      <c r="A16" s="878"/>
      <c r="B16" s="922" t="s">
        <v>976</v>
      </c>
      <c r="C16" s="923" t="str">
        <f>IF(B1="工业",估价对象房地状况!G5,估价对象房地状况!C7)</f>
        <v>一般</v>
      </c>
      <c r="D16" s="925">
        <v>100</v>
      </c>
      <c r="E16" s="1273"/>
      <c r="F16" s="1022">
        <f>SUMIF(65:65,E17,66:66)-SUMIF(65:65,C17,66:66)+100</f>
        <v>105</v>
      </c>
      <c r="G16" s="1273"/>
      <c r="H16" s="925">
        <f>SUMIF(65:65,G17,66:66)-SUMIF(65:65,C17,66:66)+100</f>
        <v>100</v>
      </c>
      <c r="I16" s="1273"/>
      <c r="J16" s="925">
        <f>SUMIF(65:65,I17,66:66)-SUMIF(65:65,C17,66:66)+100</f>
        <v>100</v>
      </c>
      <c r="K16" s="1241">
        <v>5</v>
      </c>
      <c r="L16" s="1037"/>
      <c r="M16" s="971"/>
      <c r="N16" s="971"/>
      <c r="O16" s="971"/>
      <c r="P16" s="3333"/>
      <c r="Q16" s="641" t="str">
        <f>B16</f>
        <v>公共配套设施</v>
      </c>
      <c r="R16" s="1074" t="s">
        <v>956</v>
      </c>
      <c r="S16" s="1075">
        <f>F16</f>
        <v>105</v>
      </c>
      <c r="T16" s="1074" t="s">
        <v>956</v>
      </c>
      <c r="U16" s="1075">
        <f>H16</f>
        <v>100</v>
      </c>
      <c r="V16" s="1074" t="s">
        <v>956</v>
      </c>
      <c r="W16" s="1075">
        <f>J16</f>
        <v>100</v>
      </c>
      <c r="X16" s="1069"/>
      <c r="Y16" s="3333"/>
      <c r="Z16" s="1058" t="str">
        <f>Q16</f>
        <v>公共配套设施</v>
      </c>
      <c r="AA16" s="1058">
        <f t="shared" si="3"/>
        <v>0.95238095238095233</v>
      </c>
      <c r="AB16" s="1058">
        <f t="shared" si="4"/>
        <v>1</v>
      </c>
      <c r="AC16" s="1058">
        <f t="shared" si="5"/>
        <v>1</v>
      </c>
    </row>
    <row r="17" spans="1:29" ht="15">
      <c r="A17" s="878"/>
      <c r="B17" s="926"/>
      <c r="C17" s="1214" t="s">
        <v>667</v>
      </c>
      <c r="D17" s="919"/>
      <c r="E17" s="1214" t="s">
        <v>970</v>
      </c>
      <c r="F17" s="1024"/>
      <c r="G17" s="1214" t="s">
        <v>667</v>
      </c>
      <c r="H17" s="919"/>
      <c r="I17" s="1214" t="s">
        <v>667</v>
      </c>
      <c r="J17" s="919"/>
      <c r="K17" s="1242"/>
      <c r="L17" s="1037"/>
      <c r="M17" s="971"/>
      <c r="N17" s="971"/>
      <c r="O17" s="971"/>
      <c r="P17" s="3333"/>
      <c r="Q17" s="641"/>
      <c r="R17" s="1074"/>
      <c r="S17" s="1075"/>
      <c r="T17" s="1074"/>
      <c r="U17" s="1075"/>
      <c r="V17" s="1074"/>
      <c r="W17" s="1075"/>
      <c r="X17" s="1069"/>
      <c r="Y17" s="3333"/>
      <c r="Z17" s="1058"/>
      <c r="AA17" s="1058">
        <v>1</v>
      </c>
      <c r="AB17" s="1058">
        <v>1</v>
      </c>
      <c r="AC17" s="1058">
        <v>1</v>
      </c>
    </row>
    <row r="18" spans="1:29" ht="15">
      <c r="A18" s="878"/>
      <c r="B18" s="929" t="s">
        <v>977</v>
      </c>
      <c r="C18" s="923" t="str">
        <f>IF(B1="工业",估价对象房地状况!G6,估价对象房地状况!C8)</f>
        <v>七通</v>
      </c>
      <c r="D18" s="921">
        <v>100</v>
      </c>
      <c r="E18" s="1273" t="s">
        <v>236</v>
      </c>
      <c r="F18" s="1022">
        <f>SUMIF(67:67,E19,68:68)-SUMIF(67:67,C19,68:68)+100</f>
        <v>100</v>
      </c>
      <c r="G18" s="1273" t="s">
        <v>236</v>
      </c>
      <c r="H18" s="925">
        <f>SUMIF(67:67,G19,68:68)-SUMIF(67:67,C19,68:68)+100</f>
        <v>100</v>
      </c>
      <c r="I18" s="1273" t="s">
        <v>236</v>
      </c>
      <c r="J18" s="925">
        <f>SUMIF(67:67,I19,68:68)-SUMIF(67:67,C19,68:68)+100</f>
        <v>100</v>
      </c>
      <c r="K18" s="1241">
        <f>'土地比较法-住宅、综合'!K27</f>
        <v>3</v>
      </c>
      <c r="L18" s="1037"/>
      <c r="M18" s="971"/>
      <c r="N18" s="971"/>
      <c r="O18" s="971"/>
      <c r="P18" s="3333"/>
      <c r="Q18" s="641" t="str">
        <f>B18</f>
        <v>基础设施水平</v>
      </c>
      <c r="R18" s="1074" t="s">
        <v>956</v>
      </c>
      <c r="S18" s="1075">
        <f>F18</f>
        <v>100</v>
      </c>
      <c r="T18" s="1074" t="s">
        <v>956</v>
      </c>
      <c r="U18" s="1075">
        <f>H18</f>
        <v>100</v>
      </c>
      <c r="V18" s="1074" t="s">
        <v>956</v>
      </c>
      <c r="W18" s="1075">
        <f>J18</f>
        <v>100</v>
      </c>
      <c r="X18" s="1069"/>
      <c r="Y18" s="3333"/>
      <c r="Z18" s="1058" t="str">
        <f>Q18</f>
        <v>基础设施水平</v>
      </c>
      <c r="AA18" s="1058">
        <f t="shared" ref="AA18" si="8">D18/F18</f>
        <v>1</v>
      </c>
      <c r="AB18" s="1058">
        <f t="shared" ref="AB18" si="9">D18/H18</f>
        <v>1</v>
      </c>
      <c r="AC18" s="1058">
        <f t="shared" ref="AC18" si="10">D18/J18</f>
        <v>1</v>
      </c>
    </row>
    <row r="19" spans="1:29" ht="15">
      <c r="A19" s="878"/>
      <c r="B19" s="929"/>
      <c r="C19" s="1214" t="s">
        <v>236</v>
      </c>
      <c r="D19" s="921"/>
      <c r="E19" s="1274" t="s">
        <v>236</v>
      </c>
      <c r="F19" s="1023"/>
      <c r="G19" s="1274" t="s">
        <v>236</v>
      </c>
      <c r="H19" s="919"/>
      <c r="I19" s="1274" t="s">
        <v>236</v>
      </c>
      <c r="J19" s="919"/>
      <c r="K19" s="1243"/>
      <c r="L19" s="1037"/>
      <c r="M19" s="971"/>
      <c r="N19" s="971"/>
      <c r="O19" s="971"/>
      <c r="P19" s="3333"/>
      <c r="Q19" s="641"/>
      <c r="R19" s="1074"/>
      <c r="S19" s="1075"/>
      <c r="T19" s="1074"/>
      <c r="U19" s="1075"/>
      <c r="V19" s="1074"/>
      <c r="W19" s="1075"/>
      <c r="X19" s="1069"/>
      <c r="Y19" s="3333"/>
      <c r="Z19" s="1058"/>
      <c r="AA19" s="1058">
        <v>1</v>
      </c>
      <c r="AB19" s="1058">
        <v>1</v>
      </c>
      <c r="AC19" s="1058">
        <v>1</v>
      </c>
    </row>
    <row r="20" spans="1:29" ht="15">
      <c r="A20" s="878"/>
      <c r="B20" s="922" t="s">
        <v>1557</v>
      </c>
      <c r="C20" s="923" t="str">
        <f>IF(B1="工业",估价对象房地状况!G7,估价对象房地状况!C9)</f>
        <v>一般</v>
      </c>
      <c r="D20" s="925">
        <v>100</v>
      </c>
      <c r="E20" s="1275"/>
      <c r="F20" s="1022">
        <f>SUMIF(69:69,E21,70:70)-SUMIF(69:69,C21,70:70)+100</f>
        <v>105</v>
      </c>
      <c r="G20" s="1275"/>
      <c r="H20" s="921">
        <f>SUMIF(69:69,G21,70:70)-SUMIF(69:69,C21,70:70)+100</f>
        <v>105</v>
      </c>
      <c r="I20" s="1275"/>
      <c r="J20" s="921">
        <f>SUMIF(69:69,I21,70:70)-SUMIF(69:69,C21,70:70)+100</f>
        <v>100</v>
      </c>
      <c r="K20" s="1241">
        <v>5</v>
      </c>
      <c r="L20" s="1037"/>
      <c r="M20" s="971"/>
      <c r="N20" s="971"/>
      <c r="O20" s="971"/>
      <c r="P20" s="3333"/>
      <c r="Q20" s="641" t="str">
        <f>B20</f>
        <v>自然及人文环境</v>
      </c>
      <c r="R20" s="1074" t="s">
        <v>956</v>
      </c>
      <c r="S20" s="1075">
        <f>F20</f>
        <v>105</v>
      </c>
      <c r="T20" s="1074" t="s">
        <v>956</v>
      </c>
      <c r="U20" s="1075">
        <f>H20</f>
        <v>105</v>
      </c>
      <c r="V20" s="1074" t="s">
        <v>956</v>
      </c>
      <c r="W20" s="1075">
        <f>J20</f>
        <v>100</v>
      </c>
      <c r="X20" s="1069"/>
      <c r="Y20" s="3333"/>
      <c r="Z20" s="1058" t="str">
        <f>Q20</f>
        <v>自然及人文环境</v>
      </c>
      <c r="AA20" s="1058">
        <f t="shared" si="3"/>
        <v>0.95238095238095233</v>
      </c>
      <c r="AB20" s="1058">
        <f t="shared" si="4"/>
        <v>0.95238095238095233</v>
      </c>
      <c r="AC20" s="1058">
        <f t="shared" si="5"/>
        <v>1</v>
      </c>
    </row>
    <row r="21" spans="1:29" ht="15">
      <c r="A21" s="878"/>
      <c r="B21" s="926"/>
      <c r="C21" s="918" t="s">
        <v>667</v>
      </c>
      <c r="D21" s="919"/>
      <c r="E21" s="918" t="s">
        <v>970</v>
      </c>
      <c r="F21" s="1024"/>
      <c r="G21" s="1272" t="s">
        <v>970</v>
      </c>
      <c r="H21" s="919"/>
      <c r="I21" s="1272" t="s">
        <v>667</v>
      </c>
      <c r="J21" s="919"/>
      <c r="K21" s="1242"/>
      <c r="L21" s="1037"/>
      <c r="M21" s="971"/>
      <c r="N21" s="971"/>
      <c r="O21" s="971"/>
      <c r="P21" s="3333"/>
      <c r="Q21" s="641"/>
      <c r="R21" s="1074"/>
      <c r="S21" s="1075"/>
      <c r="T21" s="1074"/>
      <c r="U21" s="1075"/>
      <c r="V21" s="1074"/>
      <c r="W21" s="1075"/>
      <c r="X21" s="1069"/>
      <c r="Y21" s="3333"/>
      <c r="Z21" s="1058"/>
      <c r="AA21" s="1058">
        <v>1</v>
      </c>
      <c r="AB21" s="1058">
        <v>1</v>
      </c>
      <c r="AC21" s="1058">
        <v>1</v>
      </c>
    </row>
    <row r="22" spans="1:29" ht="15">
      <c r="A22" s="878"/>
      <c r="B22" s="922" t="s">
        <v>1939</v>
      </c>
      <c r="C22" s="932" t="s">
        <v>457</v>
      </c>
      <c r="D22" s="921">
        <v>100</v>
      </c>
      <c r="E22" s="932" t="s">
        <v>457</v>
      </c>
      <c r="F22" s="1053">
        <f>SUMIF(71:71,E22,72:72)-SUMIF(71:71,C22,72:72)+100</f>
        <v>100</v>
      </c>
      <c r="G22" s="932" t="s">
        <v>457</v>
      </c>
      <c r="H22" s="765">
        <f>SUMIF(71:71,G22,72:72)-SUMIF(71:71,C22,72:72)+100</f>
        <v>100</v>
      </c>
      <c r="I22" s="932" t="s">
        <v>457</v>
      </c>
      <c r="J22" s="765">
        <f>SUMIF(71:71,I22,72:72)-SUMIF(71:71,C22,72:72)+100</f>
        <v>100</v>
      </c>
      <c r="K22" s="1044">
        <v>2</v>
      </c>
      <c r="L22" s="1037"/>
      <c r="M22" s="971"/>
      <c r="N22" s="971"/>
      <c r="O22" s="971"/>
      <c r="P22" s="3333"/>
      <c r="Q22" s="641" t="str">
        <f>B22</f>
        <v>楼层</v>
      </c>
      <c r="R22" s="1074" t="s">
        <v>956</v>
      </c>
      <c r="S22" s="1075">
        <f>F22</f>
        <v>100</v>
      </c>
      <c r="T22" s="1074" t="s">
        <v>956</v>
      </c>
      <c r="U22" s="1075">
        <f>H22</f>
        <v>100</v>
      </c>
      <c r="V22" s="1074" t="s">
        <v>956</v>
      </c>
      <c r="W22" s="1075">
        <f>J22</f>
        <v>100</v>
      </c>
      <c r="X22" s="1069"/>
      <c r="Y22" s="3333"/>
      <c r="Z22" s="1058" t="str">
        <f>Q22</f>
        <v>楼层</v>
      </c>
      <c r="AA22" s="1058">
        <f t="shared" si="3"/>
        <v>1</v>
      </c>
      <c r="AB22" s="1058">
        <f t="shared" si="4"/>
        <v>1</v>
      </c>
      <c r="AC22" s="1058">
        <f t="shared" si="5"/>
        <v>1</v>
      </c>
    </row>
    <row r="23" spans="1:29" ht="15">
      <c r="A23" s="878"/>
      <c r="B23" s="1139">
        <v>111</v>
      </c>
      <c r="C23" s="897"/>
      <c r="D23" s="765">
        <v>100</v>
      </c>
      <c r="E23" s="1276"/>
      <c r="F23" s="1053">
        <f>SUMIF(73:73,E23,74:74)-SUMIF(73:73,C23,74:74)+100</f>
        <v>100</v>
      </c>
      <c r="G23" s="1276"/>
      <c r="H23" s="765">
        <f>SUMIF(73:73,G23,74:74)-SUMIF(73:73,C23,74:74)+100</f>
        <v>100</v>
      </c>
      <c r="I23" s="1276"/>
      <c r="J23" s="765">
        <f>SUMIF(73:73,I23,74:74)-SUMIF(73:73,C23,74:74)+100</f>
        <v>100</v>
      </c>
      <c r="K23" s="1043"/>
      <c r="L23" s="1037"/>
      <c r="M23" s="971"/>
      <c r="N23" s="971"/>
      <c r="O23" s="971"/>
      <c r="P23" s="3333"/>
      <c r="Q23" s="641">
        <f>B23</f>
        <v>111</v>
      </c>
      <c r="R23" s="1074" t="s">
        <v>956</v>
      </c>
      <c r="S23" s="1075">
        <f>F23</f>
        <v>100</v>
      </c>
      <c r="T23" s="1074" t="s">
        <v>956</v>
      </c>
      <c r="U23" s="1075">
        <f>H23</f>
        <v>100</v>
      </c>
      <c r="V23" s="1074" t="s">
        <v>956</v>
      </c>
      <c r="W23" s="1075">
        <f>J23</f>
        <v>100</v>
      </c>
      <c r="X23" s="1069"/>
      <c r="Y23" s="3333"/>
      <c r="Z23" s="1058">
        <f>Q23</f>
        <v>111</v>
      </c>
      <c r="AA23" s="1058">
        <f t="shared" si="3"/>
        <v>1</v>
      </c>
      <c r="AB23" s="1058">
        <f t="shared" si="4"/>
        <v>1</v>
      </c>
      <c r="AC23" s="1058">
        <f t="shared" si="5"/>
        <v>1</v>
      </c>
    </row>
    <row r="24" spans="1:29" ht="15">
      <c r="A24" s="878"/>
      <c r="B24" s="1139">
        <v>111</v>
      </c>
      <c r="C24" s="897"/>
      <c r="D24" s="765">
        <v>100</v>
      </c>
      <c r="E24" s="1276"/>
      <c r="F24" s="1053">
        <f>SUMIF(75:75,E24,76:76)-SUMIF(75:75,C24,76:76)+100</f>
        <v>100</v>
      </c>
      <c r="G24" s="1276"/>
      <c r="H24" s="765">
        <f>SUMIF(75:75,G24,76:76)-SUMIF(75:75,C24,76:76)+100</f>
        <v>100</v>
      </c>
      <c r="I24" s="1276"/>
      <c r="J24" s="765">
        <f>SUMIF(75:75,I24,76:76)-SUMIF(75:75,C24,76:76)+100</f>
        <v>100</v>
      </c>
      <c r="K24" s="1043"/>
      <c r="L24" s="1037"/>
      <c r="M24" s="971"/>
      <c r="N24" s="971"/>
      <c r="O24" s="971"/>
      <c r="P24" s="3333"/>
      <c r="Q24" s="641">
        <f t="shared" ref="Q24:Q36" si="11">B24</f>
        <v>111</v>
      </c>
      <c r="R24" s="1074" t="s">
        <v>956</v>
      </c>
      <c r="S24" s="1075">
        <f>F24</f>
        <v>100</v>
      </c>
      <c r="T24" s="1074" t="s">
        <v>956</v>
      </c>
      <c r="U24" s="1075">
        <f>H24</f>
        <v>100</v>
      </c>
      <c r="V24" s="1074" t="s">
        <v>956</v>
      </c>
      <c r="W24" s="1075">
        <f>J24</f>
        <v>100</v>
      </c>
      <c r="X24" s="1069"/>
      <c r="Y24" s="3333"/>
      <c r="Z24" s="1058">
        <f>Q24</f>
        <v>111</v>
      </c>
      <c r="AA24" s="1058">
        <f t="shared" si="3"/>
        <v>1</v>
      </c>
      <c r="AB24" s="1058">
        <f t="shared" si="4"/>
        <v>1</v>
      </c>
      <c r="AC24" s="1058">
        <f t="shared" si="5"/>
        <v>1</v>
      </c>
    </row>
    <row r="25" spans="1:29" s="855" customFormat="1" ht="15">
      <c r="A25" s="928"/>
      <c r="B25" s="1277">
        <v>111</v>
      </c>
      <c r="C25" s="910"/>
      <c r="D25" s="1278">
        <v>100</v>
      </c>
      <c r="E25" s="1279"/>
      <c r="F25" s="1280">
        <f>SUMIF(77:77,E25,78:78)-SUMIF(77:77,C25,78:78)+100</f>
        <v>100</v>
      </c>
      <c r="G25" s="1279"/>
      <c r="H25" s="1278">
        <f>SUMIF(77:77,G25,78:78)-SUMIF(77:77,C25,78:78)+100</f>
        <v>100</v>
      </c>
      <c r="I25" s="1279"/>
      <c r="J25" s="1278">
        <f>SUMIF(77:77,I25,78:78)-SUMIF(77:77,C25,78:78)+100</f>
        <v>100</v>
      </c>
      <c r="K25" s="1043"/>
      <c r="L25" s="1026"/>
      <c r="M25" s="1027"/>
      <c r="N25" s="1027"/>
      <c r="O25" s="1027"/>
      <c r="P25" s="3333"/>
      <c r="Q25" s="795">
        <f t="shared" si="11"/>
        <v>111</v>
      </c>
      <c r="R25" s="1070" t="s">
        <v>956</v>
      </c>
      <c r="S25" s="1071">
        <f>F25</f>
        <v>100</v>
      </c>
      <c r="T25" s="1070" t="s">
        <v>956</v>
      </c>
      <c r="U25" s="1071">
        <f>H25</f>
        <v>100</v>
      </c>
      <c r="V25" s="1070" t="s">
        <v>956</v>
      </c>
      <c r="W25" s="1071">
        <f>J25</f>
        <v>100</v>
      </c>
      <c r="X25" s="1072"/>
      <c r="Y25" s="3333"/>
      <c r="Z25" s="1082">
        <f>Q25</f>
        <v>111</v>
      </c>
      <c r="AA25" s="1058">
        <f t="shared" si="3"/>
        <v>1</v>
      </c>
      <c r="AB25" s="1058">
        <f t="shared" si="4"/>
        <v>1</v>
      </c>
      <c r="AC25" s="1058">
        <f t="shared" si="5"/>
        <v>1</v>
      </c>
    </row>
    <row r="26" spans="1:29" ht="15">
      <c r="A26" s="1281" t="s">
        <v>983</v>
      </c>
      <c r="B26" s="894" t="s">
        <v>1959</v>
      </c>
      <c r="C26" s="1282" t="str">
        <f>B1</f>
        <v>车库</v>
      </c>
      <c r="D26" s="919">
        <v>100</v>
      </c>
      <c r="E26" s="1272" t="s">
        <v>465</v>
      </c>
      <c r="F26" s="1024">
        <f>SUMIF(79:79,E26,80:80)-SUMIF(79:79,C26,80:80)+100</f>
        <v>100</v>
      </c>
      <c r="G26" s="1272" t="s">
        <v>465</v>
      </c>
      <c r="H26" s="919">
        <f>SUMIF(79:79,G26,80:80)-SUMIF(79:79,C26,80:80)+100</f>
        <v>100</v>
      </c>
      <c r="I26" s="1272" t="s">
        <v>465</v>
      </c>
      <c r="J26" s="919">
        <f>SUMIF(79:79,I26,80:80)-SUMIF(79:79,C26,80:80)+100</f>
        <v>100</v>
      </c>
      <c r="K26" s="1044">
        <v>2</v>
      </c>
      <c r="L26" s="1037"/>
      <c r="M26" s="971"/>
      <c r="N26" s="971"/>
      <c r="O26" s="971"/>
      <c r="P26" s="3334" t="s">
        <v>982</v>
      </c>
      <c r="Q26" s="641" t="str">
        <f t="shared" si="11"/>
        <v>配套类型</v>
      </c>
      <c r="R26" s="1074" t="s">
        <v>956</v>
      </c>
      <c r="S26" s="1075">
        <f t="shared" ref="S26:S36" si="12">F26</f>
        <v>100</v>
      </c>
      <c r="T26" s="1074" t="s">
        <v>956</v>
      </c>
      <c r="U26" s="1075">
        <f t="shared" ref="U26:U36" si="13">H26</f>
        <v>100</v>
      </c>
      <c r="V26" s="1074" t="s">
        <v>956</v>
      </c>
      <c r="W26" s="1075">
        <f t="shared" ref="W26:W36" si="14">J26</f>
        <v>100</v>
      </c>
      <c r="X26" s="1069"/>
      <c r="Y26" s="3335" t="s">
        <v>982</v>
      </c>
      <c r="Z26" s="1058" t="str">
        <f t="shared" ref="Z26:Z36" si="15">Q26</f>
        <v>配套类型</v>
      </c>
      <c r="AA26" s="1058">
        <f t="shared" si="3"/>
        <v>1</v>
      </c>
      <c r="AB26" s="1058">
        <f t="shared" si="4"/>
        <v>1</v>
      </c>
      <c r="AC26" s="1058">
        <f t="shared" si="5"/>
        <v>1</v>
      </c>
    </row>
    <row r="27" spans="1:29" s="857" customFormat="1" ht="15">
      <c r="A27" s="1283"/>
      <c r="B27" s="898" t="s">
        <v>1960</v>
      </c>
      <c r="C27" s="1284"/>
      <c r="D27" s="898">
        <v>100</v>
      </c>
      <c r="E27" s="1285"/>
      <c r="F27" s="1053">
        <f>SUMIF(81:81,E27,82:82)-SUMIF(81:81,C27,82:82)+100</f>
        <v>100</v>
      </c>
      <c r="G27" s="1285"/>
      <c r="H27" s="765">
        <f>SUMIF(81:81,G27,82:82)-SUMIF(81:81,C27,82:82)+100</f>
        <v>100</v>
      </c>
      <c r="I27" s="1285"/>
      <c r="J27" s="765">
        <f>SUMIF(81:81,I27,82:82)-SUMIF(81:81,C27,82:82)+100</f>
        <v>100</v>
      </c>
      <c r="K27" s="1043"/>
      <c r="L27" s="1035"/>
      <c r="M27" s="1045"/>
      <c r="N27" s="1045"/>
      <c r="O27" s="1045"/>
      <c r="P27" s="3335"/>
      <c r="Q27" s="1244" t="str">
        <f t="shared" si="11"/>
        <v>项目停车位配比</v>
      </c>
      <c r="R27" s="1076" t="s">
        <v>956</v>
      </c>
      <c r="S27" s="1077">
        <f t="shared" si="12"/>
        <v>100</v>
      </c>
      <c r="T27" s="1076" t="s">
        <v>956</v>
      </c>
      <c r="U27" s="1077">
        <f t="shared" si="13"/>
        <v>100</v>
      </c>
      <c r="V27" s="1076" t="s">
        <v>956</v>
      </c>
      <c r="W27" s="1077">
        <f t="shared" si="14"/>
        <v>100</v>
      </c>
      <c r="X27" s="1078"/>
      <c r="Y27" s="3335"/>
      <c r="Z27" s="1083" t="str">
        <f t="shared" si="15"/>
        <v>项目停车位配比</v>
      </c>
      <c r="AA27" s="1058">
        <f t="shared" si="3"/>
        <v>1</v>
      </c>
      <c r="AB27" s="1058">
        <f t="shared" si="4"/>
        <v>1</v>
      </c>
      <c r="AC27" s="1058">
        <f t="shared" si="5"/>
        <v>1</v>
      </c>
    </row>
    <row r="28" spans="1:29" ht="15">
      <c r="A28" s="1286"/>
      <c r="B28" s="898" t="s">
        <v>1567</v>
      </c>
      <c r="C28" s="1222" t="s">
        <v>1568</v>
      </c>
      <c r="D28" s="765">
        <v>100</v>
      </c>
      <c r="E28" s="1222" t="s">
        <v>1568</v>
      </c>
      <c r="F28" s="1053">
        <f>SUMIF(83:83,E28,84:84)-SUMIF(83:83,C28,84:84)+100</f>
        <v>100</v>
      </c>
      <c r="G28" s="1222" t="s">
        <v>1568</v>
      </c>
      <c r="H28" s="765">
        <f>SUMIF(83:83,G28,84:84)-SUMIF(83:83,C28,84:84)+100</f>
        <v>100</v>
      </c>
      <c r="I28" s="1222" t="s">
        <v>1568</v>
      </c>
      <c r="J28" s="765">
        <f>SUMIF(83:83,I28,84:84)-SUMIF(83:83,C28,84:84)+100</f>
        <v>100</v>
      </c>
      <c r="K28" s="1044">
        <v>2</v>
      </c>
      <c r="L28" s="1037"/>
      <c r="M28" s="971"/>
      <c r="N28" s="971"/>
      <c r="O28" s="971"/>
      <c r="P28" s="3335"/>
      <c r="Q28" s="641" t="str">
        <f t="shared" si="11"/>
        <v>公共部分装修</v>
      </c>
      <c r="R28" s="1074" t="s">
        <v>956</v>
      </c>
      <c r="S28" s="1075">
        <f t="shared" si="12"/>
        <v>100</v>
      </c>
      <c r="T28" s="1074" t="s">
        <v>956</v>
      </c>
      <c r="U28" s="1075">
        <f t="shared" si="13"/>
        <v>100</v>
      </c>
      <c r="V28" s="1074" t="s">
        <v>956</v>
      </c>
      <c r="W28" s="1075">
        <f t="shared" si="14"/>
        <v>100</v>
      </c>
      <c r="X28" s="1069"/>
      <c r="Y28" s="3335"/>
      <c r="Z28" s="1058" t="str">
        <f t="shared" si="15"/>
        <v>公共部分装修</v>
      </c>
      <c r="AA28" s="1058">
        <f t="shared" si="3"/>
        <v>1</v>
      </c>
      <c r="AB28" s="1058">
        <f t="shared" si="4"/>
        <v>1</v>
      </c>
      <c r="AC28" s="1058">
        <f t="shared" si="5"/>
        <v>1</v>
      </c>
    </row>
    <row r="29" spans="1:29" ht="15">
      <c r="A29" s="1286"/>
      <c r="B29" s="898" t="s">
        <v>1961</v>
      </c>
      <c r="C29" s="1287">
        <v>1</v>
      </c>
      <c r="D29" s="765">
        <v>100</v>
      </c>
      <c r="E29" s="1287">
        <v>1</v>
      </c>
      <c r="F29" s="1053">
        <f>LOOKUP(E29,86:86,87:87)-LOOKUP(C29,86:86,87:87)+100</f>
        <v>100</v>
      </c>
      <c r="G29" s="1287">
        <v>1</v>
      </c>
      <c r="H29" s="1053">
        <f>LOOKUP(G29,86:86,87:87)-LOOKUP(C29,86:86,87:87)+100</f>
        <v>100</v>
      </c>
      <c r="I29" s="1287">
        <v>1</v>
      </c>
      <c r="J29" s="765">
        <f>LOOKUP(I29,86:86,87:87)-LOOKUP(C29,86:86,87:87)+100</f>
        <v>100</v>
      </c>
      <c r="K29" s="1044">
        <v>1</v>
      </c>
      <c r="L29" s="1037"/>
      <c r="M29" s="971"/>
      <c r="N29" s="971"/>
      <c r="O29" s="971"/>
      <c r="P29" s="3335"/>
      <c r="Q29" s="641" t="str">
        <f t="shared" si="11"/>
        <v>成新率</v>
      </c>
      <c r="R29" s="1074" t="s">
        <v>956</v>
      </c>
      <c r="S29" s="1075">
        <f t="shared" si="12"/>
        <v>100</v>
      </c>
      <c r="T29" s="1074" t="s">
        <v>956</v>
      </c>
      <c r="U29" s="1075">
        <f t="shared" si="13"/>
        <v>100</v>
      </c>
      <c r="V29" s="1074" t="s">
        <v>956</v>
      </c>
      <c r="W29" s="1075">
        <f t="shared" si="14"/>
        <v>100</v>
      </c>
      <c r="X29" s="1069"/>
      <c r="Y29" s="3335"/>
      <c r="Z29" s="1058" t="str">
        <f t="shared" si="15"/>
        <v>成新率</v>
      </c>
      <c r="AA29" s="1058">
        <f t="shared" si="3"/>
        <v>1</v>
      </c>
      <c r="AB29" s="1058">
        <f t="shared" si="4"/>
        <v>1</v>
      </c>
      <c r="AC29" s="1058">
        <f t="shared" si="5"/>
        <v>1</v>
      </c>
    </row>
    <row r="30" spans="1:29" ht="15">
      <c r="A30" s="1286"/>
      <c r="B30" s="898" t="s">
        <v>1962</v>
      </c>
      <c r="C30" s="1223" t="s">
        <v>1570</v>
      </c>
      <c r="D30" s="765">
        <v>100</v>
      </c>
      <c r="E30" s="1288" t="s">
        <v>1570</v>
      </c>
      <c r="F30" s="1053">
        <f>SUMIF(88:88,E30,89:89)-SUMIF(88:88,C30,89:89)+100</f>
        <v>100</v>
      </c>
      <c r="G30" s="1288" t="s">
        <v>1570</v>
      </c>
      <c r="H30" s="765">
        <f>SUMIF(88:88,E30,89:89)-SUMIF(88:88,C30,89:89)+100</f>
        <v>100</v>
      </c>
      <c r="I30" s="1288" t="s">
        <v>1570</v>
      </c>
      <c r="J30" s="765">
        <f>SUMIF(88:88,E30,89:89)-SUMIF(88:88,C30,89:89)+100</f>
        <v>100</v>
      </c>
      <c r="K30" s="1044">
        <v>2</v>
      </c>
      <c r="L30" s="1037"/>
      <c r="M30" s="971"/>
      <c r="N30" s="971"/>
      <c r="O30" s="971"/>
      <c r="P30" s="3335"/>
      <c r="Q30" s="641" t="str">
        <f t="shared" si="11"/>
        <v>物业等级</v>
      </c>
      <c r="R30" s="1074" t="s">
        <v>956</v>
      </c>
      <c r="S30" s="1075">
        <f t="shared" si="12"/>
        <v>100</v>
      </c>
      <c r="T30" s="1074" t="s">
        <v>956</v>
      </c>
      <c r="U30" s="1075">
        <f t="shared" si="13"/>
        <v>100</v>
      </c>
      <c r="V30" s="1074" t="s">
        <v>956</v>
      </c>
      <c r="W30" s="1075">
        <f t="shared" si="14"/>
        <v>100</v>
      </c>
      <c r="X30" s="1069"/>
      <c r="Y30" s="3335"/>
      <c r="Z30" s="1058" t="str">
        <f t="shared" si="15"/>
        <v>物业等级</v>
      </c>
      <c r="AA30" s="1058">
        <f t="shared" si="3"/>
        <v>1</v>
      </c>
      <c r="AB30" s="1058">
        <f t="shared" si="4"/>
        <v>1</v>
      </c>
      <c r="AC30" s="1058">
        <f t="shared" si="5"/>
        <v>1</v>
      </c>
    </row>
    <row r="31" spans="1:29" s="855" customFormat="1" ht="15">
      <c r="A31" s="1289"/>
      <c r="B31" s="898" t="s">
        <v>1963</v>
      </c>
      <c r="C31" s="1207">
        <v>28.23</v>
      </c>
      <c r="D31" s="898">
        <v>100</v>
      </c>
      <c r="E31" s="1285">
        <v>37.47</v>
      </c>
      <c r="F31" s="1053">
        <f>LOOKUP(E31,91:91,92:92)-LOOKUP(C31,91:91,92:92)+100</f>
        <v>102</v>
      </c>
      <c r="G31" s="1285">
        <v>46</v>
      </c>
      <c r="H31" s="765">
        <f>LOOKUP(G31,91:91,92:92)-LOOKUP(C31,91:91,92:92)+100</f>
        <v>104</v>
      </c>
      <c r="I31" s="1285">
        <v>32.700000000000003</v>
      </c>
      <c r="J31" s="765">
        <f>LOOKUP(I31,91:91,92:92)-LOOKUP(C31,91:91,92:92)+100</f>
        <v>102</v>
      </c>
      <c r="K31" s="1044"/>
      <c r="L31" s="1026"/>
      <c r="M31" s="1027"/>
      <c r="N31" s="1027"/>
      <c r="O31" s="1027"/>
      <c r="P31" s="3335"/>
      <c r="Q31" s="795" t="str">
        <f t="shared" si="11"/>
        <v>停车位面积</v>
      </c>
      <c r="R31" s="1070" t="s">
        <v>956</v>
      </c>
      <c r="S31" s="1071">
        <f t="shared" si="12"/>
        <v>102</v>
      </c>
      <c r="T31" s="1070" t="s">
        <v>956</v>
      </c>
      <c r="U31" s="1071">
        <f t="shared" si="13"/>
        <v>104</v>
      </c>
      <c r="V31" s="1070" t="s">
        <v>956</v>
      </c>
      <c r="W31" s="1071">
        <f t="shared" si="14"/>
        <v>102</v>
      </c>
      <c r="X31" s="1072"/>
      <c r="Y31" s="3335"/>
      <c r="Z31" s="1082" t="str">
        <f t="shared" si="15"/>
        <v>停车位面积</v>
      </c>
      <c r="AA31" s="1082">
        <f t="shared" si="3"/>
        <v>0.98039215686274506</v>
      </c>
      <c r="AB31" s="1082">
        <f t="shared" si="4"/>
        <v>0.96153846153846156</v>
      </c>
      <c r="AC31" s="1082">
        <f t="shared" si="5"/>
        <v>0.98039215686274506</v>
      </c>
    </row>
    <row r="32" spans="1:29" ht="15">
      <c r="A32" s="1286"/>
      <c r="B32" s="898" t="s">
        <v>1964</v>
      </c>
      <c r="C32" s="1222" t="s">
        <v>1965</v>
      </c>
      <c r="D32" s="765">
        <v>100</v>
      </c>
      <c r="E32" s="1290" t="s">
        <v>1965</v>
      </c>
      <c r="F32" s="1053">
        <f>SUMIF(93:93,E32,94:94)-SUMIF(93:93,C32,94:94)+100</f>
        <v>100</v>
      </c>
      <c r="G32" s="1290" t="s">
        <v>1965</v>
      </c>
      <c r="H32" s="765">
        <f>SUMIF(93:93,G32,94:94)-SUMIF(93:93,C32,94:94)+100</f>
        <v>100</v>
      </c>
      <c r="I32" s="1290" t="s">
        <v>1965</v>
      </c>
      <c r="J32" s="765">
        <f>SUMIF(93:93,I32,94:94)-SUMIF(93:93,C32,94:94)+100</f>
        <v>100</v>
      </c>
      <c r="K32" s="1044">
        <v>2</v>
      </c>
      <c r="L32" s="1037"/>
      <c r="M32" s="971"/>
      <c r="N32" s="971"/>
      <c r="O32" s="971"/>
      <c r="P32" s="3335" t="s">
        <v>982</v>
      </c>
      <c r="Q32" s="641" t="str">
        <f t="shared" si="11"/>
        <v>车位类型</v>
      </c>
      <c r="R32" s="1074" t="s">
        <v>956</v>
      </c>
      <c r="S32" s="1075">
        <f t="shared" si="12"/>
        <v>100</v>
      </c>
      <c r="T32" s="1074" t="s">
        <v>956</v>
      </c>
      <c r="U32" s="1075">
        <f t="shared" si="13"/>
        <v>100</v>
      </c>
      <c r="V32" s="1074" t="s">
        <v>956</v>
      </c>
      <c r="W32" s="1075">
        <f t="shared" si="14"/>
        <v>100</v>
      </c>
      <c r="X32" s="1069"/>
      <c r="Y32" s="3335" t="s">
        <v>982</v>
      </c>
      <c r="Z32" s="1058" t="str">
        <f t="shared" si="15"/>
        <v>车位类型</v>
      </c>
      <c r="AA32" s="1058">
        <f t="shared" si="3"/>
        <v>1</v>
      </c>
      <c r="AB32" s="1058">
        <f t="shared" si="4"/>
        <v>1</v>
      </c>
      <c r="AC32" s="1058">
        <f t="shared" si="5"/>
        <v>1</v>
      </c>
    </row>
    <row r="33" spans="1:29" ht="15">
      <c r="A33" s="1286"/>
      <c r="B33" s="898" t="s">
        <v>1966</v>
      </c>
      <c r="C33" s="1222"/>
      <c r="D33" s="765">
        <v>100</v>
      </c>
      <c r="E33" s="1290"/>
      <c r="F33" s="1053">
        <f>SUMIF(95:95,E33,96:96)-SUMIF(95:95,C33,96:96)+100</f>
        <v>100</v>
      </c>
      <c r="G33" s="1290"/>
      <c r="H33" s="765">
        <f>SUMIF(95:95,G33,96:96)-SUMIF(95:95,C33,96:96)+100</f>
        <v>100</v>
      </c>
      <c r="I33" s="1290"/>
      <c r="J33" s="765">
        <f>SUMIF(95:95,I33,96:96)-SUMIF(95:95,C33,96:96)+100</f>
        <v>100</v>
      </c>
      <c r="K33" s="1044"/>
      <c r="L33" s="1037"/>
      <c r="M33" s="971"/>
      <c r="N33" s="971"/>
      <c r="O33" s="971"/>
      <c r="P33" s="3335"/>
      <c r="Q33" s="641" t="str">
        <f t="shared" si="11"/>
        <v>是否直接入户</v>
      </c>
      <c r="R33" s="1074" t="s">
        <v>956</v>
      </c>
      <c r="S33" s="1075">
        <f t="shared" si="12"/>
        <v>100</v>
      </c>
      <c r="T33" s="1074" t="s">
        <v>956</v>
      </c>
      <c r="U33" s="1075">
        <f t="shared" si="13"/>
        <v>100</v>
      </c>
      <c r="V33" s="1074" t="s">
        <v>956</v>
      </c>
      <c r="W33" s="1075">
        <f t="shared" si="14"/>
        <v>100</v>
      </c>
      <c r="X33" s="1069"/>
      <c r="Y33" s="3335"/>
      <c r="Z33" s="1058" t="str">
        <f t="shared" si="15"/>
        <v>是否直接入户</v>
      </c>
      <c r="AA33" s="1058">
        <f t="shared" si="3"/>
        <v>1</v>
      </c>
      <c r="AB33" s="1058">
        <f t="shared" si="4"/>
        <v>1</v>
      </c>
      <c r="AC33" s="1058">
        <f t="shared" si="5"/>
        <v>1</v>
      </c>
    </row>
    <row r="34" spans="1:29" ht="15">
      <c r="A34" s="1286"/>
      <c r="B34" s="1139">
        <v>111</v>
      </c>
      <c r="C34" s="897"/>
      <c r="D34" s="765">
        <v>100</v>
      </c>
      <c r="E34" s="1276"/>
      <c r="F34" s="1053">
        <f>SUMIF(97:97,E34,98:98)-SUMIF(97:97,C34,98:98)+100</f>
        <v>100</v>
      </c>
      <c r="G34" s="897"/>
      <c r="H34" s="765">
        <f>SUMIF(97:97,G34,98:98)-SUMIF(97:97,C34,98:98)+100</f>
        <v>100</v>
      </c>
      <c r="I34" s="1276"/>
      <c r="J34" s="765">
        <f>SUMIF(97:97,I34,98:98)-SUMIF(97:97,C34,98:98)+100</f>
        <v>100</v>
      </c>
      <c r="K34" s="1043"/>
      <c r="L34" s="1037"/>
      <c r="M34" s="971"/>
      <c r="N34" s="971"/>
      <c r="O34" s="971"/>
      <c r="P34" s="3335"/>
      <c r="Q34" s="641">
        <f t="shared" si="11"/>
        <v>111</v>
      </c>
      <c r="R34" s="1074" t="s">
        <v>956</v>
      </c>
      <c r="S34" s="1075">
        <f t="shared" si="12"/>
        <v>100</v>
      </c>
      <c r="T34" s="1074" t="s">
        <v>956</v>
      </c>
      <c r="U34" s="1075">
        <f t="shared" si="13"/>
        <v>100</v>
      </c>
      <c r="V34" s="1074" t="s">
        <v>956</v>
      </c>
      <c r="W34" s="1075">
        <f t="shared" si="14"/>
        <v>100</v>
      </c>
      <c r="X34" s="1069"/>
      <c r="Y34" s="3335"/>
      <c r="Z34" s="1058">
        <f t="shared" si="15"/>
        <v>111</v>
      </c>
      <c r="AA34" s="1058">
        <f t="shared" si="3"/>
        <v>1</v>
      </c>
      <c r="AB34" s="1058">
        <f t="shared" si="4"/>
        <v>1</v>
      </c>
      <c r="AC34" s="1058">
        <f t="shared" si="5"/>
        <v>1</v>
      </c>
    </row>
    <row r="35" spans="1:29" s="857" customFormat="1" ht="15">
      <c r="A35" s="1283"/>
      <c r="B35" s="1139">
        <v>111</v>
      </c>
      <c r="C35" s="897"/>
      <c r="D35" s="765">
        <v>100</v>
      </c>
      <c r="E35" s="1276"/>
      <c r="F35" s="1053">
        <f>SUMIF(99:99,E35,100:100)-SUMIF(99:99,C35,100:100)+100</f>
        <v>100</v>
      </c>
      <c r="G35" s="897"/>
      <c r="H35" s="765">
        <f>SUMIF(99:99,G35,100:100)-SUMIF(99:99,C35,100:100)+100</f>
        <v>100</v>
      </c>
      <c r="I35" s="1276"/>
      <c r="J35" s="765">
        <f>SUMIF(99:99,I35,100:100)-SUMIF(99:99,C35,100:100)+100</f>
        <v>100</v>
      </c>
      <c r="K35" s="1043"/>
      <c r="L35" s="1035"/>
      <c r="M35" s="1045"/>
      <c r="N35" s="1045"/>
      <c r="O35" s="1045"/>
      <c r="P35" s="3335"/>
      <c r="Q35" s="1244">
        <f t="shared" si="11"/>
        <v>111</v>
      </c>
      <c r="R35" s="1076" t="s">
        <v>956</v>
      </c>
      <c r="S35" s="1077">
        <f t="shared" si="12"/>
        <v>100</v>
      </c>
      <c r="T35" s="1076" t="s">
        <v>956</v>
      </c>
      <c r="U35" s="1077">
        <f t="shared" si="13"/>
        <v>100</v>
      </c>
      <c r="V35" s="1076" t="s">
        <v>956</v>
      </c>
      <c r="W35" s="1077">
        <f t="shared" si="14"/>
        <v>100</v>
      </c>
      <c r="X35" s="1078"/>
      <c r="Y35" s="3335"/>
      <c r="Z35" s="1083">
        <f t="shared" si="15"/>
        <v>111</v>
      </c>
      <c r="AA35" s="1058">
        <f t="shared" si="3"/>
        <v>1</v>
      </c>
      <c r="AB35" s="1058">
        <f t="shared" si="4"/>
        <v>1</v>
      </c>
      <c r="AC35" s="1058">
        <f t="shared" si="5"/>
        <v>1</v>
      </c>
    </row>
    <row r="36" spans="1:29" ht="15">
      <c r="A36" s="1291"/>
      <c r="B36" s="1277">
        <v>111</v>
      </c>
      <c r="C36" s="907"/>
      <c r="D36" s="765">
        <v>100</v>
      </c>
      <c r="E36" s="1276"/>
      <c r="F36" s="1053">
        <f>SUMIF(101:101,E36,102:102)-SUMIF(101:101,C36,102:102)+100</f>
        <v>100</v>
      </c>
      <c r="G36" s="897"/>
      <c r="H36" s="765">
        <f>SUMIF(101:101,G36,102:102)-SUMIF(101:101,C36,102:102)+100</f>
        <v>100</v>
      </c>
      <c r="I36" s="1276"/>
      <c r="J36" s="765">
        <f>SUMIF(101:101,I36,102:102)-SUMIF(101:101,C36,102:102)+100</f>
        <v>100</v>
      </c>
      <c r="K36" s="1043"/>
      <c r="L36" s="1037"/>
      <c r="M36" s="971"/>
      <c r="N36" s="971"/>
      <c r="O36" s="971"/>
      <c r="P36" s="3335"/>
      <c r="Q36" s="641">
        <f t="shared" si="11"/>
        <v>111</v>
      </c>
      <c r="R36" s="1074" t="s">
        <v>956</v>
      </c>
      <c r="S36" s="1075">
        <f t="shared" si="12"/>
        <v>100</v>
      </c>
      <c r="T36" s="1074" t="s">
        <v>956</v>
      </c>
      <c r="U36" s="1075">
        <f t="shared" si="13"/>
        <v>100</v>
      </c>
      <c r="V36" s="1074" t="s">
        <v>956</v>
      </c>
      <c r="W36" s="1075">
        <f t="shared" si="14"/>
        <v>100</v>
      </c>
      <c r="X36" s="1069"/>
      <c r="Y36" s="3335"/>
      <c r="Z36" s="1058">
        <f t="shared" si="15"/>
        <v>111</v>
      </c>
      <c r="AA36" s="1058">
        <f t="shared" si="3"/>
        <v>1</v>
      </c>
      <c r="AB36" s="1058">
        <f t="shared" si="4"/>
        <v>1</v>
      </c>
      <c r="AC36" s="1058">
        <f t="shared" si="5"/>
        <v>1</v>
      </c>
    </row>
    <row r="37" spans="1:29" ht="15">
      <c r="A37" s="954" t="s">
        <v>991</v>
      </c>
      <c r="B37" s="1292" t="s">
        <v>2537</v>
      </c>
      <c r="C37" s="1227" t="s">
        <v>124</v>
      </c>
      <c r="D37" s="957"/>
      <c r="E37" s="1293">
        <v>3584</v>
      </c>
      <c r="F37" s="959"/>
      <c r="G37" s="960">
        <v>3015</v>
      </c>
      <c r="H37" s="961"/>
      <c r="I37" s="1293">
        <v>2870</v>
      </c>
      <c r="J37" s="961"/>
      <c r="K37" s="1302"/>
      <c r="L37" s="1050"/>
      <c r="M37" s="971"/>
      <c r="N37" s="971"/>
      <c r="O37" s="971"/>
      <c r="P37" s="3330" t="str">
        <f>A37</f>
        <v>成交单价</v>
      </c>
      <c r="Q37" s="3330"/>
      <c r="R37" s="3331">
        <f>E37</f>
        <v>3584</v>
      </c>
      <c r="S37" s="3331"/>
      <c r="T37" s="3331">
        <f>G37</f>
        <v>3015</v>
      </c>
      <c r="U37" s="3331"/>
      <c r="V37" s="3331">
        <f>I37</f>
        <v>2870</v>
      </c>
      <c r="W37" s="3331"/>
      <c r="X37" s="1011"/>
      <c r="Y37" s="1084"/>
      <c r="Z37" s="1011"/>
      <c r="AA37" s="1011"/>
      <c r="AB37" s="1011"/>
      <c r="AC37" s="1011"/>
    </row>
    <row r="38" spans="1:29" ht="15">
      <c r="A38" s="962" t="s">
        <v>993</v>
      </c>
      <c r="B38" s="1228" t="str">
        <f>B37</f>
        <v>元/平方米</v>
      </c>
      <c r="C38" s="1229">
        <f>R39</f>
        <v>2921</v>
      </c>
      <c r="D38" s="965" t="s">
        <v>994</v>
      </c>
      <c r="E38" s="1230">
        <f>R38</f>
        <v>3187</v>
      </c>
      <c r="F38" s="966"/>
      <c r="G38" s="1229">
        <f>T38</f>
        <v>2761</v>
      </c>
      <c r="H38" s="966"/>
      <c r="I38" s="1230">
        <f>V38</f>
        <v>2814</v>
      </c>
      <c r="J38" s="966"/>
      <c r="K38" s="1051">
        <f>F38+H38+J38</f>
        <v>0</v>
      </c>
      <c r="L38" s="1050"/>
      <c r="M38" s="971"/>
      <c r="N38" s="971"/>
      <c r="O38" s="971"/>
      <c r="P38" s="3330" t="str">
        <f>A38</f>
        <v>比较价值（元/平方米）</v>
      </c>
      <c r="Q38" s="3330"/>
      <c r="R38" s="3331">
        <f>IF(F1="售价",ROUND(PRODUCT(R37,AA7:AA36),0),ROUND(PRODUCT(R37,AA7:AA36),1))</f>
        <v>3187</v>
      </c>
      <c r="S38" s="3331"/>
      <c r="T38" s="3331">
        <f>IF(F1="售价",ROUND(PRODUCT(T37,AB7:AB36),0),ROUND(PRODUCT(T37,AB7:AB36),1))</f>
        <v>2761</v>
      </c>
      <c r="U38" s="3331"/>
      <c r="V38" s="3331">
        <f>IF(F1="售价",ROUND(PRODUCT(V37,AC7:AC36),0),ROUND(PRODUCT(V37,AC7:AC36),1))</f>
        <v>2814</v>
      </c>
      <c r="W38" s="3331"/>
      <c r="X38" s="1011"/>
      <c r="Y38" s="1011"/>
      <c r="Z38" s="1011"/>
      <c r="AA38" s="1011"/>
      <c r="AB38" s="1011"/>
      <c r="AC38" s="1011"/>
    </row>
    <row r="39" spans="1:29" ht="15">
      <c r="A39" s="968" t="s">
        <v>1967</v>
      </c>
      <c r="B39" s="969"/>
      <c r="C39" s="881">
        <f>R39</f>
        <v>2921</v>
      </c>
      <c r="D39" s="881"/>
      <c r="E39" s="881"/>
      <c r="F39" s="881"/>
      <c r="G39" s="881"/>
      <c r="H39" s="881"/>
      <c r="I39" s="881"/>
      <c r="J39" s="881"/>
      <c r="K39" s="1303"/>
      <c r="L39" s="1050"/>
      <c r="M39" s="971"/>
      <c r="N39" s="971"/>
      <c r="O39" s="971"/>
      <c r="P39" s="3354" t="str">
        <f>A39</f>
        <v>估价对象XX用房的比较价值（楼面单价，元/平方米）</v>
      </c>
      <c r="Q39" s="3355"/>
      <c r="R39" s="3423">
        <f>IF(F1="售价",ROUND(IF(D38="简单平均",AVERAGE(R38:W38),R38*F38+T38*H38+V38*J38),0),ROUND(IF(D38="简单平均",AVERAGE(R38:V38),R38*F38+T38*H38+V38*J38),1))</f>
        <v>2921</v>
      </c>
      <c r="S39" s="3423"/>
      <c r="T39" s="3423"/>
      <c r="U39" s="3423"/>
      <c r="V39" s="3423"/>
      <c r="W39" s="3423"/>
      <c r="X39" s="1011"/>
      <c r="Y39" s="1011"/>
      <c r="Z39" s="1011"/>
      <c r="AA39" s="1011"/>
      <c r="AB39" s="1011"/>
      <c r="AC39" s="1011"/>
    </row>
    <row r="40" spans="1:29">
      <c r="A40" s="971"/>
      <c r="B40" s="971"/>
      <c r="C40" s="971"/>
      <c r="D40" s="971"/>
      <c r="E40" s="971"/>
      <c r="F40" s="971"/>
      <c r="G40" s="972"/>
      <c r="H40" s="971"/>
      <c r="I40" s="971"/>
      <c r="J40" s="971"/>
      <c r="K40" s="1054"/>
      <c r="L40" s="1055"/>
      <c r="M40" s="971"/>
      <c r="N40" s="971"/>
      <c r="O40" s="971"/>
      <c r="P40" s="1304"/>
      <c r="Q40" s="971"/>
      <c r="R40" s="971"/>
      <c r="S40" s="971"/>
      <c r="T40" s="971"/>
      <c r="U40" s="971"/>
      <c r="V40" s="971"/>
      <c r="W40" s="971"/>
      <c r="X40" s="971"/>
      <c r="Y40" s="971"/>
      <c r="Z40" s="971"/>
      <c r="AA40" s="971"/>
      <c r="AB40" s="971"/>
      <c r="AC40" s="971"/>
    </row>
    <row r="41" spans="1:29">
      <c r="A41" s="971"/>
      <c r="B41" s="971"/>
      <c r="C41" s="971"/>
      <c r="D41" s="971"/>
      <c r="E41" s="971"/>
      <c r="F41" s="971"/>
      <c r="G41" s="971"/>
      <c r="H41" s="971"/>
      <c r="I41" s="971"/>
      <c r="J41" s="971"/>
      <c r="K41" s="1054"/>
      <c r="L41" s="1055"/>
      <c r="M41" s="971"/>
      <c r="N41" s="971"/>
      <c r="O41" s="971"/>
      <c r="P41" s="1304"/>
      <c r="Q41" s="971"/>
      <c r="R41" s="971"/>
      <c r="S41" s="971"/>
      <c r="T41" s="971"/>
      <c r="U41" s="971"/>
      <c r="V41" s="971"/>
      <c r="W41" s="971"/>
      <c r="X41" s="971"/>
      <c r="Y41" s="971"/>
      <c r="Z41" s="971"/>
      <c r="AA41" s="971"/>
      <c r="AB41" s="971"/>
      <c r="AC41" s="971"/>
    </row>
    <row r="42" spans="1:29" ht="13.5" customHeight="1">
      <c r="A42" s="971"/>
      <c r="B42" s="971"/>
      <c r="C42" s="973" t="s">
        <v>996</v>
      </c>
      <c r="D42" s="683"/>
      <c r="E42" s="974">
        <f>IF(E37&lt;E38,E38/E37-1,E37/E38-1)</f>
        <v>0.12456855977408221</v>
      </c>
      <c r="F42" s="975" t="str">
        <f>IF(OR(E42&gt;=0.3,E42&lt;=-0.3),"超过30%","")</f>
        <v/>
      </c>
      <c r="G42" s="974">
        <f>IF(G37&lt;G38,G38/G37-1,G37/G38-1)</f>
        <v>9.1995653748641715E-2</v>
      </c>
      <c r="H42" s="975" t="str">
        <f>IF(OR(G42&gt;=0.3,G42&lt;=-0.3),"超过30%","")</f>
        <v/>
      </c>
      <c r="I42" s="974">
        <f>IF(I37&lt;I38,I38/I37-1,I37/I38-1)</f>
        <v>1.990049751243772E-2</v>
      </c>
      <c r="J42" s="975" t="str">
        <f>IF(OR(I42&gt;=0.3,I42&lt;=-0.3),"超过30%","")</f>
        <v/>
      </c>
      <c r="K42" s="1054"/>
      <c r="L42" s="1055"/>
      <c r="M42" s="971"/>
      <c r="N42" s="971"/>
      <c r="O42" s="971"/>
      <c r="P42" s="1304"/>
      <c r="Q42" s="971"/>
      <c r="R42" s="971"/>
      <c r="S42" s="971"/>
      <c r="T42" s="971"/>
      <c r="U42" s="971"/>
      <c r="V42" s="971"/>
      <c r="W42" s="971"/>
      <c r="X42" s="971"/>
      <c r="Y42" s="971"/>
      <c r="Z42" s="971"/>
      <c r="AA42" s="971"/>
      <c r="AB42" s="971"/>
      <c r="AC42" s="971"/>
    </row>
    <row r="43" spans="1:29" ht="13.5" customHeight="1">
      <c r="A43" s="971"/>
      <c r="B43" s="971"/>
      <c r="C43" s="973" t="s">
        <v>997</v>
      </c>
      <c r="D43" s="682"/>
      <c r="E43" s="974">
        <f>IF(E38&lt;G38,G38/E38-1,E38/G38-1)</f>
        <v>0.15429192321622609</v>
      </c>
      <c r="F43" s="975" t="str">
        <f>IF(OR(E43&gt;=0.2,E43&lt;=-0.2),"超过20%","")</f>
        <v/>
      </c>
      <c r="G43" s="974">
        <f>IF(G38&lt;I38,I38/G38-1,G38/I38-1)</f>
        <v>1.9195943498732326E-2</v>
      </c>
      <c r="H43" s="975" t="str">
        <f>IF(OR(G43&gt;=0.2,G43&lt;=-0.2),"超过20%","")</f>
        <v/>
      </c>
      <c r="I43" s="974">
        <f>IF(I38&lt;E38,E38/I38-1,I38/E38-1)</f>
        <v>0.13255152807391624</v>
      </c>
      <c r="J43" s="975" t="str">
        <f>IF(OR(I43&gt;=0.2,I43&lt;=-0.2),"超过20%","")</f>
        <v/>
      </c>
      <c r="K43" s="1054"/>
      <c r="L43" s="1055"/>
      <c r="M43" s="971"/>
      <c r="N43" s="971"/>
      <c r="O43" s="971"/>
      <c r="P43" s="1304"/>
      <c r="Q43" s="971"/>
      <c r="R43" s="971"/>
      <c r="S43" s="971"/>
      <c r="T43" s="971"/>
      <c r="U43" s="971"/>
      <c r="V43" s="971"/>
      <c r="W43" s="971"/>
      <c r="X43" s="971"/>
      <c r="Y43" s="971"/>
      <c r="Z43" s="971"/>
      <c r="AA43" s="971"/>
      <c r="AB43" s="971"/>
      <c r="AC43" s="971"/>
    </row>
    <row r="44" spans="1:29" s="858" customFormat="1" ht="13.5" customHeight="1">
      <c r="A44" s="976"/>
      <c r="B44" s="976"/>
      <c r="C44" s="973" t="s">
        <v>998</v>
      </c>
      <c r="D44" s="682"/>
      <c r="E44" s="974">
        <f>IF(E37&lt;G37,G37/E37-1,E37/G37-1)</f>
        <v>0.18872305140961854</v>
      </c>
      <c r="F44" s="975" t="str">
        <f>IF(OR(E44&gt;=0.3,E44&lt;=-0.3),"超过30%","")</f>
        <v/>
      </c>
      <c r="G44" s="974">
        <f>IF(G37&lt;I37,I37/G37-1,G37/I37-1)</f>
        <v>5.0522648083623611E-2</v>
      </c>
      <c r="H44" s="975" t="str">
        <f>IF(OR(G44&gt;=0.3,G44&lt;=-0.3),"超过30%","")</f>
        <v/>
      </c>
      <c r="I44" s="974">
        <f>IF(I37&lt;E37,E37/I37-1,I37/E37-1)</f>
        <v>0.24878048780487805</v>
      </c>
      <c r="J44" s="975" t="str">
        <f>IF(OR(I44&gt;=0.3,I44&lt;=-0.3),"超过30%","")</f>
        <v/>
      </c>
      <c r="K44" s="1056"/>
      <c r="L44" s="1057"/>
      <c r="M44" s="976"/>
      <c r="N44" s="976"/>
      <c r="O44" s="976"/>
      <c r="P44" s="1305"/>
      <c r="Q44" s="976"/>
      <c r="R44" s="976"/>
      <c r="S44" s="976"/>
      <c r="T44" s="976"/>
      <c r="U44" s="976"/>
      <c r="V44" s="976"/>
      <c r="W44" s="976"/>
      <c r="X44" s="976"/>
      <c r="Y44" s="976"/>
      <c r="Z44" s="976"/>
      <c r="AA44" s="976"/>
      <c r="AB44" s="976"/>
      <c r="AC44" s="976"/>
    </row>
    <row r="45" spans="1:29" s="858" customFormat="1">
      <c r="A45" s="976"/>
      <c r="B45" s="977"/>
      <c r="C45" s="1231"/>
      <c r="D45" s="976"/>
      <c r="E45" s="976"/>
      <c r="F45" s="976"/>
      <c r="G45" s="976"/>
      <c r="H45" s="976"/>
      <c r="I45" s="976"/>
      <c r="J45" s="976"/>
      <c r="K45" s="1056"/>
      <c r="L45" s="1057"/>
      <c r="M45" s="976"/>
      <c r="N45" s="976"/>
      <c r="O45" s="976"/>
      <c r="P45" s="1305"/>
      <c r="Q45" s="976"/>
      <c r="R45" s="976"/>
      <c r="S45" s="976"/>
      <c r="T45" s="976"/>
      <c r="U45" s="976"/>
      <c r="V45" s="976"/>
      <c r="W45" s="976"/>
      <c r="X45" s="976"/>
      <c r="Y45" s="976"/>
      <c r="Z45" s="976"/>
      <c r="AA45" s="976"/>
      <c r="AB45" s="976"/>
      <c r="AC45" s="976"/>
    </row>
    <row r="46" spans="1:29">
      <c r="A46" s="971"/>
      <c r="B46" s="977"/>
      <c r="C46" s="1231"/>
      <c r="D46" s="971"/>
      <c r="E46" s="971"/>
      <c r="F46" s="971"/>
      <c r="G46" s="971"/>
      <c r="H46" s="971"/>
      <c r="I46" s="971"/>
      <c r="J46" s="971"/>
      <c r="K46" s="1054"/>
      <c r="L46" s="1055"/>
      <c r="M46" s="971"/>
      <c r="N46" s="971"/>
      <c r="O46" s="971"/>
      <c r="P46" s="1304"/>
      <c r="Q46" s="971"/>
      <c r="R46" s="971"/>
      <c r="S46" s="971"/>
      <c r="T46" s="971"/>
      <c r="U46" s="971"/>
      <c r="V46" s="971"/>
      <c r="W46" s="971"/>
      <c r="X46" s="971"/>
      <c r="Y46" s="971"/>
      <c r="Z46" s="971"/>
      <c r="AA46" s="971"/>
      <c r="AB46" s="971"/>
      <c r="AC46" s="971"/>
    </row>
    <row r="47" spans="1:29" ht="21">
      <c r="A47" s="1294" t="s">
        <v>1023</v>
      </c>
      <c r="B47" s="1006"/>
      <c r="C47" s="1066"/>
      <c r="D47" s="1066"/>
      <c r="E47" s="1066"/>
      <c r="F47" s="1295"/>
      <c r="G47" s="1295"/>
      <c r="H47" s="1066"/>
      <c r="I47" s="1066"/>
      <c r="J47" s="1066"/>
      <c r="K47" s="1306"/>
      <c r="L47" s="1307"/>
      <c r="M47" s="1066"/>
      <c r="N47" s="1067"/>
      <c r="O47" s="1067"/>
      <c r="P47" s="1308"/>
      <c r="Q47" s="1079"/>
      <c r="R47" s="971"/>
      <c r="S47" s="971"/>
      <c r="T47" s="971"/>
      <c r="U47" s="971"/>
      <c r="V47" s="971"/>
      <c r="W47" s="971"/>
      <c r="X47" s="971"/>
      <c r="Y47" s="971"/>
      <c r="Z47" s="971"/>
      <c r="AA47" s="971"/>
      <c r="AB47" s="971"/>
      <c r="AC47" s="971"/>
    </row>
    <row r="48" spans="1:29" s="860" customFormat="1" ht="15">
      <c r="A48" s="1232" t="s">
        <v>954</v>
      </c>
      <c r="B48" s="1233"/>
      <c r="C48" s="1234" t="str">
        <f>YEAR(C7)&amp;"-"&amp;MONTH(C7)</f>
        <v>2024-7</v>
      </c>
      <c r="D48" s="1235">
        <f>EDATE(C48,-1)</f>
        <v>45444</v>
      </c>
      <c r="E48" s="1235">
        <f t="shared" ref="E48:O48" si="16">EDATE(D48,-1)</f>
        <v>45413</v>
      </c>
      <c r="F48" s="1235">
        <f t="shared" si="16"/>
        <v>45383</v>
      </c>
      <c r="G48" s="1235">
        <f t="shared" si="16"/>
        <v>45352</v>
      </c>
      <c r="H48" s="1235">
        <f t="shared" si="16"/>
        <v>45323</v>
      </c>
      <c r="I48" s="1235">
        <f t="shared" si="16"/>
        <v>45292</v>
      </c>
      <c r="J48" s="1235">
        <f t="shared" si="16"/>
        <v>45261</v>
      </c>
      <c r="K48" s="1235">
        <f t="shared" si="16"/>
        <v>45231</v>
      </c>
      <c r="L48" s="1235">
        <f t="shared" si="16"/>
        <v>45200</v>
      </c>
      <c r="M48" s="1235">
        <f t="shared" si="16"/>
        <v>45170</v>
      </c>
      <c r="N48" s="1235">
        <f t="shared" si="16"/>
        <v>45139</v>
      </c>
      <c r="O48" s="1235">
        <f t="shared" si="16"/>
        <v>45108</v>
      </c>
      <c r="P48" s="1309"/>
      <c r="Q48" s="1132"/>
      <c r="R48" s="1132"/>
      <c r="S48" s="1132"/>
      <c r="T48" s="1132"/>
      <c r="U48" s="1132"/>
      <c r="V48" s="1132"/>
      <c r="W48" s="1132"/>
      <c r="X48" s="1132"/>
      <c r="Y48" s="1132"/>
      <c r="Z48" s="1132"/>
      <c r="AA48" s="1132"/>
      <c r="AB48" s="1132"/>
      <c r="AC48" s="1132"/>
    </row>
    <row r="49" spans="1:29" s="855" customFormat="1" ht="15">
      <c r="A49" s="928"/>
      <c r="B49" s="1096"/>
      <c r="C49" s="1296">
        <v>100</v>
      </c>
      <c r="D49" s="1237">
        <v>100</v>
      </c>
      <c r="E49" s="1237">
        <v>100</v>
      </c>
      <c r="F49" s="1237">
        <v>100</v>
      </c>
      <c r="G49" s="1237">
        <v>100</v>
      </c>
      <c r="H49" s="1237">
        <v>100</v>
      </c>
      <c r="I49" s="1237">
        <v>100</v>
      </c>
      <c r="J49" s="1237">
        <v>100</v>
      </c>
      <c r="K49" s="1237">
        <v>100</v>
      </c>
      <c r="L49" s="1237">
        <v>100</v>
      </c>
      <c r="M49" s="903"/>
      <c r="N49" s="1100"/>
      <c r="O49" s="903"/>
      <c r="P49" s="1310"/>
      <c r="Q49" s="1027"/>
      <c r="R49" s="1027"/>
      <c r="S49" s="1027"/>
      <c r="T49" s="1027"/>
      <c r="U49" s="1027"/>
      <c r="V49" s="1027"/>
      <c r="W49" s="1027"/>
      <c r="X49" s="1027"/>
      <c r="Y49" s="1027"/>
      <c r="Z49" s="1027"/>
      <c r="AA49" s="1027"/>
      <c r="AB49" s="1027"/>
      <c r="AC49" s="1027"/>
    </row>
    <row r="50" spans="1:29" s="855" customFormat="1" ht="15">
      <c r="A50" s="1091" t="s">
        <v>1026</v>
      </c>
      <c r="B50" s="1092"/>
      <c r="C50" s="1093"/>
      <c r="D50" s="1094"/>
      <c r="E50" s="1094"/>
      <c r="F50" s="1094"/>
      <c r="G50" s="1094"/>
      <c r="H50" s="1094"/>
      <c r="I50" s="1094"/>
      <c r="J50" s="1094"/>
      <c r="K50" s="1094"/>
      <c r="L50" s="1094"/>
      <c r="M50" s="1134"/>
      <c r="N50" s="1094"/>
      <c r="O50" s="1134"/>
      <c r="P50" s="1310"/>
      <c r="Q50" s="1079"/>
      <c r="R50" s="1027"/>
      <c r="S50" s="1027"/>
      <c r="T50" s="1027"/>
      <c r="U50" s="1027"/>
      <c r="V50" s="1027"/>
      <c r="W50" s="1027"/>
      <c r="X50" s="1027"/>
      <c r="Y50" s="1027"/>
      <c r="Z50" s="1027"/>
      <c r="AA50" s="1027"/>
      <c r="AB50" s="1027"/>
      <c r="AC50" s="1027"/>
    </row>
    <row r="51" spans="1:29" s="855" customFormat="1" ht="15">
      <c r="A51" s="1095" t="s">
        <v>957</v>
      </c>
      <c r="B51" s="1096"/>
      <c r="C51" s="1097" t="s">
        <v>958</v>
      </c>
      <c r="D51" s="1098"/>
      <c r="E51" s="1098"/>
      <c r="F51" s="1098"/>
      <c r="G51" s="1098"/>
      <c r="H51" s="1098"/>
      <c r="I51" s="1098"/>
      <c r="J51" s="1098"/>
      <c r="K51" s="1098"/>
      <c r="L51" s="1136"/>
      <c r="M51" s="1137"/>
      <c r="N51" s="1138"/>
      <c r="O51" s="1138"/>
      <c r="P51" s="1311"/>
      <c r="Q51" s="1079"/>
      <c r="R51" s="1027"/>
      <c r="S51" s="1027"/>
      <c r="T51" s="1027"/>
      <c r="U51" s="1027"/>
      <c r="V51" s="1027"/>
      <c r="W51" s="1027"/>
      <c r="X51" s="1027"/>
      <c r="Y51" s="1027"/>
      <c r="Z51" s="1027"/>
      <c r="AA51" s="1027"/>
      <c r="AB51" s="1027"/>
      <c r="AC51" s="1027"/>
    </row>
    <row r="52" spans="1:29" s="855" customFormat="1" ht="15">
      <c r="A52" s="1095"/>
      <c r="B52" s="1096"/>
      <c r="C52" s="1099">
        <v>100</v>
      </c>
      <c r="D52" s="1100"/>
      <c r="E52" s="1100"/>
      <c r="F52" s="1100"/>
      <c r="G52" s="1100"/>
      <c r="H52" s="1100"/>
      <c r="I52" s="1100"/>
      <c r="J52" s="1100"/>
      <c r="K52" s="1100"/>
      <c r="L52" s="1100"/>
      <c r="M52" s="1139"/>
      <c r="N52" s="1138"/>
      <c r="O52" s="1138"/>
      <c r="P52" s="1310"/>
      <c r="Q52" s="1079"/>
      <c r="R52" s="1027"/>
      <c r="S52" s="1027"/>
      <c r="T52" s="1027"/>
      <c r="U52" s="1027"/>
      <c r="V52" s="1027"/>
      <c r="W52" s="1027"/>
      <c r="X52" s="1027"/>
      <c r="Y52" s="1027"/>
      <c r="Z52" s="1027"/>
      <c r="AA52" s="1027"/>
      <c r="AB52" s="1027"/>
      <c r="AC52" s="1027"/>
    </row>
    <row r="53" spans="1:29">
      <c r="A53" s="912" t="s">
        <v>1027</v>
      </c>
      <c r="B53" s="1101" t="s">
        <v>961</v>
      </c>
      <c r="C53" s="637" t="str">
        <f>C9</f>
        <v>车库</v>
      </c>
      <c r="D53" s="1047"/>
      <c r="E53" s="1047"/>
      <c r="F53" s="1047"/>
      <c r="G53" s="1047"/>
      <c r="H53" s="1047"/>
      <c r="I53" s="1047"/>
      <c r="J53" s="1047"/>
      <c r="K53" s="1140"/>
      <c r="L53" s="1141"/>
      <c r="M53" s="1142"/>
      <c r="N53" s="1143"/>
      <c r="O53" s="1143"/>
      <c r="P53" s="1312"/>
      <c r="Q53" s="1079"/>
      <c r="R53" s="971"/>
      <c r="S53" s="971"/>
      <c r="T53" s="971"/>
      <c r="U53" s="971"/>
      <c r="V53" s="971"/>
      <c r="W53" s="971"/>
      <c r="X53" s="971"/>
      <c r="Y53" s="971"/>
      <c r="Z53" s="971"/>
      <c r="AA53" s="971"/>
      <c r="AB53" s="971"/>
      <c r="AC53" s="971"/>
    </row>
    <row r="54" spans="1:29" ht="15">
      <c r="A54" s="899"/>
      <c r="B54" s="1102"/>
      <c r="C54" s="1103">
        <v>100</v>
      </c>
      <c r="D54" s="1103"/>
      <c r="E54" s="1103"/>
      <c r="F54" s="1103"/>
      <c r="G54" s="1103"/>
      <c r="H54" s="1103"/>
      <c r="I54" s="1103"/>
      <c r="J54" s="1103"/>
      <c r="K54" s="1103"/>
      <c r="L54" s="1103"/>
      <c r="M54" s="1144"/>
      <c r="N54" s="1145"/>
      <c r="O54" s="1145"/>
      <c r="P54" s="1312"/>
      <c r="Q54" s="1079"/>
      <c r="R54" s="971"/>
      <c r="S54" s="971"/>
      <c r="T54" s="971"/>
      <c r="U54" s="971"/>
      <c r="V54" s="971"/>
      <c r="W54" s="971"/>
      <c r="X54" s="971"/>
      <c r="Y54" s="971"/>
      <c r="Z54" s="971"/>
      <c r="AA54" s="971"/>
      <c r="AB54" s="971"/>
      <c r="AC54" s="971"/>
    </row>
    <row r="55" spans="1:29" ht="27">
      <c r="A55" s="899"/>
      <c r="B55" s="1104" t="s">
        <v>964</v>
      </c>
      <c r="C55" s="1105" t="s">
        <v>1579</v>
      </c>
      <c r="D55" s="1105" t="s">
        <v>1580</v>
      </c>
      <c r="E55" s="1105" t="s">
        <v>1581</v>
      </c>
      <c r="F55" s="1105" t="s">
        <v>1582</v>
      </c>
      <c r="G55" s="1105" t="s">
        <v>1583</v>
      </c>
      <c r="H55" s="1105" t="s">
        <v>1584</v>
      </c>
      <c r="I55" s="1105" t="s">
        <v>1585</v>
      </c>
      <c r="J55" s="1105"/>
      <c r="K55" s="1146"/>
      <c r="L55" s="1147"/>
      <c r="M55" s="1148"/>
      <c r="N55" s="1143"/>
      <c r="O55" s="1143"/>
      <c r="P55" s="1312"/>
      <c r="Q55" s="1079"/>
      <c r="R55" s="971"/>
      <c r="S55" s="971"/>
      <c r="T55" s="971"/>
      <c r="U55" s="971"/>
      <c r="V55" s="971"/>
      <c r="W55" s="971"/>
      <c r="X55" s="971"/>
      <c r="Y55" s="971"/>
      <c r="Z55" s="971"/>
      <c r="AA55" s="971"/>
      <c r="AB55" s="971"/>
      <c r="AC55" s="971"/>
    </row>
    <row r="56" spans="1:29" ht="15">
      <c r="A56" s="899"/>
      <c r="B56" s="1106"/>
      <c r="C56" s="1107" t="s">
        <v>1022</v>
      </c>
      <c r="D56" s="1107" t="s">
        <v>1022</v>
      </c>
      <c r="E56" s="1107">
        <v>100</v>
      </c>
      <c r="F56" s="1107">
        <f>E56-$K10</f>
        <v>99</v>
      </c>
      <c r="G56" s="1107">
        <f>F56-$K10</f>
        <v>98</v>
      </c>
      <c r="H56" s="1107">
        <f>G56-$K10</f>
        <v>97</v>
      </c>
      <c r="I56" s="1107">
        <f>H56-$K10</f>
        <v>96</v>
      </c>
      <c r="J56" s="1107"/>
      <c r="K56" s="1107"/>
      <c r="L56" s="1107"/>
      <c r="M56" s="1149"/>
      <c r="N56" s="1145"/>
      <c r="O56" s="1145"/>
      <c r="P56" s="1312"/>
      <c r="Q56" s="1079"/>
      <c r="R56" s="971"/>
      <c r="S56" s="971"/>
      <c r="T56" s="971"/>
      <c r="U56" s="971"/>
      <c r="V56" s="971"/>
      <c r="W56" s="971"/>
      <c r="X56" s="971"/>
      <c r="Y56" s="971"/>
      <c r="Z56" s="971"/>
      <c r="AA56" s="971"/>
      <c r="AB56" s="971"/>
      <c r="AC56" s="971"/>
    </row>
    <row r="57" spans="1:29" ht="15">
      <c r="A57" s="899"/>
      <c r="B57" s="1039">
        <f>B11</f>
        <v>111</v>
      </c>
      <c r="C57" s="905"/>
      <c r="D57" s="905"/>
      <c r="E57" s="905"/>
      <c r="F57" s="905"/>
      <c r="G57" s="905"/>
      <c r="H57" s="905"/>
      <c r="I57" s="905"/>
      <c r="J57" s="905"/>
      <c r="K57" s="1150"/>
      <c r="L57" s="1151"/>
      <c r="M57" s="1152"/>
      <c r="N57" s="1143"/>
      <c r="O57" s="1143"/>
      <c r="P57" s="1312"/>
      <c r="Q57" s="1079"/>
      <c r="R57" s="971"/>
      <c r="S57" s="971"/>
      <c r="T57" s="971"/>
      <c r="U57" s="971"/>
      <c r="V57" s="971"/>
      <c r="W57" s="971"/>
      <c r="X57" s="971"/>
      <c r="Y57" s="971"/>
      <c r="Z57" s="971"/>
      <c r="AA57" s="971"/>
      <c r="AB57" s="971"/>
      <c r="AC57" s="971"/>
    </row>
    <row r="58" spans="1:29" ht="15">
      <c r="A58" s="899"/>
      <c r="B58" s="1102"/>
      <c r="C58" s="1114"/>
      <c r="D58" s="1103"/>
      <c r="E58" s="1103"/>
      <c r="F58" s="1103"/>
      <c r="G58" s="1103"/>
      <c r="H58" s="1103"/>
      <c r="I58" s="1103"/>
      <c r="J58" s="1103"/>
      <c r="K58" s="1103"/>
      <c r="L58" s="1103"/>
      <c r="M58" s="1144"/>
      <c r="N58" s="1145"/>
      <c r="O58" s="1145"/>
      <c r="P58" s="1312"/>
      <c r="Q58" s="1079"/>
      <c r="R58" s="971"/>
      <c r="S58" s="971"/>
      <c r="T58" s="971"/>
      <c r="U58" s="971"/>
      <c r="V58" s="971"/>
      <c r="W58" s="971"/>
      <c r="X58" s="971"/>
      <c r="Y58" s="971"/>
      <c r="Z58" s="971"/>
      <c r="AA58" s="971"/>
      <c r="AB58" s="971"/>
      <c r="AC58" s="971"/>
    </row>
    <row r="59" spans="1:29" s="857" customFormat="1" ht="15">
      <c r="A59" s="1111"/>
      <c r="B59" s="1104">
        <f>B12</f>
        <v>111</v>
      </c>
      <c r="C59" s="905"/>
      <c r="D59" s="905"/>
      <c r="E59" s="905"/>
      <c r="F59" s="905"/>
      <c r="G59" s="1112"/>
      <c r="H59" s="1113"/>
      <c r="I59" s="1113"/>
      <c r="J59" s="1113"/>
      <c r="K59" s="1113"/>
      <c r="L59" s="1153"/>
      <c r="M59" s="1154"/>
      <c r="N59" s="1155"/>
      <c r="O59" s="1155"/>
      <c r="P59" s="1313"/>
      <c r="Q59" s="1183"/>
      <c r="R59" s="1045"/>
      <c r="S59" s="1045"/>
      <c r="T59" s="1045"/>
      <c r="U59" s="1045"/>
      <c r="V59" s="1045"/>
      <c r="W59" s="1045"/>
      <c r="X59" s="1045"/>
      <c r="Y59" s="1045"/>
      <c r="Z59" s="1045"/>
      <c r="AA59" s="1045"/>
      <c r="AB59" s="1045"/>
      <c r="AC59" s="1045"/>
    </row>
    <row r="60" spans="1:29" s="857" customFormat="1" ht="15">
      <c r="A60" s="1111"/>
      <c r="B60" s="1106"/>
      <c r="C60" s="1114"/>
      <c r="D60" s="1103"/>
      <c r="E60" s="1103"/>
      <c r="F60" s="1103"/>
      <c r="G60" s="1103"/>
      <c r="H60" s="1103"/>
      <c r="I60" s="1103"/>
      <c r="J60" s="1103"/>
      <c r="K60" s="1103"/>
      <c r="L60" s="1103"/>
      <c r="M60" s="1144"/>
      <c r="N60" s="1145"/>
      <c r="O60" s="1145"/>
      <c r="P60" s="1313"/>
      <c r="Q60" s="1183"/>
      <c r="R60" s="1045"/>
      <c r="S60" s="1045"/>
      <c r="T60" s="1045"/>
      <c r="U60" s="1045"/>
      <c r="V60" s="1045"/>
      <c r="W60" s="1045"/>
      <c r="X60" s="1045"/>
      <c r="Y60" s="1045"/>
      <c r="Z60" s="1045"/>
      <c r="AA60" s="1045"/>
      <c r="AB60" s="1045"/>
      <c r="AC60" s="1045"/>
    </row>
    <row r="61" spans="1:29" s="857" customFormat="1" ht="15">
      <c r="A61" s="1111"/>
      <c r="B61" s="1104">
        <f>B13</f>
        <v>111</v>
      </c>
      <c r="C61" s="1112"/>
      <c r="D61" s="1112"/>
      <c r="E61" s="1112"/>
      <c r="F61" s="1112"/>
      <c r="G61" s="1112"/>
      <c r="H61" s="1113"/>
      <c r="I61" s="1113"/>
      <c r="J61" s="1113"/>
      <c r="K61" s="1113"/>
      <c r="L61" s="1153"/>
      <c r="M61" s="1154"/>
      <c r="N61" s="1155"/>
      <c r="O61" s="1155"/>
      <c r="P61" s="1314"/>
      <c r="Q61" s="1184"/>
      <c r="R61" s="1045"/>
      <c r="S61" s="1045"/>
      <c r="T61" s="1045"/>
      <c r="U61" s="1045"/>
      <c r="V61" s="1045"/>
      <c r="W61" s="1045"/>
      <c r="X61" s="1045"/>
      <c r="Y61" s="1045"/>
      <c r="Z61" s="1045"/>
      <c r="AA61" s="1045"/>
      <c r="AB61" s="1045"/>
      <c r="AC61" s="1045"/>
    </row>
    <row r="62" spans="1:29" s="857" customFormat="1" ht="15">
      <c r="A62" s="1111"/>
      <c r="B62" s="1106"/>
      <c r="C62" s="1114"/>
      <c r="D62" s="1114"/>
      <c r="E62" s="1114"/>
      <c r="F62" s="1114"/>
      <c r="G62" s="1114"/>
      <c r="H62" s="1115"/>
      <c r="I62" s="1115"/>
      <c r="J62" s="1115"/>
      <c r="K62" s="1115"/>
      <c r="L62" s="1115"/>
      <c r="M62" s="1156"/>
      <c r="N62" s="1155"/>
      <c r="O62" s="1155"/>
      <c r="P62" s="1313"/>
      <c r="Q62" s="1183"/>
      <c r="R62" s="1045"/>
      <c r="S62" s="1045"/>
      <c r="T62" s="1045"/>
      <c r="U62" s="1045"/>
      <c r="V62" s="1045"/>
      <c r="W62" s="1045"/>
      <c r="X62" s="1045"/>
      <c r="Y62" s="1045"/>
      <c r="Z62" s="1045"/>
      <c r="AA62" s="1045"/>
      <c r="AB62" s="1045"/>
      <c r="AC62" s="1045"/>
    </row>
    <row r="63" spans="1:29">
      <c r="A63" s="912" t="s">
        <v>967</v>
      </c>
      <c r="B63" s="1101" t="s">
        <v>973</v>
      </c>
      <c r="C63" s="1121" t="s">
        <v>1028</v>
      </c>
      <c r="D63" s="1121" t="s">
        <v>1029</v>
      </c>
      <c r="E63" s="1121" t="s">
        <v>1030</v>
      </c>
      <c r="F63" s="1121" t="s">
        <v>1031</v>
      </c>
      <c r="G63" s="1121" t="s">
        <v>1032</v>
      </c>
      <c r="H63" s="637"/>
      <c r="I63" s="637"/>
      <c r="J63" s="637"/>
      <c r="K63" s="1161"/>
      <c r="L63" s="1162"/>
      <c r="M63" s="1163"/>
      <c r="N63" s="1143"/>
      <c r="O63" s="1143"/>
      <c r="P63" s="1315"/>
      <c r="Q63" s="1079"/>
      <c r="R63" s="971"/>
      <c r="S63" s="971"/>
      <c r="T63" s="971"/>
      <c r="U63" s="971"/>
      <c r="V63" s="971"/>
      <c r="W63" s="971"/>
      <c r="X63" s="971"/>
      <c r="Y63" s="971"/>
      <c r="Z63" s="971"/>
      <c r="AA63" s="971"/>
      <c r="AB63" s="971"/>
      <c r="AC63" s="971"/>
    </row>
    <row r="64" spans="1:29" ht="15">
      <c r="A64" s="899"/>
      <c r="B64" s="1106"/>
      <c r="C64" s="1107">
        <v>100</v>
      </c>
      <c r="D64" s="1107">
        <f>C64-$K14</f>
        <v>95</v>
      </c>
      <c r="E64" s="1107">
        <f>D64-$K14</f>
        <v>90</v>
      </c>
      <c r="F64" s="1107">
        <f>E64-$K14</f>
        <v>85</v>
      </c>
      <c r="G64" s="1107">
        <f>F64-$K14</f>
        <v>80</v>
      </c>
      <c r="H64" s="1107"/>
      <c r="I64" s="1107"/>
      <c r="J64" s="1107"/>
      <c r="K64" s="1107"/>
      <c r="L64" s="1107"/>
      <c r="M64" s="1149"/>
      <c r="N64" s="1145"/>
      <c r="O64" s="1145"/>
      <c r="P64" s="1312"/>
      <c r="Q64" s="1079"/>
      <c r="R64" s="971"/>
      <c r="S64" s="971"/>
      <c r="T64" s="971"/>
      <c r="U64" s="971"/>
      <c r="V64" s="971"/>
      <c r="W64" s="971"/>
      <c r="X64" s="971"/>
      <c r="Y64" s="971"/>
      <c r="Z64" s="971"/>
      <c r="AA64" s="971"/>
      <c r="AB64" s="971"/>
      <c r="AC64" s="971"/>
    </row>
    <row r="65" spans="1:29" ht="15">
      <c r="A65" s="899"/>
      <c r="B65" s="1104" t="s">
        <v>976</v>
      </c>
      <c r="C65" s="1122" t="s">
        <v>1028</v>
      </c>
      <c r="D65" s="1122" t="s">
        <v>1029</v>
      </c>
      <c r="E65" s="1122" t="s">
        <v>1030</v>
      </c>
      <c r="F65" s="1122" t="s">
        <v>1031</v>
      </c>
      <c r="G65" s="1122" t="s">
        <v>1032</v>
      </c>
      <c r="H65" s="1105"/>
      <c r="I65" s="1105"/>
      <c r="J65" s="1105"/>
      <c r="K65" s="1146"/>
      <c r="L65" s="1147"/>
      <c r="M65" s="1148"/>
      <c r="N65" s="1143"/>
      <c r="O65" s="1143"/>
      <c r="P65" s="1312"/>
      <c r="Q65" s="1079"/>
      <c r="R65" s="971"/>
      <c r="S65" s="971"/>
      <c r="T65" s="971"/>
      <c r="U65" s="971"/>
      <c r="V65" s="971"/>
      <c r="W65" s="971"/>
      <c r="X65" s="971"/>
      <c r="Y65" s="971"/>
      <c r="Z65" s="971"/>
      <c r="AA65" s="971"/>
      <c r="AB65" s="971"/>
      <c r="AC65" s="971"/>
    </row>
    <row r="66" spans="1:29" ht="15">
      <c r="A66" s="899"/>
      <c r="B66" s="1106"/>
      <c r="C66" s="1107">
        <v>100</v>
      </c>
      <c r="D66" s="1107">
        <f>C66-$K16</f>
        <v>95</v>
      </c>
      <c r="E66" s="1107">
        <f>D66-$K16</f>
        <v>90</v>
      </c>
      <c r="F66" s="1107">
        <f>E66-$K16</f>
        <v>85</v>
      </c>
      <c r="G66" s="1107">
        <f>F66-$K16</f>
        <v>80</v>
      </c>
      <c r="H66" s="1107"/>
      <c r="I66" s="1107"/>
      <c r="J66" s="1107"/>
      <c r="K66" s="1107"/>
      <c r="L66" s="1107"/>
      <c r="M66" s="1149"/>
      <c r="N66" s="1145"/>
      <c r="O66" s="1145"/>
      <c r="P66" s="1312"/>
      <c r="Q66" s="1079"/>
      <c r="R66" s="971"/>
      <c r="S66" s="971"/>
      <c r="T66" s="971"/>
      <c r="U66" s="971"/>
      <c r="V66" s="971"/>
      <c r="W66" s="971"/>
      <c r="X66" s="971"/>
      <c r="Y66" s="971"/>
      <c r="Z66" s="971"/>
      <c r="AA66" s="971"/>
      <c r="AB66" s="971"/>
      <c r="AC66" s="971"/>
    </row>
    <row r="67" spans="1:29" ht="15">
      <c r="A67" s="899"/>
      <c r="B67" s="1108" t="s">
        <v>977</v>
      </c>
      <c r="C67" s="1039" t="s">
        <v>1033</v>
      </c>
      <c r="D67" s="1039" t="s">
        <v>1034</v>
      </c>
      <c r="E67" s="1039" t="s">
        <v>1035</v>
      </c>
      <c r="F67" s="1039" t="s">
        <v>1036</v>
      </c>
      <c r="G67" s="1039" t="s">
        <v>1037</v>
      </c>
      <c r="H67" s="1105"/>
      <c r="I67" s="1105"/>
      <c r="J67" s="1105"/>
      <c r="K67" s="1105"/>
      <c r="L67" s="1105"/>
      <c r="M67" s="1248"/>
      <c r="N67" s="1145"/>
      <c r="O67" s="1145"/>
      <c r="P67" s="1312"/>
      <c r="Q67" s="1079"/>
      <c r="R67" s="971"/>
      <c r="S67" s="971"/>
      <c r="T67" s="971"/>
      <c r="U67" s="971"/>
      <c r="V67" s="971"/>
      <c r="W67" s="971"/>
      <c r="X67" s="971"/>
      <c r="Y67" s="971"/>
      <c r="Z67" s="971"/>
      <c r="AA67" s="971"/>
      <c r="AB67" s="971"/>
      <c r="AC67" s="971"/>
    </row>
    <row r="68" spans="1:29" ht="15">
      <c r="A68" s="899"/>
      <c r="B68" s="1108"/>
      <c r="C68" s="1107">
        <v>100</v>
      </c>
      <c r="D68" s="1107">
        <f>C68-$K18</f>
        <v>97</v>
      </c>
      <c r="E68" s="1107">
        <f>D68-$K18</f>
        <v>94</v>
      </c>
      <c r="F68" s="1107">
        <f>E68-$K18</f>
        <v>91</v>
      </c>
      <c r="G68" s="1107">
        <f>F68-$K18</f>
        <v>88</v>
      </c>
      <c r="H68" s="1039"/>
      <c r="I68" s="1039"/>
      <c r="J68" s="1039"/>
      <c r="K68" s="1039"/>
      <c r="L68" s="1039"/>
      <c r="M68" s="921"/>
      <c r="N68" s="1145"/>
      <c r="O68" s="1145"/>
      <c r="P68" s="1312"/>
      <c r="Q68" s="1079"/>
      <c r="R68" s="971"/>
      <c r="S68" s="971"/>
      <c r="T68" s="971"/>
      <c r="U68" s="971"/>
      <c r="V68" s="971"/>
      <c r="W68" s="971"/>
      <c r="X68" s="971"/>
      <c r="Y68" s="971"/>
      <c r="Z68" s="971"/>
      <c r="AA68" s="971"/>
      <c r="AB68" s="971"/>
      <c r="AC68" s="971"/>
    </row>
    <row r="69" spans="1:29" ht="15">
      <c r="A69" s="899"/>
      <c r="B69" s="1104" t="s">
        <v>1557</v>
      </c>
      <c r="C69" s="1122" t="s">
        <v>1028</v>
      </c>
      <c r="D69" s="1122" t="s">
        <v>1029</v>
      </c>
      <c r="E69" s="1122" t="s">
        <v>1030</v>
      </c>
      <c r="F69" s="1122" t="s">
        <v>1031</v>
      </c>
      <c r="G69" s="1122" t="s">
        <v>1032</v>
      </c>
      <c r="H69" s="1105"/>
      <c r="I69" s="1105"/>
      <c r="J69" s="1105"/>
      <c r="K69" s="1146"/>
      <c r="L69" s="1147"/>
      <c r="M69" s="1148"/>
      <c r="N69" s="1143"/>
      <c r="O69" s="1143"/>
      <c r="P69" s="1312"/>
      <c r="Q69" s="1079"/>
      <c r="R69" s="971"/>
      <c r="S69" s="971"/>
      <c r="T69" s="971"/>
      <c r="U69" s="971"/>
      <c r="V69" s="971"/>
      <c r="W69" s="971"/>
      <c r="X69" s="971"/>
      <c r="Y69" s="971"/>
      <c r="Z69" s="971"/>
      <c r="AA69" s="971"/>
      <c r="AB69" s="971"/>
      <c r="AC69" s="971"/>
    </row>
    <row r="70" spans="1:29" ht="15">
      <c r="A70" s="899"/>
      <c r="B70" s="1106"/>
      <c r="C70" s="1107">
        <v>100</v>
      </c>
      <c r="D70" s="1107">
        <f>C70-$K20</f>
        <v>95</v>
      </c>
      <c r="E70" s="1107">
        <f>D70-$K20</f>
        <v>90</v>
      </c>
      <c r="F70" s="1107">
        <f>E70-$K20</f>
        <v>85</v>
      </c>
      <c r="G70" s="1107">
        <f>F70-$K20</f>
        <v>80</v>
      </c>
      <c r="H70" s="1107"/>
      <c r="I70" s="1107"/>
      <c r="J70" s="1107"/>
      <c r="K70" s="1107"/>
      <c r="L70" s="1107"/>
      <c r="M70" s="1149"/>
      <c r="N70" s="1145"/>
      <c r="O70" s="1145"/>
      <c r="P70" s="1312"/>
      <c r="Q70" s="1079"/>
      <c r="R70" s="971"/>
      <c r="S70" s="971"/>
      <c r="T70" s="971"/>
      <c r="U70" s="971"/>
      <c r="V70" s="971"/>
      <c r="W70" s="971"/>
      <c r="X70" s="971"/>
      <c r="Y70" s="971"/>
      <c r="Z70" s="971"/>
      <c r="AA70" s="971"/>
      <c r="AB70" s="971"/>
      <c r="AC70" s="971"/>
    </row>
    <row r="71" spans="1:29" ht="15">
      <c r="A71" s="899"/>
      <c r="B71" s="1104" t="s">
        <v>1939</v>
      </c>
      <c r="C71" s="1316" t="s">
        <v>457</v>
      </c>
      <c r="D71" s="1112"/>
      <c r="E71" s="1112"/>
      <c r="F71" s="1112"/>
      <c r="G71" s="1112"/>
      <c r="H71" s="1126"/>
      <c r="I71" s="1126"/>
      <c r="J71" s="1126"/>
      <c r="K71" s="1171"/>
      <c r="L71" s="1172"/>
      <c r="M71" s="1173"/>
      <c r="N71" s="1143"/>
      <c r="O71" s="1143"/>
      <c r="P71" s="1312"/>
      <c r="Q71" s="1079"/>
      <c r="R71" s="971"/>
      <c r="S71" s="971"/>
      <c r="T71" s="971"/>
      <c r="U71" s="971"/>
      <c r="V71" s="971"/>
      <c r="W71" s="971"/>
      <c r="X71" s="971"/>
      <c r="Y71" s="971"/>
      <c r="Z71" s="971"/>
      <c r="AA71" s="971"/>
      <c r="AB71" s="971"/>
      <c r="AC71" s="971"/>
    </row>
    <row r="72" spans="1:29" ht="15">
      <c r="A72" s="899"/>
      <c r="B72" s="1106"/>
      <c r="C72" s="1107">
        <v>100</v>
      </c>
      <c r="D72" s="1107">
        <f>C72-$K22</f>
        <v>98</v>
      </c>
      <c r="E72" s="1107">
        <f>D72-$K22</f>
        <v>96</v>
      </c>
      <c r="F72" s="1107">
        <f>E72-$K22</f>
        <v>94</v>
      </c>
      <c r="G72" s="1107">
        <f>F72-$K22</f>
        <v>92</v>
      </c>
      <c r="H72" s="1107"/>
      <c r="I72" s="1107"/>
      <c r="J72" s="1107"/>
      <c r="K72" s="1107"/>
      <c r="L72" s="1107"/>
      <c r="M72" s="1149"/>
      <c r="N72" s="1145"/>
      <c r="O72" s="1145"/>
      <c r="P72" s="1312"/>
      <c r="Q72" s="1079"/>
      <c r="R72" s="971"/>
      <c r="S72" s="971"/>
      <c r="T72" s="971"/>
      <c r="U72" s="971"/>
      <c r="V72" s="971"/>
      <c r="W72" s="971"/>
      <c r="X72" s="971"/>
      <c r="Y72" s="971"/>
      <c r="Z72" s="971"/>
      <c r="AA72" s="971"/>
      <c r="AB72" s="971"/>
      <c r="AC72" s="971"/>
    </row>
    <row r="73" spans="1:29" s="855" customFormat="1" ht="15">
      <c r="A73" s="902"/>
      <c r="B73" s="1104">
        <f>B23</f>
        <v>111</v>
      </c>
      <c r="C73" s="905"/>
      <c r="D73" s="905"/>
      <c r="E73" s="905"/>
      <c r="F73" s="905"/>
      <c r="G73" s="1112"/>
      <c r="H73" s="1112"/>
      <c r="I73" s="1112"/>
      <c r="J73" s="1112"/>
      <c r="K73" s="1112"/>
      <c r="L73" s="1249"/>
      <c r="M73" s="1250"/>
      <c r="N73" s="1138"/>
      <c r="O73" s="1138"/>
      <c r="P73" s="1312"/>
      <c r="Q73" s="1079"/>
      <c r="R73" s="1027"/>
      <c r="S73" s="1027"/>
      <c r="T73" s="1027"/>
      <c r="U73" s="1027"/>
      <c r="V73" s="1027"/>
      <c r="W73" s="1027"/>
      <c r="X73" s="1027"/>
      <c r="Y73" s="1027"/>
      <c r="Z73" s="1027"/>
      <c r="AA73" s="1027"/>
      <c r="AB73" s="1027"/>
      <c r="AC73" s="1027"/>
    </row>
    <row r="74" spans="1:29" s="855" customFormat="1" ht="15">
      <c r="A74" s="902"/>
      <c r="B74" s="1106"/>
      <c r="C74" s="1114"/>
      <c r="D74" s="1103"/>
      <c r="E74" s="1103"/>
      <c r="F74" s="1103"/>
      <c r="G74" s="1103"/>
      <c r="H74" s="1103"/>
      <c r="I74" s="1103"/>
      <c r="J74" s="1103"/>
      <c r="K74" s="1103"/>
      <c r="L74" s="1103"/>
      <c r="M74" s="1144"/>
      <c r="N74" s="1145"/>
      <c r="O74" s="1145"/>
      <c r="P74" s="1312"/>
      <c r="Q74" s="1079"/>
      <c r="R74" s="1027"/>
      <c r="S74" s="1027"/>
      <c r="T74" s="1027"/>
      <c r="U74" s="1027"/>
      <c r="V74" s="1027"/>
      <c r="W74" s="1027"/>
      <c r="X74" s="1027"/>
      <c r="Y74" s="1027"/>
      <c r="Z74" s="1027"/>
      <c r="AA74" s="1027"/>
      <c r="AB74" s="1027"/>
      <c r="AC74" s="1027"/>
    </row>
    <row r="75" spans="1:29" s="855" customFormat="1" ht="15">
      <c r="A75" s="902"/>
      <c r="B75" s="1104">
        <f>B24</f>
        <v>111</v>
      </c>
      <c r="C75" s="905"/>
      <c r="D75" s="905"/>
      <c r="E75" s="905"/>
      <c r="F75" s="905"/>
      <c r="G75" s="1112"/>
      <c r="H75" s="1112"/>
      <c r="I75" s="1112"/>
      <c r="J75" s="1112"/>
      <c r="K75" s="1112"/>
      <c r="L75" s="1112"/>
      <c r="M75" s="1250"/>
      <c r="N75" s="1138"/>
      <c r="O75" s="1138"/>
      <c r="P75" s="1312"/>
      <c r="Q75" s="1079"/>
      <c r="R75" s="1027"/>
      <c r="S75" s="1027"/>
      <c r="T75" s="1027"/>
      <c r="U75" s="1027"/>
      <c r="V75" s="1027"/>
      <c r="W75" s="1027"/>
      <c r="X75" s="1027"/>
      <c r="Y75" s="1027"/>
      <c r="Z75" s="1027"/>
      <c r="AA75" s="1027"/>
      <c r="AB75" s="1027"/>
      <c r="AC75" s="1027"/>
    </row>
    <row r="76" spans="1:29" s="855" customFormat="1" ht="15">
      <c r="A76" s="902"/>
      <c r="B76" s="1106"/>
      <c r="C76" s="1114"/>
      <c r="D76" s="1103"/>
      <c r="E76" s="1103"/>
      <c r="F76" s="1103"/>
      <c r="G76" s="1103"/>
      <c r="H76" s="1103"/>
      <c r="I76" s="1103"/>
      <c r="J76" s="1103"/>
      <c r="K76" s="1103"/>
      <c r="L76" s="1103"/>
      <c r="M76" s="1144"/>
      <c r="N76" s="1145"/>
      <c r="O76" s="1145"/>
      <c r="P76" s="1312"/>
      <c r="Q76" s="1079"/>
      <c r="R76" s="1027"/>
      <c r="S76" s="1027"/>
      <c r="T76" s="1027"/>
      <c r="U76" s="1027"/>
      <c r="V76" s="1027"/>
      <c r="W76" s="1027"/>
      <c r="X76" s="1027"/>
      <c r="Y76" s="1027"/>
      <c r="Z76" s="1027"/>
      <c r="AA76" s="1027"/>
      <c r="AB76" s="1027"/>
      <c r="AC76" s="1027"/>
    </row>
    <row r="77" spans="1:29" s="857" customFormat="1" ht="15">
      <c r="A77" s="1111"/>
      <c r="B77" s="1104">
        <f>B25</f>
        <v>111</v>
      </c>
      <c r="C77" s="1112"/>
      <c r="D77" s="1112"/>
      <c r="E77" s="1112"/>
      <c r="F77" s="1112"/>
      <c r="G77" s="1112"/>
      <c r="H77" s="1113"/>
      <c r="I77" s="1113"/>
      <c r="J77" s="1113"/>
      <c r="K77" s="1113"/>
      <c r="L77" s="1153"/>
      <c r="M77" s="1154"/>
      <c r="N77" s="1155"/>
      <c r="O77" s="1155"/>
      <c r="P77" s="1313"/>
      <c r="Q77" s="1183"/>
      <c r="R77" s="1045"/>
      <c r="S77" s="1045"/>
      <c r="T77" s="1045"/>
      <c r="U77" s="1045"/>
      <c r="V77" s="1045"/>
      <c r="W77" s="1045"/>
      <c r="X77" s="1045"/>
      <c r="Y77" s="1045"/>
      <c r="Z77" s="1045"/>
      <c r="AA77" s="1045"/>
      <c r="AB77" s="1045"/>
      <c r="AC77" s="1045"/>
    </row>
    <row r="78" spans="1:29" s="857" customFormat="1" ht="15">
      <c r="A78" s="1111"/>
      <c r="B78" s="1106"/>
      <c r="C78" s="1114"/>
      <c r="D78" s="1114"/>
      <c r="E78" s="1114"/>
      <c r="F78" s="1114"/>
      <c r="G78" s="1103"/>
      <c r="H78" s="1103"/>
      <c r="I78" s="1103"/>
      <c r="J78" s="1103"/>
      <c r="K78" s="1103"/>
      <c r="L78" s="1103"/>
      <c r="M78" s="1144"/>
      <c r="N78" s="1155"/>
      <c r="O78" s="1155"/>
      <c r="P78" s="1313"/>
      <c r="Q78" s="1183"/>
      <c r="R78" s="1045"/>
      <c r="S78" s="1045"/>
      <c r="T78" s="1045"/>
      <c r="U78" s="1045"/>
      <c r="V78" s="1045"/>
      <c r="W78" s="1045"/>
      <c r="X78" s="1045"/>
      <c r="Y78" s="1045"/>
      <c r="Z78" s="1045"/>
      <c r="AA78" s="1045"/>
      <c r="AB78" s="1045"/>
      <c r="AC78" s="1045"/>
    </row>
    <row r="79" spans="1:29" ht="27">
      <c r="A79" s="912" t="s">
        <v>983</v>
      </c>
      <c r="B79" s="1101" t="s">
        <v>1968</v>
      </c>
      <c r="C79" s="637" t="str">
        <f>C26</f>
        <v>车库</v>
      </c>
      <c r="D79" s="1047"/>
      <c r="E79" s="1047"/>
      <c r="F79" s="1047"/>
      <c r="G79" s="1047"/>
      <c r="H79" s="1047"/>
      <c r="I79" s="1047"/>
      <c r="J79" s="1047"/>
      <c r="K79" s="1140"/>
      <c r="L79" s="1141"/>
      <c r="M79" s="1142"/>
      <c r="N79" s="1143"/>
      <c r="O79" s="1143"/>
      <c r="P79" s="1312"/>
      <c r="Q79" s="1079"/>
      <c r="R79" s="971"/>
      <c r="S79" s="971"/>
      <c r="T79" s="971"/>
      <c r="U79" s="971"/>
      <c r="V79" s="971"/>
      <c r="W79" s="971"/>
      <c r="X79" s="971"/>
      <c r="Y79" s="971"/>
      <c r="Z79" s="971"/>
      <c r="AA79" s="971"/>
      <c r="AB79" s="971"/>
      <c r="AC79" s="971"/>
    </row>
    <row r="80" spans="1:29" ht="15">
      <c r="A80" s="899"/>
      <c r="B80" s="1106"/>
      <c r="C80" s="1107">
        <v>100</v>
      </c>
      <c r="D80" s="1107">
        <f t="shared" ref="D80:M80" si="17">C80-$K26</f>
        <v>98</v>
      </c>
      <c r="E80" s="1107">
        <f t="shared" si="17"/>
        <v>96</v>
      </c>
      <c r="F80" s="1107">
        <f t="shared" si="17"/>
        <v>94</v>
      </c>
      <c r="G80" s="1107">
        <f t="shared" si="17"/>
        <v>92</v>
      </c>
      <c r="H80" s="1107">
        <f t="shared" si="17"/>
        <v>90</v>
      </c>
      <c r="I80" s="1107">
        <f t="shared" si="17"/>
        <v>88</v>
      </c>
      <c r="J80" s="1107">
        <f t="shared" si="17"/>
        <v>86</v>
      </c>
      <c r="K80" s="1107">
        <f t="shared" si="17"/>
        <v>84</v>
      </c>
      <c r="L80" s="1107">
        <f t="shared" si="17"/>
        <v>82</v>
      </c>
      <c r="M80" s="1149">
        <f t="shared" si="17"/>
        <v>80</v>
      </c>
      <c r="N80" s="1145"/>
      <c r="O80" s="1145"/>
      <c r="P80" s="1312"/>
      <c r="Q80" s="1079"/>
      <c r="R80" s="971"/>
      <c r="S80" s="971"/>
      <c r="T80" s="971"/>
      <c r="U80" s="971"/>
      <c r="V80" s="971"/>
      <c r="W80" s="971"/>
      <c r="X80" s="971"/>
      <c r="Y80" s="971"/>
      <c r="Z80" s="971"/>
      <c r="AA80" s="971"/>
      <c r="AB80" s="971"/>
      <c r="AC80" s="971"/>
    </row>
    <row r="81" spans="1:29" ht="15">
      <c r="A81" s="899"/>
      <c r="B81" s="1104" t="s">
        <v>1960</v>
      </c>
      <c r="C81" s="1317"/>
      <c r="D81" s="1317"/>
      <c r="E81" s="1317"/>
      <c r="F81" s="1317"/>
      <c r="G81" s="1317"/>
      <c r="H81" s="1317"/>
      <c r="I81" s="1317"/>
      <c r="J81" s="1317"/>
      <c r="K81" s="1325"/>
      <c r="L81" s="1326"/>
      <c r="M81" s="1327"/>
      <c r="N81" s="1138"/>
      <c r="O81" s="1138"/>
      <c r="P81" s="1312"/>
      <c r="Q81" s="1079"/>
      <c r="R81" s="971"/>
      <c r="S81" s="971"/>
      <c r="T81" s="971"/>
      <c r="U81" s="971"/>
      <c r="V81" s="971"/>
      <c r="W81" s="971"/>
      <c r="X81" s="971"/>
      <c r="Y81" s="971"/>
      <c r="Z81" s="971"/>
      <c r="AA81" s="971"/>
      <c r="AB81" s="971"/>
      <c r="AC81" s="971"/>
    </row>
    <row r="82" spans="1:29" s="857" customFormat="1" ht="15">
      <c r="A82" s="1111"/>
      <c r="B82" s="1106"/>
      <c r="C82" s="1114"/>
      <c r="D82" s="1103"/>
      <c r="E82" s="1103"/>
      <c r="F82" s="1103"/>
      <c r="G82" s="1103"/>
      <c r="H82" s="1103"/>
      <c r="I82" s="1103"/>
      <c r="J82" s="1103"/>
      <c r="K82" s="1103"/>
      <c r="L82" s="1103"/>
      <c r="M82" s="1144"/>
      <c r="N82" s="1145"/>
      <c r="O82" s="1145"/>
      <c r="P82" s="1313"/>
      <c r="Q82" s="1183"/>
      <c r="R82" s="1045"/>
      <c r="S82" s="1045"/>
      <c r="T82" s="1045"/>
      <c r="U82" s="1045"/>
      <c r="V82" s="1045"/>
      <c r="W82" s="1045"/>
      <c r="X82" s="1045"/>
      <c r="Y82" s="1045"/>
      <c r="Z82" s="1045"/>
      <c r="AA82" s="1045"/>
      <c r="AB82" s="1045"/>
      <c r="AC82" s="1045"/>
    </row>
    <row r="83" spans="1:29">
      <c r="A83" s="947"/>
      <c r="B83" s="1104" t="s">
        <v>1567</v>
      </c>
      <c r="C83" s="1318" t="s">
        <v>1568</v>
      </c>
      <c r="D83" s="1318" t="s">
        <v>1587</v>
      </c>
      <c r="E83" s="1319" t="s">
        <v>1588</v>
      </c>
      <c r="F83" s="1319" t="s">
        <v>1575</v>
      </c>
      <c r="G83" s="1126"/>
      <c r="H83" s="1126"/>
      <c r="I83" s="1126"/>
      <c r="J83" s="1126"/>
      <c r="K83" s="1171"/>
      <c r="L83" s="1172"/>
      <c r="M83" s="1173"/>
      <c r="N83" s="1143"/>
      <c r="O83" s="1143"/>
      <c r="P83" s="1312"/>
      <c r="Q83" s="1079"/>
      <c r="R83" s="971"/>
      <c r="S83" s="971"/>
      <c r="T83" s="971"/>
      <c r="U83" s="971"/>
      <c r="V83" s="971"/>
      <c r="W83" s="971"/>
      <c r="X83" s="971"/>
      <c r="Y83" s="971"/>
      <c r="Z83" s="971"/>
      <c r="AA83" s="971"/>
      <c r="AB83" s="971"/>
      <c r="AC83" s="971"/>
    </row>
    <row r="84" spans="1:29" ht="15">
      <c r="A84" s="899"/>
      <c r="B84" s="1106"/>
      <c r="C84" s="1107">
        <v>100</v>
      </c>
      <c r="D84" s="1107">
        <f t="shared" ref="D84:M84" si="18">C84-$K28</f>
        <v>98</v>
      </c>
      <c r="E84" s="1107">
        <f t="shared" si="18"/>
        <v>96</v>
      </c>
      <c r="F84" s="1107">
        <f t="shared" si="18"/>
        <v>94</v>
      </c>
      <c r="G84" s="1107">
        <f t="shared" si="18"/>
        <v>92</v>
      </c>
      <c r="H84" s="1107">
        <f t="shared" si="18"/>
        <v>90</v>
      </c>
      <c r="I84" s="1107">
        <f t="shared" si="18"/>
        <v>88</v>
      </c>
      <c r="J84" s="1107">
        <f t="shared" si="18"/>
        <v>86</v>
      </c>
      <c r="K84" s="1107">
        <f t="shared" si="18"/>
        <v>84</v>
      </c>
      <c r="L84" s="1107">
        <f t="shared" si="18"/>
        <v>82</v>
      </c>
      <c r="M84" s="1149">
        <f t="shared" si="18"/>
        <v>80</v>
      </c>
      <c r="N84" s="1145"/>
      <c r="O84" s="1145"/>
      <c r="P84" s="1312"/>
      <c r="Q84" s="1079"/>
      <c r="R84" s="971"/>
      <c r="S84" s="971"/>
      <c r="T84" s="971"/>
      <c r="U84" s="971"/>
      <c r="V84" s="971"/>
      <c r="W84" s="971"/>
      <c r="X84" s="971"/>
      <c r="Y84" s="971"/>
      <c r="Z84" s="971"/>
      <c r="AA84" s="971"/>
      <c r="AB84" s="971"/>
      <c r="AC84" s="971"/>
    </row>
    <row r="85" spans="1:29">
      <c r="A85" s="947"/>
      <c r="B85" s="1104" t="s">
        <v>1961</v>
      </c>
      <c r="C85" s="1122" t="str">
        <f>C86&amp;"(含)"&amp;"-"&amp;D86</f>
        <v>0.5(含)-0.6</v>
      </c>
      <c r="D85" s="1122" t="str">
        <f>D86&amp;"(含)"&amp;"-"&amp;E86</f>
        <v>0.6(含)-0.7</v>
      </c>
      <c r="E85" s="1122" t="str">
        <f>E86&amp;"(含)"&amp;"-"&amp;F86</f>
        <v>0.7(含)-0.8</v>
      </c>
      <c r="F85" s="1122" t="str">
        <f>F86&amp;"(含)"&amp;"-"&amp;G86</f>
        <v>0.8(含)-0.9</v>
      </c>
      <c r="G85" s="1122" t="str">
        <f>G86&amp;"(含)"&amp;"-"&amp;ROUND(H86,0)&amp;"(含)"</f>
        <v>0.9(含)-1(含)</v>
      </c>
      <c r="H85" s="1122"/>
      <c r="I85" s="1126"/>
      <c r="J85" s="1126"/>
      <c r="K85" s="1171"/>
      <c r="L85" s="1172"/>
      <c r="M85" s="1173"/>
      <c r="N85" s="1143"/>
      <c r="O85" s="1143"/>
      <c r="P85" s="1312"/>
      <c r="Q85" s="1079"/>
      <c r="R85" s="971"/>
      <c r="S85" s="971"/>
      <c r="T85" s="971"/>
      <c r="U85" s="971"/>
      <c r="V85" s="971"/>
      <c r="W85" s="971"/>
      <c r="X85" s="971"/>
      <c r="Y85" s="971"/>
      <c r="Z85" s="971"/>
      <c r="AA85" s="971"/>
      <c r="AB85" s="971"/>
      <c r="AC85" s="971"/>
    </row>
    <row r="86" spans="1:29">
      <c r="A86" s="947"/>
      <c r="B86" s="1108"/>
      <c r="C86" s="795">
        <v>0.5</v>
      </c>
      <c r="D86" s="795">
        <v>0.6</v>
      </c>
      <c r="E86" s="795">
        <v>0.7</v>
      </c>
      <c r="F86" s="795">
        <v>0.8</v>
      </c>
      <c r="G86" s="795">
        <v>0.9</v>
      </c>
      <c r="H86" s="795">
        <v>1.0001</v>
      </c>
      <c r="I86" s="1328"/>
      <c r="J86" s="1328"/>
      <c r="K86" s="1329"/>
      <c r="L86" s="1330"/>
      <c r="M86" s="1331"/>
      <c r="N86" s="1143"/>
      <c r="O86" s="1143"/>
      <c r="P86" s="1312"/>
      <c r="Q86" s="1079"/>
      <c r="R86" s="971"/>
      <c r="S86" s="971"/>
      <c r="T86" s="971"/>
      <c r="U86" s="971"/>
      <c r="V86" s="971"/>
      <c r="W86" s="971"/>
      <c r="X86" s="971"/>
      <c r="Y86" s="971"/>
      <c r="Z86" s="971"/>
      <c r="AA86" s="971"/>
      <c r="AB86" s="971"/>
      <c r="AC86" s="971"/>
    </row>
    <row r="87" spans="1:29" ht="15">
      <c r="A87" s="899"/>
      <c r="B87" s="1106"/>
      <c r="C87" s="1123">
        <v>100</v>
      </c>
      <c r="D87" s="1107">
        <f>C87+$K$29</f>
        <v>101</v>
      </c>
      <c r="E87" s="1107">
        <f t="shared" ref="E87:M87" si="19">D87+$K$29</f>
        <v>102</v>
      </c>
      <c r="F87" s="1107">
        <f t="shared" si="19"/>
        <v>103</v>
      </c>
      <c r="G87" s="1107">
        <f t="shared" si="19"/>
        <v>104</v>
      </c>
      <c r="H87" s="1107">
        <f t="shared" si="19"/>
        <v>105</v>
      </c>
      <c r="I87" s="1107">
        <f t="shared" si="19"/>
        <v>106</v>
      </c>
      <c r="J87" s="1107">
        <f t="shared" si="19"/>
        <v>107</v>
      </c>
      <c r="K87" s="1107">
        <f t="shared" si="19"/>
        <v>108</v>
      </c>
      <c r="L87" s="1107">
        <f t="shared" si="19"/>
        <v>109</v>
      </c>
      <c r="M87" s="1107">
        <f t="shared" si="19"/>
        <v>110</v>
      </c>
      <c r="N87" s="1145"/>
      <c r="O87" s="1145"/>
      <c r="P87" s="1312"/>
      <c r="Q87" s="1079"/>
      <c r="R87" s="971"/>
      <c r="S87" s="971"/>
      <c r="T87" s="971"/>
      <c r="U87" s="971"/>
      <c r="V87" s="971"/>
      <c r="W87" s="971"/>
      <c r="X87" s="971"/>
      <c r="Y87" s="971"/>
      <c r="Z87" s="971"/>
      <c r="AA87" s="971"/>
      <c r="AB87" s="971"/>
      <c r="AC87" s="971"/>
    </row>
    <row r="88" spans="1:29">
      <c r="A88" s="947"/>
      <c r="B88" s="1108" t="s">
        <v>1962</v>
      </c>
      <c r="C88" s="1320" t="s">
        <v>1570</v>
      </c>
      <c r="D88" s="1320" t="s">
        <v>1589</v>
      </c>
      <c r="E88" s="1047"/>
      <c r="F88" s="1047"/>
      <c r="G88" s="1047"/>
      <c r="H88" s="1047"/>
      <c r="I88" s="1047"/>
      <c r="J88" s="1047"/>
      <c r="K88" s="1140"/>
      <c r="L88" s="1141"/>
      <c r="M88" s="1142"/>
      <c r="N88" s="1143"/>
      <c r="O88" s="1143"/>
      <c r="P88" s="1312"/>
      <c r="Q88" s="1079"/>
      <c r="R88" s="971"/>
      <c r="S88" s="971"/>
      <c r="T88" s="971"/>
      <c r="U88" s="971"/>
      <c r="V88" s="971"/>
      <c r="W88" s="971"/>
      <c r="X88" s="971"/>
      <c r="Y88" s="971"/>
      <c r="Z88" s="971"/>
      <c r="AA88" s="971"/>
      <c r="AB88" s="971"/>
      <c r="AC88" s="971"/>
    </row>
    <row r="89" spans="1:29" ht="15">
      <c r="A89" s="899"/>
      <c r="B89" s="1106"/>
      <c r="C89" s="1123">
        <v>100</v>
      </c>
      <c r="D89" s="1107">
        <f t="shared" ref="D89:M89" si="20">C89+$K30</f>
        <v>102</v>
      </c>
      <c r="E89" s="1107">
        <f t="shared" si="20"/>
        <v>104</v>
      </c>
      <c r="F89" s="1107">
        <f t="shared" si="20"/>
        <v>106</v>
      </c>
      <c r="G89" s="1107">
        <f t="shared" si="20"/>
        <v>108</v>
      </c>
      <c r="H89" s="1107">
        <f t="shared" si="20"/>
        <v>110</v>
      </c>
      <c r="I89" s="1107">
        <f t="shared" si="20"/>
        <v>112</v>
      </c>
      <c r="J89" s="1107">
        <f t="shared" si="20"/>
        <v>114</v>
      </c>
      <c r="K89" s="1107">
        <f t="shared" si="20"/>
        <v>116</v>
      </c>
      <c r="L89" s="1107">
        <f t="shared" si="20"/>
        <v>118</v>
      </c>
      <c r="M89" s="1107">
        <f t="shared" si="20"/>
        <v>120</v>
      </c>
      <c r="N89" s="1145"/>
      <c r="O89" s="1145"/>
      <c r="P89" s="1312"/>
      <c r="Q89" s="1079"/>
      <c r="R89" s="971"/>
      <c r="S89" s="971"/>
      <c r="T89" s="971"/>
      <c r="U89" s="971"/>
      <c r="V89" s="971"/>
      <c r="W89" s="971"/>
      <c r="X89" s="971"/>
      <c r="Y89" s="971"/>
      <c r="Z89" s="971"/>
      <c r="AA89" s="971"/>
      <c r="AB89" s="971"/>
      <c r="AC89" s="971"/>
    </row>
    <row r="90" spans="1:29" s="857" customFormat="1">
      <c r="A90" s="952"/>
      <c r="B90" s="1104" t="s">
        <v>1963</v>
      </c>
      <c r="C90" s="1122" t="str">
        <f>C91&amp;"(含)"&amp;"-"&amp;D91</f>
        <v>0(含)-20</v>
      </c>
      <c r="D90" s="1122" t="str">
        <f t="shared" ref="D90:L90" si="21">D91&amp;"(含)"&amp;"-"&amp;E91</f>
        <v>20(含)-30</v>
      </c>
      <c r="E90" s="1122" t="str">
        <f t="shared" si="21"/>
        <v>30(含)-40</v>
      </c>
      <c r="F90" s="1122" t="str">
        <f t="shared" si="21"/>
        <v>40(含)-</v>
      </c>
      <c r="G90" s="1122" t="str">
        <f t="shared" si="21"/>
        <v>(含)-</v>
      </c>
      <c r="H90" s="1122" t="str">
        <f t="shared" si="21"/>
        <v>(含)-</v>
      </c>
      <c r="I90" s="1122" t="str">
        <f t="shared" si="21"/>
        <v>(含)-</v>
      </c>
      <c r="J90" s="1122" t="str">
        <f t="shared" si="21"/>
        <v>(含)-</v>
      </c>
      <c r="K90" s="1122" t="str">
        <f t="shared" si="21"/>
        <v>(含)-</v>
      </c>
      <c r="L90" s="1122" t="str">
        <f t="shared" si="21"/>
        <v>(含)-</v>
      </c>
      <c r="M90" s="1166" t="str">
        <f>M91&amp;"(含)"&amp;"-"&amp;P91</f>
        <v>(含)-</v>
      </c>
      <c r="N90" s="1155"/>
      <c r="O90" s="1155"/>
      <c r="P90" s="1313"/>
      <c r="Q90" s="1183"/>
      <c r="R90" s="1045"/>
      <c r="S90" s="1045"/>
      <c r="T90" s="1045"/>
      <c r="U90" s="1045"/>
      <c r="V90" s="1045"/>
      <c r="W90" s="1045"/>
      <c r="X90" s="1045"/>
      <c r="Y90" s="1045"/>
      <c r="Z90" s="1045"/>
      <c r="AA90" s="1045"/>
      <c r="AB90" s="1045"/>
      <c r="AC90" s="1045"/>
    </row>
    <row r="91" spans="1:29" s="857" customFormat="1">
      <c r="A91" s="952"/>
      <c r="B91" s="1108"/>
      <c r="C91" s="1321">
        <v>0</v>
      </c>
      <c r="D91" s="1321">
        <v>20</v>
      </c>
      <c r="E91" s="1321">
        <v>30</v>
      </c>
      <c r="F91" s="1090">
        <v>40</v>
      </c>
      <c r="G91" s="1090"/>
      <c r="H91" s="1090"/>
      <c r="I91" s="1090"/>
      <c r="J91" s="1178"/>
      <c r="K91" s="1178"/>
      <c r="L91" s="1179"/>
      <c r="M91" s="1180"/>
      <c r="N91" s="1155"/>
      <c r="O91" s="1155"/>
      <c r="P91" s="1313"/>
      <c r="Q91" s="1183"/>
      <c r="R91" s="1045"/>
      <c r="S91" s="1045"/>
      <c r="T91" s="1045"/>
      <c r="U91" s="1045"/>
      <c r="V91" s="1045"/>
      <c r="W91" s="1045"/>
      <c r="X91" s="1045"/>
      <c r="Y91" s="1045"/>
      <c r="Z91" s="1045"/>
      <c r="AA91" s="1045"/>
      <c r="AB91" s="1045"/>
      <c r="AC91" s="1045"/>
    </row>
    <row r="92" spans="1:29" s="857" customFormat="1" ht="15">
      <c r="A92" s="1111"/>
      <c r="B92" s="1106"/>
      <c r="C92" s="1322">
        <v>100</v>
      </c>
      <c r="D92" s="1323">
        <f>C92+2</f>
        <v>102</v>
      </c>
      <c r="E92" s="1323">
        <f t="shared" ref="E92:F92" si="22">D92+2</f>
        <v>104</v>
      </c>
      <c r="F92" s="1323">
        <f t="shared" si="22"/>
        <v>106</v>
      </c>
      <c r="G92" s="1103"/>
      <c r="H92" s="1103"/>
      <c r="I92" s="1103"/>
      <c r="J92" s="1103"/>
      <c r="K92" s="1103"/>
      <c r="L92" s="1103"/>
      <c r="M92" s="1144"/>
      <c r="N92" s="1155"/>
      <c r="O92" s="1155"/>
      <c r="P92" s="1313"/>
      <c r="Q92" s="1183"/>
      <c r="R92" s="1045"/>
      <c r="S92" s="1045"/>
      <c r="T92" s="1045"/>
      <c r="U92" s="1045"/>
      <c r="V92" s="1045"/>
      <c r="W92" s="1045"/>
      <c r="X92" s="1045"/>
      <c r="Y92" s="1045"/>
      <c r="Z92" s="1045"/>
      <c r="AA92" s="1045"/>
      <c r="AB92" s="1045"/>
      <c r="AC92" s="1045"/>
    </row>
    <row r="93" spans="1:29">
      <c r="A93" s="947"/>
      <c r="B93" s="1104" t="s">
        <v>1964</v>
      </c>
      <c r="C93" s="1318" t="s">
        <v>1969</v>
      </c>
      <c r="D93" s="1318" t="s">
        <v>1965</v>
      </c>
      <c r="E93" s="1324"/>
      <c r="F93" s="1126"/>
      <c r="G93" s="1126"/>
      <c r="H93" s="1126"/>
      <c r="I93" s="1126"/>
      <c r="J93" s="1126"/>
      <c r="K93" s="1171"/>
      <c r="L93" s="1172"/>
      <c r="M93" s="1173"/>
      <c r="N93" s="1143"/>
      <c r="O93" s="1143"/>
      <c r="P93" s="1312"/>
      <c r="Q93" s="1079"/>
      <c r="R93" s="971"/>
      <c r="S93" s="971"/>
      <c r="T93" s="971"/>
      <c r="U93" s="971"/>
      <c r="V93" s="971"/>
      <c r="W93" s="971"/>
      <c r="X93" s="971"/>
      <c r="Y93" s="971"/>
      <c r="Z93" s="971"/>
      <c r="AA93" s="971"/>
      <c r="AB93" s="971"/>
      <c r="AC93" s="971"/>
    </row>
    <row r="94" spans="1:29" ht="15">
      <c r="A94" s="899"/>
      <c r="B94" s="1106"/>
      <c r="C94" s="1107">
        <v>100</v>
      </c>
      <c r="D94" s="1107">
        <f t="shared" ref="D94:M94" si="23">C94-$K32</f>
        <v>98</v>
      </c>
      <c r="E94" s="1107">
        <f t="shared" si="23"/>
        <v>96</v>
      </c>
      <c r="F94" s="1107">
        <f t="shared" si="23"/>
        <v>94</v>
      </c>
      <c r="G94" s="1107">
        <f t="shared" si="23"/>
        <v>92</v>
      </c>
      <c r="H94" s="1107">
        <f t="shared" si="23"/>
        <v>90</v>
      </c>
      <c r="I94" s="1107">
        <f t="shared" si="23"/>
        <v>88</v>
      </c>
      <c r="J94" s="1107">
        <f t="shared" si="23"/>
        <v>86</v>
      </c>
      <c r="K94" s="1107">
        <f t="shared" si="23"/>
        <v>84</v>
      </c>
      <c r="L94" s="1107">
        <f t="shared" si="23"/>
        <v>82</v>
      </c>
      <c r="M94" s="1149">
        <f t="shared" si="23"/>
        <v>80</v>
      </c>
      <c r="N94" s="1145"/>
      <c r="O94" s="1145"/>
      <c r="P94" s="1312"/>
      <c r="Q94" s="1079"/>
      <c r="R94" s="971"/>
      <c r="S94" s="971"/>
      <c r="T94" s="971"/>
      <c r="U94" s="971"/>
      <c r="V94" s="971"/>
      <c r="W94" s="971"/>
      <c r="X94" s="971"/>
      <c r="Y94" s="971"/>
      <c r="Z94" s="971"/>
      <c r="AA94" s="971"/>
      <c r="AB94" s="971"/>
      <c r="AC94" s="971"/>
    </row>
    <row r="95" spans="1:29">
      <c r="A95" s="947"/>
      <c r="B95" s="1104" t="s">
        <v>1966</v>
      </c>
      <c r="C95" s="1047"/>
      <c r="D95" s="1047"/>
      <c r="E95" s="1047"/>
      <c r="F95" s="1047"/>
      <c r="G95" s="1047"/>
      <c r="H95" s="1047"/>
      <c r="I95" s="1047"/>
      <c r="J95" s="1047"/>
      <c r="K95" s="1140"/>
      <c r="L95" s="1141"/>
      <c r="M95" s="1142"/>
      <c r="N95" s="1143"/>
      <c r="O95" s="1143"/>
      <c r="P95" s="1312"/>
      <c r="Q95" s="1079"/>
      <c r="R95" s="971"/>
      <c r="S95" s="971"/>
      <c r="T95" s="971"/>
      <c r="U95" s="971"/>
      <c r="V95" s="971"/>
      <c r="W95" s="971"/>
      <c r="X95" s="971"/>
      <c r="Y95" s="971"/>
      <c r="Z95" s="971"/>
      <c r="AA95" s="971"/>
      <c r="AB95" s="971"/>
      <c r="AC95" s="971"/>
    </row>
    <row r="96" spans="1:29" ht="15">
      <c r="A96" s="899"/>
      <c r="B96" s="1106"/>
      <c r="C96" s="1107">
        <v>100</v>
      </c>
      <c r="D96" s="1107">
        <f>C96-$K33</f>
        <v>100</v>
      </c>
      <c r="E96" s="1107">
        <f>D96-$K33</f>
        <v>100</v>
      </c>
      <c r="F96" s="1107">
        <f>E96-$K33</f>
        <v>100</v>
      </c>
      <c r="G96" s="1107">
        <f>F96-$K33</f>
        <v>100</v>
      </c>
      <c r="H96" s="1107"/>
      <c r="I96" s="1107"/>
      <c r="J96" s="1107"/>
      <c r="K96" s="1107"/>
      <c r="L96" s="1107"/>
      <c r="M96" s="1149"/>
      <c r="N96" s="1145"/>
      <c r="O96" s="1145"/>
      <c r="P96" s="1312"/>
      <c r="Q96" s="1079"/>
      <c r="R96" s="971"/>
      <c r="S96" s="971"/>
      <c r="T96" s="971"/>
      <c r="U96" s="971"/>
      <c r="V96" s="971"/>
      <c r="W96" s="971"/>
      <c r="X96" s="971"/>
      <c r="Y96" s="971"/>
      <c r="Z96" s="971"/>
      <c r="AA96" s="971"/>
      <c r="AB96" s="971"/>
      <c r="AC96" s="971"/>
    </row>
    <row r="97" spans="1:29">
      <c r="A97" s="947"/>
      <c r="B97" s="1246">
        <f>B34</f>
        <v>111</v>
      </c>
      <c r="C97" s="905"/>
      <c r="D97" s="905"/>
      <c r="E97" s="905"/>
      <c r="F97" s="905"/>
      <c r="G97" s="1112"/>
      <c r="H97" s="1113"/>
      <c r="I97" s="1113"/>
      <c r="J97" s="1113"/>
      <c r="K97" s="1113"/>
      <c r="L97" s="1153"/>
      <c r="M97" s="1154"/>
      <c r="N97" s="1145"/>
      <c r="O97" s="1145"/>
      <c r="P97" s="1332"/>
      <c r="Q97" s="1256"/>
      <c r="R97" s="971"/>
      <c r="S97" s="971"/>
      <c r="T97" s="971"/>
      <c r="U97" s="971"/>
      <c r="V97" s="971"/>
      <c r="W97" s="971"/>
      <c r="X97" s="971"/>
      <c r="Y97" s="971"/>
      <c r="Z97" s="971"/>
      <c r="AA97" s="971"/>
      <c r="AB97" s="971"/>
      <c r="AC97" s="971"/>
    </row>
    <row r="98" spans="1:29" ht="15">
      <c r="A98" s="899"/>
      <c r="B98" s="1106"/>
      <c r="C98" s="1114"/>
      <c r="D98" s="1103"/>
      <c r="E98" s="1103"/>
      <c r="F98" s="1103"/>
      <c r="G98" s="1114"/>
      <c r="H98" s="1115"/>
      <c r="I98" s="1115"/>
      <c r="J98" s="1115"/>
      <c r="K98" s="1115"/>
      <c r="L98" s="1115"/>
      <c r="M98" s="1156"/>
      <c r="N98" s="1145"/>
      <c r="O98" s="1145"/>
      <c r="P98" s="1312"/>
      <c r="Q98" s="1079"/>
      <c r="R98" s="971"/>
      <c r="S98" s="971"/>
      <c r="T98" s="971"/>
      <c r="U98" s="971"/>
      <c r="V98" s="971"/>
      <c r="W98" s="971"/>
      <c r="X98" s="971"/>
      <c r="Y98" s="971"/>
      <c r="Z98" s="971"/>
      <c r="AA98" s="971"/>
      <c r="AB98" s="971"/>
      <c r="AC98" s="971"/>
    </row>
    <row r="99" spans="1:29" s="857" customFormat="1">
      <c r="A99" s="952"/>
      <c r="B99" s="1104">
        <f>B35</f>
        <v>111</v>
      </c>
      <c r="C99" s="905"/>
      <c r="D99" s="905"/>
      <c r="E99" s="905"/>
      <c r="F99" s="905"/>
      <c r="G99" s="1112"/>
      <c r="H99" s="1113"/>
      <c r="I99" s="1113"/>
      <c r="J99" s="1113"/>
      <c r="K99" s="1113"/>
      <c r="L99" s="1153"/>
      <c r="M99" s="1154"/>
      <c r="N99" s="1155"/>
      <c r="O99" s="1155"/>
      <c r="P99" s="1313"/>
      <c r="Q99" s="1183"/>
      <c r="R99" s="1045"/>
      <c r="S99" s="1045"/>
      <c r="T99" s="1045"/>
      <c r="U99" s="1045"/>
      <c r="V99" s="1045"/>
      <c r="W99" s="1045"/>
      <c r="X99" s="1045"/>
      <c r="Y99" s="1045"/>
      <c r="Z99" s="1045"/>
      <c r="AA99" s="1045"/>
      <c r="AB99" s="1045"/>
      <c r="AC99" s="1045"/>
    </row>
    <row r="100" spans="1:29" s="857" customFormat="1" ht="15">
      <c r="A100" s="1111"/>
      <c r="B100" s="1102"/>
      <c r="C100" s="1114"/>
      <c r="D100" s="1103"/>
      <c r="E100" s="1103"/>
      <c r="F100" s="1103"/>
      <c r="G100" s="1114"/>
      <c r="H100" s="1115"/>
      <c r="I100" s="1115"/>
      <c r="J100" s="1115"/>
      <c r="K100" s="1115"/>
      <c r="L100" s="1115"/>
      <c r="M100" s="1156"/>
      <c r="N100" s="1155"/>
      <c r="O100" s="1155"/>
      <c r="P100" s="1313"/>
      <c r="Q100" s="1183"/>
      <c r="R100" s="1045"/>
      <c r="S100" s="1045"/>
      <c r="T100" s="1045"/>
      <c r="U100" s="1045"/>
      <c r="V100" s="1045"/>
      <c r="W100" s="1045"/>
      <c r="X100" s="1045"/>
      <c r="Y100" s="1045"/>
      <c r="Z100" s="1045"/>
      <c r="AA100" s="1045"/>
      <c r="AB100" s="1045"/>
      <c r="AC100" s="1045"/>
    </row>
    <row r="101" spans="1:29">
      <c r="A101" s="947"/>
      <c r="B101" s="1104">
        <f>B36</f>
        <v>111</v>
      </c>
      <c r="C101" s="1112"/>
      <c r="D101" s="1112"/>
      <c r="E101" s="1112"/>
      <c r="F101" s="1112"/>
      <c r="G101" s="1112"/>
      <c r="H101" s="1113"/>
      <c r="I101" s="1113"/>
      <c r="J101" s="1113"/>
      <c r="K101" s="1113"/>
      <c r="L101" s="1153"/>
      <c r="M101" s="1154"/>
      <c r="N101" s="1143"/>
      <c r="O101" s="1143"/>
      <c r="P101" s="1312"/>
      <c r="Q101" s="1079"/>
      <c r="R101" s="971"/>
      <c r="S101" s="971"/>
      <c r="T101" s="971"/>
      <c r="U101" s="971"/>
      <c r="V101" s="971"/>
      <c r="W101" s="971"/>
      <c r="X101" s="971"/>
      <c r="Y101" s="971"/>
      <c r="Z101" s="971"/>
      <c r="AA101" s="971"/>
      <c r="AB101" s="971"/>
      <c r="AC101" s="971"/>
    </row>
    <row r="102" spans="1:29" ht="15">
      <c r="A102" s="899"/>
      <c r="B102" s="1106"/>
      <c r="C102" s="1114"/>
      <c r="D102" s="1114"/>
      <c r="E102" s="1114"/>
      <c r="F102" s="1114"/>
      <c r="G102" s="1114"/>
      <c r="H102" s="1115"/>
      <c r="I102" s="1115"/>
      <c r="J102" s="1115"/>
      <c r="K102" s="1115"/>
      <c r="L102" s="1115"/>
      <c r="M102" s="1156"/>
      <c r="N102" s="1145"/>
      <c r="O102" s="1145"/>
      <c r="P102" s="1312"/>
      <c r="Q102" s="1079"/>
      <c r="R102" s="971"/>
      <c r="S102" s="971"/>
      <c r="T102" s="971"/>
      <c r="U102" s="971"/>
      <c r="V102" s="971"/>
      <c r="W102" s="971"/>
      <c r="X102" s="971"/>
      <c r="Y102" s="971"/>
      <c r="Z102" s="971"/>
      <c r="AA102" s="971"/>
      <c r="AB102" s="971"/>
      <c r="AC102" s="971"/>
    </row>
    <row r="103" spans="1:29">
      <c r="N103" s="971"/>
      <c r="O103" s="971"/>
      <c r="P103" s="1304"/>
      <c r="Q103" s="971"/>
      <c r="R103" s="971"/>
      <c r="S103" s="971"/>
      <c r="T103" s="971"/>
      <c r="U103" s="971"/>
      <c r="V103" s="971"/>
      <c r="W103" s="971"/>
      <c r="X103" s="971"/>
      <c r="Y103" s="971"/>
      <c r="Z103" s="971"/>
      <c r="AA103" s="971"/>
      <c r="AB103" s="971"/>
      <c r="AC103"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1955</v>
      </c>
      <c r="B1" s="1187"/>
      <c r="C1" s="1188" t="s">
        <v>1553</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IF(C2="——",ROUND(C37*D3/10000,0),ROUND(C37*D3/10000,0)-D2)</f>
        <v>#DIV/0!</v>
      </c>
      <c r="C2" s="1195"/>
      <c r="D2" s="1196" t="e">
        <f ca="1">SUMIF(INDIRECT("'"&amp;F2&amp;"'"&amp;"!A:A"),"承租人权益价值",INDIRECT("'"&amp;F2&amp;"'"&amp;"!c:c"))</f>
        <v>#REF!</v>
      </c>
      <c r="E2" s="1197" t="s">
        <v>1397</v>
      </c>
      <c r="F2" s="1198"/>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IF(C2="——",C37,ROUND(B2*10000/D3,0))</f>
        <v>#DIV/0!</v>
      </c>
      <c r="C3" s="1199" t="s">
        <v>943</v>
      </c>
      <c r="D3" s="1200">
        <f>SUMIF('数据-汇总表'!$C19:$C33,D1,'数据-汇总表'!$E19:$E33)</f>
        <v>0</v>
      </c>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315" t="s">
        <v>945</v>
      </c>
      <c r="D4" s="3316"/>
      <c r="E4" s="3317" t="s">
        <v>946</v>
      </c>
      <c r="F4" s="3318"/>
      <c r="G4" s="3315" t="s">
        <v>947</v>
      </c>
      <c r="H4" s="3316"/>
      <c r="I4" s="3315" t="s">
        <v>948</v>
      </c>
      <c r="J4" s="3316"/>
      <c r="K4" s="1020" t="s">
        <v>949</v>
      </c>
      <c r="L4" s="1021"/>
      <c r="M4" s="971"/>
      <c r="N4" s="971"/>
      <c r="O4" s="971"/>
      <c r="P4" s="3341" t="s">
        <v>950</v>
      </c>
      <c r="Q4" s="3342"/>
      <c r="R4" s="3347" t="s">
        <v>946</v>
      </c>
      <c r="S4" s="3348"/>
      <c r="T4" s="3347" t="s">
        <v>947</v>
      </c>
      <c r="U4" s="3348"/>
      <c r="V4" s="3331" t="s">
        <v>948</v>
      </c>
      <c r="W4" s="3331"/>
      <c r="X4" s="1069"/>
      <c r="Y4" s="3347" t="s">
        <v>950</v>
      </c>
      <c r="Z4" s="3348"/>
      <c r="AA4" s="3336" t="s">
        <v>946</v>
      </c>
      <c r="AB4" s="3337" t="s">
        <v>947</v>
      </c>
      <c r="AC4" s="3336" t="s">
        <v>948</v>
      </c>
    </row>
    <row r="5" spans="1:29" ht="15">
      <c r="A5" s="878"/>
      <c r="B5" s="879"/>
      <c r="C5" s="3319" t="s">
        <v>951</v>
      </c>
      <c r="D5" s="3320"/>
      <c r="E5" s="3420" t="s">
        <v>1970</v>
      </c>
      <c r="F5" s="3421"/>
      <c r="G5" s="3422" t="s">
        <v>1971</v>
      </c>
      <c r="H5" s="3421"/>
      <c r="I5" s="3420" t="s">
        <v>1972</v>
      </c>
      <c r="J5" s="3421"/>
      <c r="K5" s="1020"/>
      <c r="L5" s="1021"/>
      <c r="M5" s="971"/>
      <c r="N5" s="971"/>
      <c r="O5" s="971"/>
      <c r="P5" s="3343"/>
      <c r="Q5" s="3344"/>
      <c r="R5" s="3349"/>
      <c r="S5" s="3350"/>
      <c r="T5" s="3349"/>
      <c r="U5" s="3350"/>
      <c r="V5" s="3331"/>
      <c r="W5" s="3331"/>
      <c r="X5" s="1069"/>
      <c r="Y5" s="3349"/>
      <c r="Z5" s="3350"/>
      <c r="AA5" s="3337"/>
      <c r="AB5" s="3337"/>
      <c r="AC5" s="3337"/>
    </row>
    <row r="6" spans="1:29" ht="15">
      <c r="A6" s="880"/>
      <c r="B6" s="881"/>
      <c r="C6" s="3323" t="s">
        <v>952</v>
      </c>
      <c r="D6" s="3324"/>
      <c r="E6" s="3424" t="s">
        <v>1555</v>
      </c>
      <c r="F6" s="3425"/>
      <c r="G6" s="3426" t="s">
        <v>1555</v>
      </c>
      <c r="H6" s="3427"/>
      <c r="I6" s="3426" t="s">
        <v>1555</v>
      </c>
      <c r="J6" s="3427"/>
      <c r="K6" s="1020" t="s">
        <v>953</v>
      </c>
      <c r="L6" s="1021"/>
      <c r="M6" s="971"/>
      <c r="N6" s="971"/>
      <c r="O6" s="971"/>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1201">
        <v>44805</v>
      </c>
      <c r="F7" s="888">
        <f>SUMIF(46:46,YEAR(E7)&amp;"-"&amp;MONTH(E7),47:47)</f>
        <v>0</v>
      </c>
      <c r="G7" s="1201">
        <v>44621</v>
      </c>
      <c r="H7" s="886">
        <f>SUMIF(46:46,YEAR(G7)&amp;"-"&amp;MONTH(G7),47:47)</f>
        <v>0</v>
      </c>
      <c r="I7" s="1201">
        <v>44593</v>
      </c>
      <c r="J7" s="886">
        <f>SUMIF(46:46,YEAR(I7)&amp;"-"&amp;MONTH(I7),47:47)</f>
        <v>0</v>
      </c>
      <c r="K7" s="1025"/>
      <c r="L7" s="1026"/>
      <c r="M7" s="1027"/>
      <c r="N7" s="1027"/>
      <c r="O7" s="1027"/>
      <c r="P7" s="3327" t="s">
        <v>955</v>
      </c>
      <c r="Q7" s="3328"/>
      <c r="R7" s="1070" t="s">
        <v>956</v>
      </c>
      <c r="S7" s="1071">
        <f t="shared" ref="S7:S14" si="0">F7</f>
        <v>0</v>
      </c>
      <c r="T7" s="1070" t="s">
        <v>956</v>
      </c>
      <c r="U7" s="1071">
        <f t="shared" ref="U7:U14" si="1">H7</f>
        <v>0</v>
      </c>
      <c r="V7" s="1070" t="s">
        <v>956</v>
      </c>
      <c r="W7" s="1071">
        <f t="shared" ref="W7:W14" si="2">J7</f>
        <v>0</v>
      </c>
      <c r="X7" s="1072"/>
      <c r="Y7" s="3327" t="s">
        <v>955</v>
      </c>
      <c r="Z7" s="3329"/>
      <c r="AA7" s="1082" t="e">
        <f>D7/F7</f>
        <v>#DIV/0!</v>
      </c>
      <c r="AB7" s="1082" t="e">
        <f>D7/H7</f>
        <v>#DIV/0!</v>
      </c>
      <c r="AC7" s="1082" t="e">
        <f>D7/J7</f>
        <v>#DIV/0!</v>
      </c>
    </row>
    <row r="8" spans="1:29" s="855" customFormat="1" ht="15">
      <c r="A8" s="883" t="s">
        <v>957</v>
      </c>
      <c r="B8" s="884"/>
      <c r="C8" s="890" t="s">
        <v>958</v>
      </c>
      <c r="D8" s="886">
        <v>100</v>
      </c>
      <c r="E8" s="1202" t="s">
        <v>824</v>
      </c>
      <c r="F8" s="888">
        <f>SUMIF(49:49,E8,50:50)-SUMIF(49:49,C8,50:50)+100</f>
        <v>100</v>
      </c>
      <c r="G8" s="1202" t="s">
        <v>824</v>
      </c>
      <c r="H8" s="886">
        <f>SUMIF(49:49,G8,50:50)-SUMIF(49:49,C8,50:50)+100</f>
        <v>100</v>
      </c>
      <c r="I8" s="1202" t="s">
        <v>824</v>
      </c>
      <c r="J8" s="886">
        <f>SUMIF(49:49,I8,50:50)-SUMIF(49:49,C8,50:50)+100</f>
        <v>100</v>
      </c>
      <c r="K8" s="1025"/>
      <c r="L8" s="1026"/>
      <c r="M8" s="1027"/>
      <c r="N8" s="1027"/>
      <c r="O8" s="1027"/>
      <c r="P8" s="3327" t="s">
        <v>959</v>
      </c>
      <c r="Q8" s="3329"/>
      <c r="R8" s="1070" t="s">
        <v>956</v>
      </c>
      <c r="S8" s="1071">
        <f t="shared" si="0"/>
        <v>100</v>
      </c>
      <c r="T8" s="1070" t="s">
        <v>956</v>
      </c>
      <c r="U8" s="1071">
        <f t="shared" si="1"/>
        <v>100</v>
      </c>
      <c r="V8" s="1070" t="s">
        <v>956</v>
      </c>
      <c r="W8" s="1071">
        <f t="shared" si="2"/>
        <v>100</v>
      </c>
      <c r="X8" s="1072"/>
      <c r="Y8" s="3327" t="s">
        <v>959</v>
      </c>
      <c r="Z8" s="3329"/>
      <c r="AA8" s="1082">
        <f t="shared" ref="AA8:AA34" si="3">D8/F8</f>
        <v>1</v>
      </c>
      <c r="AB8" s="1082">
        <f t="shared" ref="AB8:AB34" si="4">D8/H8</f>
        <v>1</v>
      </c>
      <c r="AC8" s="1082">
        <f t="shared" ref="AC8:AC34" si="5">D8/J8</f>
        <v>1</v>
      </c>
    </row>
    <row r="9" spans="1:29" s="855" customFormat="1" ht="15">
      <c r="A9" s="891" t="s">
        <v>960</v>
      </c>
      <c r="B9" s="892" t="s">
        <v>961</v>
      </c>
      <c r="C9" s="1203"/>
      <c r="D9" s="894">
        <v>100</v>
      </c>
      <c r="E9" s="1204" t="s">
        <v>465</v>
      </c>
      <c r="F9" s="892">
        <f>SUMIF(51:51,E9,52:52)-SUMIF(51:51,C9,52:52)+100</f>
        <v>0</v>
      </c>
      <c r="G9" s="1205" t="s">
        <v>465</v>
      </c>
      <c r="H9" s="894">
        <f>SUMIF(51:51,G9,52:52)-SUMIF(51:51,C9,52:52)+100</f>
        <v>0</v>
      </c>
      <c r="I9" s="1205" t="s">
        <v>465</v>
      </c>
      <c r="J9" s="894">
        <f>SUMIF(51:51,I9,52:52)-SUMIF(51:51,C9,52:52)+100</f>
        <v>0</v>
      </c>
      <c r="K9" s="1025"/>
      <c r="L9" s="1026"/>
      <c r="M9" s="1027"/>
      <c r="N9" s="1027"/>
      <c r="O9" s="1029"/>
      <c r="P9" s="3330" t="s">
        <v>962</v>
      </c>
      <c r="Q9" s="795" t="str">
        <f t="shared" ref="Q9:Q14" si="6">B9</f>
        <v>用途</v>
      </c>
      <c r="R9" s="1070" t="s">
        <v>956</v>
      </c>
      <c r="S9" s="1071">
        <f t="shared" si="0"/>
        <v>0</v>
      </c>
      <c r="T9" s="1070" t="s">
        <v>956</v>
      </c>
      <c r="U9" s="1071">
        <f t="shared" si="1"/>
        <v>0</v>
      </c>
      <c r="V9" s="1070" t="s">
        <v>956</v>
      </c>
      <c r="W9" s="1071">
        <f t="shared" si="2"/>
        <v>0</v>
      </c>
      <c r="X9" s="1072"/>
      <c r="Y9" s="3306" t="s">
        <v>963</v>
      </c>
      <c r="Z9" s="1082" t="str">
        <f t="shared" ref="Z9:Z14" si="7">Q9</f>
        <v>用途</v>
      </c>
      <c r="AA9" s="1082" t="e">
        <f t="shared" si="3"/>
        <v>#DIV/0!</v>
      </c>
      <c r="AB9" s="1082" t="e">
        <f t="shared" si="4"/>
        <v>#DIV/0!</v>
      </c>
      <c r="AC9" s="1082" t="e">
        <f t="shared" si="5"/>
        <v>#DIV/0!</v>
      </c>
    </row>
    <row r="10" spans="1:29" s="856" customFormat="1" ht="27">
      <c r="A10" s="895"/>
      <c r="B10" s="896" t="s">
        <v>964</v>
      </c>
      <c r="C10" s="1206"/>
      <c r="D10" s="898">
        <v>100</v>
      </c>
      <c r="E10" s="1206"/>
      <c r="F10" s="896">
        <f>SUMIF(53:53,E10,54:54)-SUMIF(53:53,C10,54:54)+100</f>
        <v>100</v>
      </c>
      <c r="G10" s="1206"/>
      <c r="H10" s="898">
        <f>SUMIF(53:53,G10,54:54)-SUMIF(53:53,C10,54:54)+100</f>
        <v>100</v>
      </c>
      <c r="I10" s="1206"/>
      <c r="J10" s="898">
        <f>SUMIF(53:53,I10,54:54)-SUMIF(53:53,C10,54:54)+100</f>
        <v>100</v>
      </c>
      <c r="K10" s="1044"/>
      <c r="L10" s="1031"/>
      <c r="M10" s="1032"/>
      <c r="N10" s="1032"/>
      <c r="O10" s="1033"/>
      <c r="P10" s="3330"/>
      <c r="Q10" s="795" t="str">
        <f t="shared" si="6"/>
        <v>土地使用年限（年）</v>
      </c>
      <c r="R10" s="1070" t="s">
        <v>956</v>
      </c>
      <c r="S10" s="1071">
        <f t="shared" si="0"/>
        <v>100</v>
      </c>
      <c r="T10" s="1070" t="s">
        <v>956</v>
      </c>
      <c r="U10" s="1071">
        <f t="shared" si="1"/>
        <v>100</v>
      </c>
      <c r="V10" s="1070" t="s">
        <v>956</v>
      </c>
      <c r="W10" s="1071">
        <f t="shared" si="2"/>
        <v>100</v>
      </c>
      <c r="X10" s="1072"/>
      <c r="Y10" s="3306"/>
      <c r="Z10" s="1082" t="str">
        <f t="shared" si="7"/>
        <v>土地使用年限（年）</v>
      </c>
      <c r="AA10" s="1082">
        <f t="shared" si="3"/>
        <v>1</v>
      </c>
      <c r="AB10" s="1082">
        <f t="shared" si="4"/>
        <v>1</v>
      </c>
      <c r="AC10" s="1082">
        <f t="shared" si="5"/>
        <v>1</v>
      </c>
    </row>
    <row r="11" spans="1:29" ht="15">
      <c r="A11" s="899"/>
      <c r="B11" s="903">
        <v>111</v>
      </c>
      <c r="C11" s="897"/>
      <c r="D11" s="898">
        <v>100</v>
      </c>
      <c r="E11" s="1207"/>
      <c r="F11" s="896">
        <f>SUMIF(55:55,E11,56:56)-SUMIF(55:55,C11,56:56)+100</f>
        <v>100</v>
      </c>
      <c r="G11" s="1207"/>
      <c r="H11" s="898">
        <f>SUMIF(55:55,G11,56:56)-SUMIF(55:55,C11,56:56)+100</f>
        <v>100</v>
      </c>
      <c r="I11" s="1207"/>
      <c r="J11" s="898">
        <f>SUMIF(55:55,I11,56:56)-SUMIF(55:55,C11,56:56)+100</f>
        <v>100</v>
      </c>
      <c r="K11" s="1043"/>
      <c r="L11" s="1035"/>
      <c r="M11" s="971"/>
      <c r="N11" s="971"/>
      <c r="O11" s="1036"/>
      <c r="P11" s="3330"/>
      <c r="Q11" s="795">
        <f t="shared" si="6"/>
        <v>111</v>
      </c>
      <c r="R11" s="1070" t="s">
        <v>956</v>
      </c>
      <c r="S11" s="1071">
        <f t="shared" si="0"/>
        <v>100</v>
      </c>
      <c r="T11" s="1070" t="s">
        <v>956</v>
      </c>
      <c r="U11" s="1071">
        <f t="shared" si="1"/>
        <v>100</v>
      </c>
      <c r="V11" s="1070" t="s">
        <v>956</v>
      </c>
      <c r="W11" s="1071">
        <f t="shared" si="2"/>
        <v>100</v>
      </c>
      <c r="X11" s="1072"/>
      <c r="Y11" s="3306"/>
      <c r="Z11" s="1082">
        <f t="shared" si="7"/>
        <v>111</v>
      </c>
      <c r="AA11" s="1082">
        <f t="shared" si="3"/>
        <v>1</v>
      </c>
      <c r="AB11" s="1082">
        <f t="shared" si="4"/>
        <v>1</v>
      </c>
      <c r="AC11" s="1082">
        <f t="shared" si="5"/>
        <v>1</v>
      </c>
    </row>
    <row r="12" spans="1:29" s="855" customFormat="1" ht="15">
      <c r="A12" s="902"/>
      <c r="B12" s="903">
        <v>111</v>
      </c>
      <c r="C12" s="897"/>
      <c r="D12" s="904">
        <v>100</v>
      </c>
      <c r="E12" s="1207"/>
      <c r="F12" s="896">
        <f>SUMIF(57:57,E12,58:58)-SUMIF(57:57,C12,58:58)+100</f>
        <v>100</v>
      </c>
      <c r="G12" s="1207"/>
      <c r="H12" s="898">
        <f>SUMIF(57:57,G12,58:58)-SUMIF(57:57,C12,58:58)+100</f>
        <v>100</v>
      </c>
      <c r="I12" s="1207"/>
      <c r="J12" s="898">
        <f>SUMIF(57:57,I12,58:58)-SUMIF(57:57,C12,58:58)+100</f>
        <v>100</v>
      </c>
      <c r="K12" s="1043"/>
      <c r="L12" s="1026"/>
      <c r="M12" s="1027"/>
      <c r="N12" s="1027"/>
      <c r="O12" s="1029"/>
      <c r="P12" s="333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899"/>
      <c r="B13" s="903">
        <v>111</v>
      </c>
      <c r="C13" s="907"/>
      <c r="D13" s="765">
        <v>100</v>
      </c>
      <c r="E13" s="1207"/>
      <c r="F13" s="896">
        <f>SUMIF(59:59,E13,60:60)-SUMIF(59:59,C13,60:60)+100</f>
        <v>100</v>
      </c>
      <c r="G13" s="1208"/>
      <c r="H13" s="911">
        <f>SUMIF(59:59,G13,60:60)-SUMIF(59:59,C13,60:60)+100</f>
        <v>100</v>
      </c>
      <c r="I13" s="1207"/>
      <c r="J13" s="765">
        <f>SUMIF(59:59,I13,60:60)-SUMIF(59:59,C13,60:60)+100</f>
        <v>100</v>
      </c>
      <c r="K13" s="1043"/>
      <c r="L13" s="1037"/>
      <c r="M13" s="971"/>
      <c r="N13" s="971"/>
      <c r="O13" s="1036"/>
      <c r="P13" s="333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12" t="s">
        <v>967</v>
      </c>
      <c r="B14" s="1209" t="s">
        <v>973</v>
      </c>
      <c r="C14" s="914" t="str">
        <f>IF(B1="工业",估价对象房地状况!G4,估价对象房地状况!C6)</f>
        <v>一般</v>
      </c>
      <c r="D14" s="915">
        <v>100</v>
      </c>
      <c r="E14" s="916"/>
      <c r="F14" s="1210">
        <f>SUMIF(61:61,E15,62:62)-SUMIF(61:61,C15,62:62)+100</f>
        <v>100</v>
      </c>
      <c r="G14" s="1038"/>
      <c r="H14" s="915">
        <f>SUMIF(61:61,G15,62:62)-SUMIF(61:61,C15,62:62)+100</f>
        <v>100</v>
      </c>
      <c r="I14" s="916"/>
      <c r="J14" s="915">
        <f>SUMIF(61:61,I15,62:62)-SUMIF(61:61,C15,62:62)+100</f>
        <v>100</v>
      </c>
      <c r="K14" s="1241"/>
      <c r="L14" s="1037"/>
      <c r="M14" s="971"/>
      <c r="N14" s="971"/>
      <c r="O14" s="1036"/>
      <c r="P14" s="3332" t="s">
        <v>969</v>
      </c>
      <c r="Q14" s="641" t="str">
        <f t="shared" si="6"/>
        <v>交通便捷度</v>
      </c>
      <c r="R14" s="1074" t="s">
        <v>956</v>
      </c>
      <c r="S14" s="1075">
        <f t="shared" si="0"/>
        <v>100</v>
      </c>
      <c r="T14" s="1074" t="s">
        <v>956</v>
      </c>
      <c r="U14" s="1075">
        <f t="shared" si="1"/>
        <v>100</v>
      </c>
      <c r="V14" s="1074" t="s">
        <v>956</v>
      </c>
      <c r="W14" s="1075">
        <f t="shared" si="2"/>
        <v>100</v>
      </c>
      <c r="X14" s="1069"/>
      <c r="Y14" s="3332" t="s">
        <v>969</v>
      </c>
      <c r="Z14" s="1058" t="str">
        <f t="shared" si="7"/>
        <v>交通便捷度</v>
      </c>
      <c r="AA14" s="1058">
        <f t="shared" si="3"/>
        <v>1</v>
      </c>
      <c r="AB14" s="1058">
        <f t="shared" si="4"/>
        <v>1</v>
      </c>
      <c r="AC14" s="1058">
        <f t="shared" si="5"/>
        <v>1</v>
      </c>
    </row>
    <row r="15" spans="1:29" ht="15">
      <c r="A15" s="899"/>
      <c r="B15" s="1011"/>
      <c r="C15" s="918"/>
      <c r="D15" s="919"/>
      <c r="E15" s="918"/>
      <c r="F15" s="1024"/>
      <c r="G15" s="918"/>
      <c r="H15" s="921"/>
      <c r="I15" s="918"/>
      <c r="J15" s="919"/>
      <c r="K15" s="1242"/>
      <c r="L15" s="1037"/>
      <c r="M15" s="971"/>
      <c r="N15" s="971"/>
      <c r="O15" s="1036"/>
      <c r="P15" s="3333"/>
      <c r="Q15" s="641"/>
      <c r="R15" s="1074"/>
      <c r="S15" s="1075"/>
      <c r="T15" s="1074"/>
      <c r="U15" s="1075"/>
      <c r="V15" s="1074"/>
      <c r="W15" s="1075"/>
      <c r="X15" s="1069"/>
      <c r="Y15" s="3333"/>
      <c r="Z15" s="1058"/>
      <c r="AA15" s="1058">
        <v>1</v>
      </c>
      <c r="AB15" s="1058">
        <v>1</v>
      </c>
      <c r="AC15" s="1058">
        <v>1</v>
      </c>
    </row>
    <row r="16" spans="1:29" ht="15">
      <c r="A16" s="899"/>
      <c r="B16" s="1211" t="s">
        <v>976</v>
      </c>
      <c r="C16" s="923" t="str">
        <f>IF(B1="工业",估价对象房地状况!G5,估价对象房地状况!C7)</f>
        <v>一般</v>
      </c>
      <c r="D16" s="925">
        <v>100</v>
      </c>
      <c r="E16" s="1212"/>
      <c r="F16" s="1022">
        <f>SUMIF(63:63,E17,64:64)-SUMIF(63:63,C17,64:64)+100</f>
        <v>100</v>
      </c>
      <c r="G16" s="1213"/>
      <c r="H16" s="925">
        <f>SUMIF(63:63,G17,64:64)-SUMIF(63:63,C17,64:64)+100</f>
        <v>100</v>
      </c>
      <c r="I16" s="1212"/>
      <c r="J16" s="925">
        <f>SUMIF(63:63,I17,64:64)-SUMIF(63:63,C17,64:64)+100</f>
        <v>100</v>
      </c>
      <c r="K16" s="1241"/>
      <c r="L16" s="1037"/>
      <c r="M16" s="971"/>
      <c r="N16" s="971"/>
      <c r="O16" s="1036"/>
      <c r="P16" s="3333"/>
      <c r="Q16" s="641" t="str">
        <f>B16</f>
        <v>公共配套设施</v>
      </c>
      <c r="R16" s="1074" t="s">
        <v>956</v>
      </c>
      <c r="S16" s="1075">
        <f>F16</f>
        <v>100</v>
      </c>
      <c r="T16" s="1074" t="s">
        <v>956</v>
      </c>
      <c r="U16" s="1075">
        <f>H16</f>
        <v>100</v>
      </c>
      <c r="V16" s="1074" t="s">
        <v>956</v>
      </c>
      <c r="W16" s="1075">
        <f>J16</f>
        <v>100</v>
      </c>
      <c r="X16" s="1069"/>
      <c r="Y16" s="3333"/>
      <c r="Z16" s="1058" t="str">
        <f>Q16</f>
        <v>公共配套设施</v>
      </c>
      <c r="AA16" s="1058">
        <f t="shared" si="3"/>
        <v>1</v>
      </c>
      <c r="AB16" s="1058">
        <f t="shared" si="4"/>
        <v>1</v>
      </c>
      <c r="AC16" s="1058">
        <f t="shared" si="5"/>
        <v>1</v>
      </c>
    </row>
    <row r="17" spans="1:29" ht="15">
      <c r="A17" s="899"/>
      <c r="B17" s="945"/>
      <c r="C17" s="1214"/>
      <c r="D17" s="919"/>
      <c r="E17" s="918"/>
      <c r="F17" s="1024"/>
      <c r="G17" s="918"/>
      <c r="H17" s="919"/>
      <c r="I17" s="918"/>
      <c r="J17" s="919"/>
      <c r="K17" s="1242"/>
      <c r="L17" s="1037"/>
      <c r="M17" s="971"/>
      <c r="N17" s="971"/>
      <c r="O17" s="1036"/>
      <c r="P17" s="3333"/>
      <c r="Q17" s="641"/>
      <c r="R17" s="1074"/>
      <c r="S17" s="1075"/>
      <c r="T17" s="1074"/>
      <c r="U17" s="1075"/>
      <c r="V17" s="1074"/>
      <c r="W17" s="1075"/>
      <c r="X17" s="1069"/>
      <c r="Y17" s="3333"/>
      <c r="Z17" s="1058"/>
      <c r="AA17" s="1058">
        <v>1</v>
      </c>
      <c r="AB17" s="1058">
        <v>1</v>
      </c>
      <c r="AC17" s="1058">
        <v>1</v>
      </c>
    </row>
    <row r="18" spans="1:29" ht="15">
      <c r="A18" s="899"/>
      <c r="B18" s="1215" t="s">
        <v>977</v>
      </c>
      <c r="C18" s="923" t="str">
        <f>IF(B1="工业",估价对象房地状况!G6,估价对象房地状况!C8)</f>
        <v>七通</v>
      </c>
      <c r="D18" s="925">
        <v>100</v>
      </c>
      <c r="E18" s="924"/>
      <c r="F18" s="1022">
        <f>SUMIF(65:65,E19,66:66)-SUMIF(65:65,C19,66:66)+100</f>
        <v>100</v>
      </c>
      <c r="G18" s="1040"/>
      <c r="H18" s="925">
        <f>SUMIF(65:65,G19,66:66)-SUMIF(65:65,C19,66:66)+100</f>
        <v>100</v>
      </c>
      <c r="I18" s="1212"/>
      <c r="J18" s="925">
        <f>SUMIF(65:65,I19,66:66)-SUMIF(65:65,C19,66:66)+100</f>
        <v>100</v>
      </c>
      <c r="K18" s="1241"/>
      <c r="L18" s="1037"/>
      <c r="M18" s="971"/>
      <c r="N18" s="971"/>
      <c r="O18" s="1036"/>
      <c r="P18" s="3333"/>
      <c r="Q18" s="641" t="str">
        <f>B18</f>
        <v>基础设施水平</v>
      </c>
      <c r="R18" s="1074" t="s">
        <v>956</v>
      </c>
      <c r="S18" s="1075">
        <f>F18</f>
        <v>100</v>
      </c>
      <c r="T18" s="1074" t="s">
        <v>956</v>
      </c>
      <c r="U18" s="1075">
        <f>H18</f>
        <v>100</v>
      </c>
      <c r="V18" s="1074" t="s">
        <v>956</v>
      </c>
      <c r="W18" s="1075">
        <f>J18</f>
        <v>100</v>
      </c>
      <c r="X18" s="1069"/>
      <c r="Y18" s="3333"/>
      <c r="Z18" s="1058" t="str">
        <f>Q18</f>
        <v>基础设施水平</v>
      </c>
      <c r="AA18" s="1058">
        <f t="shared" ref="AA18" si="8">D18/F18</f>
        <v>1</v>
      </c>
      <c r="AB18" s="1058">
        <f t="shared" ref="AB18" si="9">D18/H18</f>
        <v>1</v>
      </c>
      <c r="AC18" s="1058">
        <f t="shared" ref="AC18" si="10">D18/J18</f>
        <v>1</v>
      </c>
    </row>
    <row r="19" spans="1:29" ht="15">
      <c r="A19" s="899"/>
      <c r="B19" s="1215"/>
      <c r="C19" s="1214"/>
      <c r="D19" s="921"/>
      <c r="E19" s="1214"/>
      <c r="F19" s="1023"/>
      <c r="G19" s="1214"/>
      <c r="H19" s="919"/>
      <c r="I19" s="918"/>
      <c r="J19" s="919"/>
      <c r="K19" s="1243"/>
      <c r="L19" s="1037"/>
      <c r="M19" s="971"/>
      <c r="N19" s="971"/>
      <c r="O19" s="1036"/>
      <c r="P19" s="3333"/>
      <c r="Q19" s="641"/>
      <c r="R19" s="1074"/>
      <c r="S19" s="1075"/>
      <c r="T19" s="1074"/>
      <c r="U19" s="1075"/>
      <c r="V19" s="1074"/>
      <c r="W19" s="1075"/>
      <c r="X19" s="1069"/>
      <c r="Y19" s="3333"/>
      <c r="Z19" s="1058"/>
      <c r="AA19" s="1058">
        <v>1</v>
      </c>
      <c r="AB19" s="1058">
        <v>1</v>
      </c>
      <c r="AC19" s="1058">
        <v>1</v>
      </c>
    </row>
    <row r="20" spans="1:29" ht="15">
      <c r="A20" s="899"/>
      <c r="B20" s="1211" t="s">
        <v>1557</v>
      </c>
      <c r="C20" s="923" t="str">
        <f>IF(B1="工业",估价对象房地状况!G7,估价对象房地状况!C9)</f>
        <v>一般</v>
      </c>
      <c r="D20" s="925">
        <v>100</v>
      </c>
      <c r="E20" s="1212"/>
      <c r="F20" s="1022">
        <f>SUMIF(67:67,E21,68:68)-SUMIF(67:67,C21,68:68)+100</f>
        <v>100</v>
      </c>
      <c r="G20" s="1213"/>
      <c r="H20" s="921">
        <f>SUMIF(67:67,G21,68:68)-SUMIF(67:67,C21,68:68)+100</f>
        <v>100</v>
      </c>
      <c r="I20" s="924"/>
      <c r="J20" s="921">
        <f>SUMIF(67:67,I21,68:68)-SUMIF(67:67,C21,68:68)+100</f>
        <v>100</v>
      </c>
      <c r="K20" s="1241"/>
      <c r="L20" s="1037"/>
      <c r="M20" s="971"/>
      <c r="N20" s="971"/>
      <c r="O20" s="1036"/>
      <c r="P20" s="3333"/>
      <c r="Q20" s="641" t="str">
        <f>B20</f>
        <v>自然及人文环境</v>
      </c>
      <c r="R20" s="1074" t="s">
        <v>956</v>
      </c>
      <c r="S20" s="1075">
        <f>F20</f>
        <v>100</v>
      </c>
      <c r="T20" s="1074" t="s">
        <v>956</v>
      </c>
      <c r="U20" s="1075">
        <f>H20</f>
        <v>100</v>
      </c>
      <c r="V20" s="1074" t="s">
        <v>956</v>
      </c>
      <c r="W20" s="1075">
        <f>J20</f>
        <v>100</v>
      </c>
      <c r="X20" s="1069"/>
      <c r="Y20" s="3333"/>
      <c r="Z20" s="1058" t="str">
        <f>Q20</f>
        <v>自然及人文环境</v>
      </c>
      <c r="AA20" s="1058">
        <f t="shared" si="3"/>
        <v>1</v>
      </c>
      <c r="AB20" s="1058">
        <f t="shared" si="4"/>
        <v>1</v>
      </c>
      <c r="AC20" s="1058">
        <f t="shared" si="5"/>
        <v>1</v>
      </c>
    </row>
    <row r="21" spans="1:29" ht="15">
      <c r="A21" s="899"/>
      <c r="B21" s="945"/>
      <c r="C21" s="918"/>
      <c r="D21" s="919"/>
      <c r="E21" s="918"/>
      <c r="F21" s="1024"/>
      <c r="G21" s="918"/>
      <c r="H21" s="919"/>
      <c r="I21" s="918"/>
      <c r="J21" s="919"/>
      <c r="K21" s="1242"/>
      <c r="L21" s="1037"/>
      <c r="M21" s="971"/>
      <c r="N21" s="971"/>
      <c r="O21" s="1036"/>
      <c r="P21" s="3333"/>
      <c r="Q21" s="641"/>
      <c r="R21" s="1074"/>
      <c r="S21" s="1075"/>
      <c r="T21" s="1074"/>
      <c r="U21" s="1075"/>
      <c r="V21" s="1074"/>
      <c r="W21" s="1075"/>
      <c r="X21" s="1069"/>
      <c r="Y21" s="3333"/>
      <c r="Z21" s="1058"/>
      <c r="AA21" s="1058">
        <v>1</v>
      </c>
      <c r="AB21" s="1058">
        <v>1</v>
      </c>
      <c r="AC21" s="1058">
        <v>1</v>
      </c>
    </row>
    <row r="22" spans="1:29" ht="15">
      <c r="A22" s="899"/>
      <c r="B22" s="1211" t="s">
        <v>1939</v>
      </c>
      <c r="C22" s="932"/>
      <c r="D22" s="921">
        <v>100</v>
      </c>
      <c r="E22" s="932"/>
      <c r="F22" s="1053">
        <f>SUMIF(69:69,E22,70:70)-SUMIF(69:69,C22,70:70)+100</f>
        <v>100</v>
      </c>
      <c r="G22" s="932"/>
      <c r="H22" s="765">
        <f>SUMIF(69:69,G22,70:70)-SUMIF(69:69,C22,70:70)+100</f>
        <v>100</v>
      </c>
      <c r="I22" s="932"/>
      <c r="J22" s="765">
        <f>SUMIF(69:69,I22,70:70)-SUMIF(69:69,C22,70:70)+100</f>
        <v>100</v>
      </c>
      <c r="K22" s="1044"/>
      <c r="L22" s="1037"/>
      <c r="M22" s="971"/>
      <c r="N22" s="971"/>
      <c r="O22" s="1036"/>
      <c r="P22" s="3333"/>
      <c r="Q22" s="641" t="str">
        <f>B22</f>
        <v>楼层</v>
      </c>
      <c r="R22" s="1074" t="s">
        <v>956</v>
      </c>
      <c r="S22" s="1075">
        <f>F22</f>
        <v>100</v>
      </c>
      <c r="T22" s="1074" t="s">
        <v>956</v>
      </c>
      <c r="U22" s="1075">
        <f>H22</f>
        <v>100</v>
      </c>
      <c r="V22" s="1074" t="s">
        <v>956</v>
      </c>
      <c r="W22" s="1075">
        <f>J22</f>
        <v>100</v>
      </c>
      <c r="X22" s="1069"/>
      <c r="Y22" s="3333"/>
      <c r="Z22" s="1058" t="str">
        <f>Q22</f>
        <v>楼层</v>
      </c>
      <c r="AA22" s="1058">
        <f t="shared" si="3"/>
        <v>1</v>
      </c>
      <c r="AB22" s="1058">
        <f t="shared" si="4"/>
        <v>1</v>
      </c>
      <c r="AC22" s="1058">
        <f t="shared" si="5"/>
        <v>1</v>
      </c>
    </row>
    <row r="23" spans="1:29" ht="15">
      <c r="A23" s="878"/>
      <c r="B23" s="903">
        <v>111</v>
      </c>
      <c r="C23" s="897"/>
      <c r="D23" s="765">
        <v>100</v>
      </c>
      <c r="E23" s="907"/>
      <c r="F23" s="1053">
        <f>SUMIF(71:71,E23,72:72)-SUMIF(71:71,C23,72:72)+100</f>
        <v>100</v>
      </c>
      <c r="G23" s="907"/>
      <c r="H23" s="765">
        <f>SUMIF(71:71,G23,72:72)-SUMIF(71:71,C23,72:72)+100</f>
        <v>100</v>
      </c>
      <c r="I23" s="907"/>
      <c r="J23" s="765">
        <f>SUMIF(71:71,I23,72:72)-SUMIF(71:71,C23,72:72)+100</f>
        <v>100</v>
      </c>
      <c r="K23" s="1043"/>
      <c r="L23" s="1037"/>
      <c r="M23" s="971"/>
      <c r="N23" s="971"/>
      <c r="O23" s="1036"/>
      <c r="P23" s="3333"/>
      <c r="Q23" s="641">
        <f>B23</f>
        <v>111</v>
      </c>
      <c r="R23" s="1074" t="s">
        <v>956</v>
      </c>
      <c r="S23" s="1075">
        <f>F23</f>
        <v>100</v>
      </c>
      <c r="T23" s="1074" t="s">
        <v>956</v>
      </c>
      <c r="U23" s="1075">
        <f>H23</f>
        <v>100</v>
      </c>
      <c r="V23" s="1074" t="s">
        <v>956</v>
      </c>
      <c r="W23" s="1075">
        <f>J23</f>
        <v>100</v>
      </c>
      <c r="X23" s="1069"/>
      <c r="Y23" s="3333"/>
      <c r="Z23" s="1058">
        <f>Q23</f>
        <v>111</v>
      </c>
      <c r="AA23" s="1058">
        <f t="shared" si="3"/>
        <v>1</v>
      </c>
      <c r="AB23" s="1058">
        <f t="shared" si="4"/>
        <v>1</v>
      </c>
      <c r="AC23" s="1058">
        <f t="shared" si="5"/>
        <v>1</v>
      </c>
    </row>
    <row r="24" spans="1:29" ht="15">
      <c r="A24" s="899"/>
      <c r="B24" s="903">
        <v>111</v>
      </c>
      <c r="C24" s="897"/>
      <c r="D24" s="765">
        <v>100</v>
      </c>
      <c r="E24" s="907"/>
      <c r="F24" s="1053">
        <f>SUMIF(73:73,E24,74:74)-SUMIF(73:73,C24,74:74)+100</f>
        <v>100</v>
      </c>
      <c r="G24" s="907"/>
      <c r="H24" s="765">
        <f>SUMIF(73:73,G24,74:74)-SUMIF(73:73,C24,74:74)+100</f>
        <v>100</v>
      </c>
      <c r="I24" s="907"/>
      <c r="J24" s="765">
        <f>SUMIF(73:73,I24,74:74)-SUMIF(73:73,C24,74:74)+100</f>
        <v>100</v>
      </c>
      <c r="K24" s="1043"/>
      <c r="L24" s="1037"/>
      <c r="M24" s="971"/>
      <c r="N24" s="971"/>
      <c r="O24" s="1036"/>
      <c r="P24" s="3333"/>
      <c r="Q24" s="641">
        <f t="shared" ref="Q24:Q34" si="11">B24</f>
        <v>111</v>
      </c>
      <c r="R24" s="1074" t="s">
        <v>956</v>
      </c>
      <c r="S24" s="1075">
        <f>F24</f>
        <v>100</v>
      </c>
      <c r="T24" s="1074" t="s">
        <v>956</v>
      </c>
      <c r="U24" s="1075">
        <f>H24</f>
        <v>100</v>
      </c>
      <c r="V24" s="1074" t="s">
        <v>956</v>
      </c>
      <c r="W24" s="1075">
        <f>J24</f>
        <v>100</v>
      </c>
      <c r="X24" s="1069"/>
      <c r="Y24" s="3333"/>
      <c r="Z24" s="1058">
        <f>Q24</f>
        <v>111</v>
      </c>
      <c r="AA24" s="1058">
        <f t="shared" si="3"/>
        <v>1</v>
      </c>
      <c r="AB24" s="1058">
        <f t="shared" si="4"/>
        <v>1</v>
      </c>
      <c r="AC24" s="1058">
        <f t="shared" si="5"/>
        <v>1</v>
      </c>
    </row>
    <row r="25" spans="1:29" s="855" customFormat="1" ht="15">
      <c r="A25" s="902"/>
      <c r="B25" s="903">
        <v>111</v>
      </c>
      <c r="C25" s="1216"/>
      <c r="D25" s="929">
        <v>100</v>
      </c>
      <c r="E25" s="1216"/>
      <c r="F25" s="1215">
        <f>SUMIF(75:75,E25,76:76)-SUMIF(75:75,C25,76:76)+100</f>
        <v>100</v>
      </c>
      <c r="G25" s="1216"/>
      <c r="H25" s="929">
        <f>SUMIF(75:75,G25,76:76)-SUMIF(75:75,C25,76:76)+100</f>
        <v>100</v>
      </c>
      <c r="I25" s="1216"/>
      <c r="J25" s="929">
        <f>SUMIF(75:75,I25,76:76)-SUMIF(75:75,C25,76:76)+100</f>
        <v>100</v>
      </c>
      <c r="K25" s="1043"/>
      <c r="L25" s="1026"/>
      <c r="M25" s="1027"/>
      <c r="N25" s="1027"/>
      <c r="O25" s="1029"/>
      <c r="P25" s="3333"/>
      <c r="Q25" s="795">
        <f t="shared" si="11"/>
        <v>111</v>
      </c>
      <c r="R25" s="1070" t="s">
        <v>956</v>
      </c>
      <c r="S25" s="1071">
        <f>F25</f>
        <v>100</v>
      </c>
      <c r="T25" s="1070" t="s">
        <v>956</v>
      </c>
      <c r="U25" s="1071">
        <f>H25</f>
        <v>100</v>
      </c>
      <c r="V25" s="1070" t="s">
        <v>956</v>
      </c>
      <c r="W25" s="1071">
        <f>J25</f>
        <v>100</v>
      </c>
      <c r="X25" s="1072"/>
      <c r="Y25" s="3333"/>
      <c r="Z25" s="1082">
        <f>Q25</f>
        <v>111</v>
      </c>
      <c r="AA25" s="1058">
        <f t="shared" si="3"/>
        <v>1</v>
      </c>
      <c r="AB25" s="1058">
        <f t="shared" si="4"/>
        <v>1</v>
      </c>
      <c r="AC25" s="1058">
        <f t="shared" si="5"/>
        <v>1</v>
      </c>
    </row>
    <row r="26" spans="1:29" ht="15">
      <c r="A26" s="1217" t="s">
        <v>983</v>
      </c>
      <c r="B26" s="892" t="s">
        <v>1567</v>
      </c>
      <c r="C26" s="1218"/>
      <c r="D26" s="876">
        <v>100</v>
      </c>
      <c r="E26" s="1218"/>
      <c r="F26" s="877">
        <f>SUMIF(77:77,E26,78:78)-SUMIF(77:77,C26,78:78)+100</f>
        <v>100</v>
      </c>
      <c r="G26" s="1218"/>
      <c r="H26" s="876">
        <f>SUMIF(77:77,G26,78:78)-SUMIF(77:77,C26,78:78)+100</f>
        <v>100</v>
      </c>
      <c r="I26" s="1218"/>
      <c r="J26" s="876">
        <f>SUMIF(77:77,I26,78:78)-SUMIF(77:77,C26,78:78)+100</f>
        <v>100</v>
      </c>
      <c r="K26" s="1044"/>
      <c r="L26" s="1037"/>
      <c r="M26" s="971"/>
      <c r="N26" s="971"/>
      <c r="O26" s="1036"/>
      <c r="P26" s="3334" t="s">
        <v>982</v>
      </c>
      <c r="Q26" s="641" t="str">
        <f t="shared" si="11"/>
        <v>公共部分装修</v>
      </c>
      <c r="R26" s="1074" t="s">
        <v>956</v>
      </c>
      <c r="S26" s="1075">
        <f t="shared" ref="S26:S34" si="12">F26</f>
        <v>100</v>
      </c>
      <c r="T26" s="1074" t="s">
        <v>956</v>
      </c>
      <c r="U26" s="1075">
        <f t="shared" ref="U26:U34" si="13">H26</f>
        <v>100</v>
      </c>
      <c r="V26" s="1074" t="s">
        <v>956</v>
      </c>
      <c r="W26" s="1075">
        <f t="shared" ref="W26:W34" si="14">J26</f>
        <v>100</v>
      </c>
      <c r="X26" s="1069"/>
      <c r="Y26" s="3335" t="s">
        <v>982</v>
      </c>
      <c r="Z26" s="1058" t="str">
        <f t="shared" ref="Z26:Z34" si="15">Q26</f>
        <v>公共部分装修</v>
      </c>
      <c r="AA26" s="1058">
        <f t="shared" si="3"/>
        <v>1</v>
      </c>
      <c r="AB26" s="1058">
        <f t="shared" si="4"/>
        <v>1</v>
      </c>
      <c r="AC26" s="1058">
        <f t="shared" si="5"/>
        <v>1</v>
      </c>
    </row>
    <row r="27" spans="1:29" s="857" customFormat="1" ht="15">
      <c r="A27" s="952"/>
      <c r="B27" s="896" t="s">
        <v>1961</v>
      </c>
      <c r="C27" s="1219"/>
      <c r="D27" s="898">
        <v>100</v>
      </c>
      <c r="E27" s="1220"/>
      <c r="F27" s="1053" t="e">
        <f>LOOKUP(E27,80:80,81:81)-LOOKUP(C27,80:80,81:81)+100</f>
        <v>#N/A</v>
      </c>
      <c r="G27" s="1221"/>
      <c r="H27" s="765" t="e">
        <f>LOOKUP(G27,80:80,81:81)-LOOKUP(C27,80:80,81:81)+100</f>
        <v>#N/A</v>
      </c>
      <c r="I27" s="1221"/>
      <c r="J27" s="765" t="e">
        <f>LOOKUP(I27,80:80,81:81)-LOOKUP(C27,80:80,81:81)+100</f>
        <v>#N/A</v>
      </c>
      <c r="K27" s="1044"/>
      <c r="L27" s="1035"/>
      <c r="M27" s="1045"/>
      <c r="N27" s="1045"/>
      <c r="O27" s="1046"/>
      <c r="P27" s="3335"/>
      <c r="Q27" s="1244" t="str">
        <f t="shared" si="11"/>
        <v>成新率</v>
      </c>
      <c r="R27" s="1076" t="s">
        <v>956</v>
      </c>
      <c r="S27" s="1077" t="e">
        <f t="shared" si="12"/>
        <v>#N/A</v>
      </c>
      <c r="T27" s="1076" t="s">
        <v>956</v>
      </c>
      <c r="U27" s="1077" t="e">
        <f t="shared" si="13"/>
        <v>#N/A</v>
      </c>
      <c r="V27" s="1076" t="s">
        <v>956</v>
      </c>
      <c r="W27" s="1077" t="e">
        <f t="shared" si="14"/>
        <v>#N/A</v>
      </c>
      <c r="X27" s="1078"/>
      <c r="Y27" s="3335"/>
      <c r="Z27" s="1083" t="str">
        <f t="shared" si="15"/>
        <v>成新率</v>
      </c>
      <c r="AA27" s="1058" t="e">
        <f t="shared" si="3"/>
        <v>#N/A</v>
      </c>
      <c r="AB27" s="1058" t="e">
        <f t="shared" si="4"/>
        <v>#N/A</v>
      </c>
      <c r="AC27" s="1058" t="e">
        <f t="shared" si="5"/>
        <v>#N/A</v>
      </c>
    </row>
    <row r="28" spans="1:29" ht="15">
      <c r="A28" s="947"/>
      <c r="B28" s="896" t="s">
        <v>1962</v>
      </c>
      <c r="C28" s="1222"/>
      <c r="D28" s="765">
        <v>100</v>
      </c>
      <c r="E28" s="1222"/>
      <c r="F28" s="1053">
        <f>SUMIF(82:82,E28,83:83)-SUMIF(82:82,C28,83:83)+100</f>
        <v>100</v>
      </c>
      <c r="G28" s="1222"/>
      <c r="H28" s="765">
        <f>SUMIF(82:82,G28,83:83)-SUMIF(82:82,C28,83:83)+100</f>
        <v>100</v>
      </c>
      <c r="I28" s="1222"/>
      <c r="J28" s="765">
        <f>SUMIF(82:82,I28,83:83)-SUMIF(82:82,C28,83:83)+100</f>
        <v>100</v>
      </c>
      <c r="K28" s="1044"/>
      <c r="L28" s="1037"/>
      <c r="M28" s="971"/>
      <c r="N28" s="971"/>
      <c r="O28" s="1036"/>
      <c r="P28" s="3335"/>
      <c r="Q28" s="641" t="str">
        <f t="shared" si="11"/>
        <v>物业等级</v>
      </c>
      <c r="R28" s="1074" t="s">
        <v>956</v>
      </c>
      <c r="S28" s="1075">
        <f t="shared" si="12"/>
        <v>100</v>
      </c>
      <c r="T28" s="1074" t="s">
        <v>956</v>
      </c>
      <c r="U28" s="1075">
        <f t="shared" si="13"/>
        <v>100</v>
      </c>
      <c r="V28" s="1074" t="s">
        <v>956</v>
      </c>
      <c r="W28" s="1075">
        <f t="shared" si="14"/>
        <v>100</v>
      </c>
      <c r="X28" s="1069"/>
      <c r="Y28" s="3335"/>
      <c r="Z28" s="1058" t="str">
        <f t="shared" si="15"/>
        <v>物业等级</v>
      </c>
      <c r="AA28" s="1058">
        <f t="shared" si="3"/>
        <v>1</v>
      </c>
      <c r="AB28" s="1058">
        <f t="shared" si="4"/>
        <v>1</v>
      </c>
      <c r="AC28" s="1058">
        <f t="shared" si="5"/>
        <v>1</v>
      </c>
    </row>
    <row r="29" spans="1:29" ht="15">
      <c r="A29" s="947"/>
      <c r="B29" s="896" t="s">
        <v>1973</v>
      </c>
      <c r="C29" s="1223"/>
      <c r="D29" s="765">
        <v>100</v>
      </c>
      <c r="E29" s="1223"/>
      <c r="F29" s="1053">
        <f>SUMIF(84:84,E29,85:85)-SUMIF(84:84,C29,85:85)+100</f>
        <v>100</v>
      </c>
      <c r="G29" s="1223"/>
      <c r="H29" s="765">
        <f>SUMIF(84:84,G29,85:85)-SUMIF(84:84,C29,85:85)+100</f>
        <v>100</v>
      </c>
      <c r="I29" s="1223"/>
      <c r="J29" s="765">
        <f>SUMIF(84:84,I29,85:85)-SUMIF(84:84,C29,85:85)+100</f>
        <v>100</v>
      </c>
      <c r="K29" s="1044"/>
      <c r="L29" s="1037"/>
      <c r="M29" s="971"/>
      <c r="N29" s="971"/>
      <c r="O29" s="1036"/>
      <c r="P29" s="3335"/>
      <c r="Q29" s="641" t="str">
        <f t="shared" si="11"/>
        <v>有无电梯</v>
      </c>
      <c r="R29" s="1074" t="s">
        <v>956</v>
      </c>
      <c r="S29" s="1075">
        <f t="shared" si="12"/>
        <v>100</v>
      </c>
      <c r="T29" s="1074" t="s">
        <v>956</v>
      </c>
      <c r="U29" s="1075">
        <f t="shared" si="13"/>
        <v>100</v>
      </c>
      <c r="V29" s="1074" t="s">
        <v>956</v>
      </c>
      <c r="W29" s="1075">
        <f t="shared" si="14"/>
        <v>100</v>
      </c>
      <c r="X29" s="1069"/>
      <c r="Y29" s="3335"/>
      <c r="Z29" s="1058" t="str">
        <f t="shared" si="15"/>
        <v>有无电梯</v>
      </c>
      <c r="AA29" s="1058">
        <f t="shared" si="3"/>
        <v>1</v>
      </c>
      <c r="AB29" s="1058">
        <f t="shared" si="4"/>
        <v>1</v>
      </c>
      <c r="AC29" s="1058">
        <f t="shared" si="5"/>
        <v>1</v>
      </c>
    </row>
    <row r="30" spans="1:29" ht="15">
      <c r="A30" s="947"/>
      <c r="B30" s="896" t="s">
        <v>541</v>
      </c>
      <c r="C30" s="1207"/>
      <c r="D30" s="765">
        <v>100</v>
      </c>
      <c r="E30" s="1207"/>
      <c r="F30" s="1053" t="e">
        <f>LOOKUP(E30,87:87,88:88)-LOOKUP(C30,87:87,88:88)+100</f>
        <v>#N/A</v>
      </c>
      <c r="G30" s="1207"/>
      <c r="H30" s="765" t="e">
        <f>LOOKUP(G30,87:87,88:88)-LOOKUP(C30,87:87,88:88)+100</f>
        <v>#N/A</v>
      </c>
      <c r="I30" s="1207"/>
      <c r="J30" s="765" t="e">
        <f>LOOKUP(I30,87:87,88:88)-LOOKUP(C30,87:87,88:88)+100</f>
        <v>#N/A</v>
      </c>
      <c r="K30" s="1043"/>
      <c r="L30" s="1037"/>
      <c r="M30" s="971"/>
      <c r="N30" s="971"/>
      <c r="O30" s="1036"/>
      <c r="P30" s="3335"/>
      <c r="Q30" s="641" t="str">
        <f t="shared" si="11"/>
        <v>建筑面积</v>
      </c>
      <c r="R30" s="1074" t="s">
        <v>956</v>
      </c>
      <c r="S30" s="1075" t="e">
        <f t="shared" si="12"/>
        <v>#N/A</v>
      </c>
      <c r="T30" s="1074" t="s">
        <v>956</v>
      </c>
      <c r="U30" s="1075" t="e">
        <f t="shared" si="13"/>
        <v>#N/A</v>
      </c>
      <c r="V30" s="1074" t="s">
        <v>956</v>
      </c>
      <c r="W30" s="1075" t="e">
        <f t="shared" si="14"/>
        <v>#N/A</v>
      </c>
      <c r="X30" s="1069"/>
      <c r="Y30" s="3335"/>
      <c r="Z30" s="1058" t="str">
        <f t="shared" si="15"/>
        <v>建筑面积</v>
      </c>
      <c r="AA30" s="1058" t="e">
        <f t="shared" si="3"/>
        <v>#N/A</v>
      </c>
      <c r="AB30" s="1058" t="e">
        <f t="shared" si="4"/>
        <v>#N/A</v>
      </c>
      <c r="AC30" s="1058" t="e">
        <f t="shared" si="5"/>
        <v>#N/A</v>
      </c>
    </row>
    <row r="31" spans="1:29" s="855" customFormat="1" ht="15">
      <c r="A31" s="949"/>
      <c r="B31" s="896" t="s">
        <v>1974</v>
      </c>
      <c r="C31" s="1223"/>
      <c r="D31" s="898">
        <v>100</v>
      </c>
      <c r="E31" s="1223"/>
      <c r="F31" s="1053">
        <f>SUMIF(89:89,E31,90:90)-SUMIF(89:89,C31,90:90)+100</f>
        <v>100</v>
      </c>
      <c r="G31" s="1223"/>
      <c r="H31" s="765">
        <f>SUMIF(89:89,G31,90:90)-SUMIF(89:89,C31,90:90)+100</f>
        <v>100</v>
      </c>
      <c r="I31" s="1223"/>
      <c r="J31" s="765">
        <f>SUMIF(89:89,I31,90:90)-SUMIF(89:89,C31,90:90)+100</f>
        <v>100</v>
      </c>
      <c r="K31" s="1044"/>
      <c r="L31" s="1026"/>
      <c r="M31" s="1027"/>
      <c r="N31" s="1027"/>
      <c r="O31" s="1029"/>
      <c r="P31" s="3335"/>
      <c r="Q31" s="795" t="str">
        <f t="shared" si="11"/>
        <v>是否封闭</v>
      </c>
      <c r="R31" s="1070" t="s">
        <v>956</v>
      </c>
      <c r="S31" s="1071">
        <f t="shared" si="12"/>
        <v>100</v>
      </c>
      <c r="T31" s="1070" t="s">
        <v>956</v>
      </c>
      <c r="U31" s="1071">
        <f t="shared" si="13"/>
        <v>100</v>
      </c>
      <c r="V31" s="1070" t="s">
        <v>956</v>
      </c>
      <c r="W31" s="1071">
        <f t="shared" si="14"/>
        <v>100</v>
      </c>
      <c r="X31" s="1072"/>
      <c r="Y31" s="3335"/>
      <c r="Z31" s="1082" t="str">
        <f t="shared" si="15"/>
        <v>是否封闭</v>
      </c>
      <c r="AA31" s="1082">
        <f t="shared" si="3"/>
        <v>1</v>
      </c>
      <c r="AB31" s="1082">
        <f t="shared" si="4"/>
        <v>1</v>
      </c>
      <c r="AC31" s="1082">
        <f t="shared" si="5"/>
        <v>1</v>
      </c>
    </row>
    <row r="32" spans="1:29" ht="15">
      <c r="A32" s="947"/>
      <c r="B32" s="903">
        <v>111</v>
      </c>
      <c r="C32" s="897"/>
      <c r="D32" s="765">
        <v>100</v>
      </c>
      <c r="E32" s="1207"/>
      <c r="F32" s="1053">
        <f>SUMIF(91:91,E32,92:92)-SUMIF(91:91,C32,92:92)+100</f>
        <v>100</v>
      </c>
      <c r="G32" s="1207"/>
      <c r="H32" s="765">
        <f>SUMIF(91:91,G32,92:92)-SUMIF(91:91,C32,92:92)+100</f>
        <v>100</v>
      </c>
      <c r="I32" s="1207"/>
      <c r="J32" s="765">
        <f>SUMIF(91:91,I32,92:92)-SUMIF(91:91,C32,92:92)+100</f>
        <v>100</v>
      </c>
      <c r="K32" s="1043"/>
      <c r="L32" s="1037"/>
      <c r="M32" s="971"/>
      <c r="N32" s="971"/>
      <c r="O32" s="1036"/>
      <c r="P32" s="3335" t="s">
        <v>982</v>
      </c>
      <c r="Q32" s="641">
        <f t="shared" si="11"/>
        <v>111</v>
      </c>
      <c r="R32" s="1074" t="s">
        <v>956</v>
      </c>
      <c r="S32" s="1075">
        <f t="shared" si="12"/>
        <v>100</v>
      </c>
      <c r="T32" s="1074" t="s">
        <v>956</v>
      </c>
      <c r="U32" s="1075">
        <f t="shared" si="13"/>
        <v>100</v>
      </c>
      <c r="V32" s="1074" t="s">
        <v>956</v>
      </c>
      <c r="W32" s="1075">
        <f t="shared" si="14"/>
        <v>100</v>
      </c>
      <c r="X32" s="1069"/>
      <c r="Y32" s="3335" t="s">
        <v>982</v>
      </c>
      <c r="Z32" s="1058">
        <f t="shared" si="15"/>
        <v>111</v>
      </c>
      <c r="AA32" s="1058">
        <f t="shared" si="3"/>
        <v>1</v>
      </c>
      <c r="AB32" s="1058">
        <f t="shared" si="4"/>
        <v>1</v>
      </c>
      <c r="AC32" s="1058">
        <f t="shared" si="5"/>
        <v>1</v>
      </c>
    </row>
    <row r="33" spans="1:30" ht="15">
      <c r="A33" s="947"/>
      <c r="B33" s="903">
        <v>111</v>
      </c>
      <c r="C33" s="897"/>
      <c r="D33" s="765">
        <v>100</v>
      </c>
      <c r="E33" s="1207"/>
      <c r="F33" s="1053">
        <f>SUMIF(93:93,E33,94:94)-SUMIF(93:93,C33,94:94)+100</f>
        <v>100</v>
      </c>
      <c r="G33" s="1207"/>
      <c r="H33" s="765">
        <f>SUMIF(93:93,G33,94:94)-SUMIF(93:93,C33,94:94)+100</f>
        <v>100</v>
      </c>
      <c r="I33" s="1207"/>
      <c r="J33" s="765">
        <f>SUMIF(93:93,I33,94:94)-SUMIF(93:93,C33,94:94)+100</f>
        <v>100</v>
      </c>
      <c r="K33" s="1043"/>
      <c r="L33" s="1037"/>
      <c r="M33" s="971"/>
      <c r="N33" s="971"/>
      <c r="O33" s="1036"/>
      <c r="P33" s="3335"/>
      <c r="Q33" s="641">
        <f t="shared" si="11"/>
        <v>111</v>
      </c>
      <c r="R33" s="1074" t="s">
        <v>956</v>
      </c>
      <c r="S33" s="1075">
        <f t="shared" si="12"/>
        <v>100</v>
      </c>
      <c r="T33" s="1074" t="s">
        <v>956</v>
      </c>
      <c r="U33" s="1075">
        <f t="shared" si="13"/>
        <v>100</v>
      </c>
      <c r="V33" s="1074" t="s">
        <v>956</v>
      </c>
      <c r="W33" s="1075">
        <f t="shared" si="14"/>
        <v>100</v>
      </c>
      <c r="X33" s="1069"/>
      <c r="Y33" s="3335"/>
      <c r="Z33" s="1058">
        <f t="shared" si="15"/>
        <v>111</v>
      </c>
      <c r="AA33" s="1058">
        <f t="shared" si="3"/>
        <v>1</v>
      </c>
      <c r="AB33" s="1058">
        <f t="shared" si="4"/>
        <v>1</v>
      </c>
      <c r="AC33" s="1058">
        <f t="shared" si="5"/>
        <v>1</v>
      </c>
    </row>
    <row r="34" spans="1:30" ht="15">
      <c r="A34" s="1224"/>
      <c r="B34" s="909">
        <v>111</v>
      </c>
      <c r="C34" s="910"/>
      <c r="D34" s="911">
        <v>100</v>
      </c>
      <c r="E34" s="1208"/>
      <c r="F34" s="1225">
        <f>SUMIF(95:95,E34,96:96)-SUMIF(95:95,C34,96:96)+100</f>
        <v>100</v>
      </c>
      <c r="G34" s="1208"/>
      <c r="H34" s="911">
        <f>SUMIF(95:95,G34,96:96)-SUMIF(95:95,C34,96:96)+100</f>
        <v>100</v>
      </c>
      <c r="I34" s="1208"/>
      <c r="J34" s="911">
        <f>SUMIF(95:95,I34,96:96)-SUMIF(95:95,C34,96:96)+100</f>
        <v>100</v>
      </c>
      <c r="K34" s="1043"/>
      <c r="L34" s="1037"/>
      <c r="M34" s="971"/>
      <c r="N34" s="971"/>
      <c r="O34" s="1036"/>
      <c r="P34" s="3335"/>
      <c r="Q34" s="641">
        <f t="shared" si="11"/>
        <v>111</v>
      </c>
      <c r="R34" s="1074" t="s">
        <v>956</v>
      </c>
      <c r="S34" s="1075">
        <f t="shared" si="12"/>
        <v>100</v>
      </c>
      <c r="T34" s="1074" t="s">
        <v>956</v>
      </c>
      <c r="U34" s="1075">
        <f t="shared" si="13"/>
        <v>100</v>
      </c>
      <c r="V34" s="1074" t="s">
        <v>956</v>
      </c>
      <c r="W34" s="1075">
        <f t="shared" si="14"/>
        <v>100</v>
      </c>
      <c r="X34" s="1069"/>
      <c r="Y34" s="3335"/>
      <c r="Z34" s="1058">
        <f t="shared" si="15"/>
        <v>111</v>
      </c>
      <c r="AA34" s="1058">
        <f t="shared" si="3"/>
        <v>1</v>
      </c>
      <c r="AB34" s="1058">
        <f t="shared" si="4"/>
        <v>1</v>
      </c>
      <c r="AC34" s="1058">
        <f t="shared" si="5"/>
        <v>1</v>
      </c>
    </row>
    <row r="35" spans="1:30" ht="15">
      <c r="A35" s="954" t="s">
        <v>1577</v>
      </c>
      <c r="B35" s="1226"/>
      <c r="C35" s="1227" t="s">
        <v>124</v>
      </c>
      <c r="D35" s="957"/>
      <c r="E35" s="958"/>
      <c r="F35" s="959"/>
      <c r="G35" s="960"/>
      <c r="H35" s="961"/>
      <c r="I35" s="958"/>
      <c r="J35" s="961"/>
      <c r="K35" s="1049"/>
      <c r="L35" s="1050"/>
      <c r="M35" s="971"/>
      <c r="N35" s="971"/>
      <c r="O35" s="971"/>
      <c r="P35" s="3330" t="str">
        <f>A35</f>
        <v>成交单价（元/平方米）</v>
      </c>
      <c r="Q35" s="3330"/>
      <c r="R35" s="3331">
        <f>E35</f>
        <v>0</v>
      </c>
      <c r="S35" s="3331"/>
      <c r="T35" s="3331">
        <f>G35</f>
        <v>0</v>
      </c>
      <c r="U35" s="3331"/>
      <c r="V35" s="3331">
        <f>I35</f>
        <v>0</v>
      </c>
      <c r="W35" s="3331"/>
      <c r="X35" s="1011"/>
      <c r="Y35" s="1084"/>
      <c r="Z35" s="1011"/>
      <c r="AA35" s="1011"/>
      <c r="AB35" s="1011"/>
      <c r="AC35" s="1011"/>
    </row>
    <row r="36" spans="1:30" ht="15">
      <c r="A36" s="962" t="s">
        <v>993</v>
      </c>
      <c r="B36" s="1228"/>
      <c r="C36" s="1229" t="e">
        <f>R37</f>
        <v>#DIV/0!</v>
      </c>
      <c r="D36" s="965" t="s">
        <v>994</v>
      </c>
      <c r="E36" s="1230" t="e">
        <f>R36</f>
        <v>#DIV/0!</v>
      </c>
      <c r="F36" s="966"/>
      <c r="G36" s="1229" t="e">
        <f>T36</f>
        <v>#DIV/0!</v>
      </c>
      <c r="H36" s="966"/>
      <c r="I36" s="1230" t="e">
        <f>V36</f>
        <v>#DIV/0!</v>
      </c>
      <c r="J36" s="966"/>
      <c r="K36" s="1051">
        <f>F36+H36+J36</f>
        <v>0</v>
      </c>
      <c r="L36" s="1050"/>
      <c r="M36" s="971"/>
      <c r="N36" s="971"/>
      <c r="O36" s="971"/>
      <c r="P36" s="3330" t="str">
        <f>A36</f>
        <v>比较价值（元/平方米）</v>
      </c>
      <c r="Q36" s="3330"/>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1011"/>
      <c r="Y36" s="1011"/>
      <c r="Z36" s="1011"/>
      <c r="AA36" s="1011"/>
      <c r="AB36" s="1011"/>
      <c r="AC36" s="1011"/>
    </row>
    <row r="37" spans="1:30" ht="15">
      <c r="A37" s="968" t="s">
        <v>1578</v>
      </c>
      <c r="B37" s="969"/>
      <c r="C37" s="881" t="e">
        <f>R37</f>
        <v>#DIV/0!</v>
      </c>
      <c r="D37" s="881"/>
      <c r="E37" s="881"/>
      <c r="F37" s="881"/>
      <c r="G37" s="881"/>
      <c r="H37" s="881"/>
      <c r="I37" s="881"/>
      <c r="J37" s="881"/>
      <c r="K37" s="1052"/>
      <c r="L37" s="1050"/>
      <c r="M37" s="971"/>
      <c r="N37" s="971"/>
      <c r="O37" s="971"/>
      <c r="P37" s="3354" t="str">
        <f>A37</f>
        <v>估价对象XX用房的比较价值（楼面单价，元/平方米）</v>
      </c>
      <c r="Q37" s="3355"/>
      <c r="R37" s="3423" t="e">
        <f>IF(F1="售价",ROUND(IF(D36="简单平均",AVERAGE(R36:W36),R36*F36+T36*H36+V36*J36),0),ROUND(IF(D36="简单平均",AVERAGE(R36:V36),R36*F36+T36*H36+V36*J36),1))</f>
        <v>#DIV/0!</v>
      </c>
      <c r="S37" s="3423"/>
      <c r="T37" s="3423"/>
      <c r="U37" s="3423"/>
      <c r="V37" s="3423"/>
      <c r="W37" s="3423"/>
      <c r="X37" s="1011"/>
      <c r="Y37" s="1011"/>
      <c r="Z37" s="1011"/>
      <c r="AA37" s="1011"/>
      <c r="AB37" s="1011"/>
      <c r="AC37" s="1011"/>
    </row>
    <row r="38" spans="1:30">
      <c r="A38" s="971"/>
      <c r="B38" s="971"/>
      <c r="C38" s="971"/>
      <c r="D38" s="971"/>
      <c r="E38" s="971"/>
      <c r="F38" s="971"/>
      <c r="G38" s="972"/>
      <c r="H38" s="971"/>
      <c r="I38" s="971"/>
      <c r="J38" s="971"/>
      <c r="K38" s="1054"/>
      <c r="L38" s="1055"/>
      <c r="M38" s="971"/>
      <c r="N38" s="971"/>
      <c r="O38" s="971"/>
      <c r="P38" s="971"/>
      <c r="Q38" s="971"/>
      <c r="R38" s="971"/>
      <c r="S38" s="971"/>
      <c r="T38" s="971"/>
      <c r="U38" s="971"/>
      <c r="V38" s="971"/>
      <c r="W38" s="971"/>
      <c r="X38" s="971"/>
      <c r="Y38" s="971"/>
      <c r="Z38" s="971"/>
      <c r="AA38" s="971"/>
      <c r="AB38" s="971"/>
      <c r="AC38" s="971"/>
      <c r="AD38" s="971"/>
    </row>
    <row r="39" spans="1:30">
      <c r="A39" s="971"/>
      <c r="B39" s="971"/>
      <c r="C39" s="971"/>
      <c r="D39" s="971"/>
      <c r="E39" s="971"/>
      <c r="F39" s="971"/>
      <c r="G39" s="971"/>
      <c r="H39" s="971"/>
      <c r="I39" s="971"/>
      <c r="J39" s="971"/>
      <c r="K39" s="1054"/>
      <c r="L39" s="1055"/>
      <c r="M39" s="971"/>
      <c r="N39" s="971"/>
      <c r="O39" s="971"/>
      <c r="P39" s="971"/>
      <c r="Q39" s="971"/>
      <c r="R39" s="971"/>
      <c r="S39" s="971"/>
      <c r="T39" s="971"/>
      <c r="U39" s="971"/>
      <c r="V39" s="971"/>
      <c r="W39" s="971"/>
      <c r="X39" s="971"/>
      <c r="Y39" s="971"/>
      <c r="Z39" s="971"/>
      <c r="AA39" s="971"/>
      <c r="AB39" s="971"/>
      <c r="AC39" s="971"/>
      <c r="AD39" s="971"/>
    </row>
    <row r="40" spans="1:30" ht="13.5" customHeight="1">
      <c r="A40" s="971"/>
      <c r="B40" s="971"/>
      <c r="C40" s="973" t="s">
        <v>996</v>
      </c>
      <c r="D40" s="683"/>
      <c r="E40" s="974" t="e">
        <f>IF(E35&lt;E36,E36/E35-1,E35/E36-1)</f>
        <v>#DIV/0!</v>
      </c>
      <c r="F40" s="975" t="e">
        <f>IF(OR(E40&gt;=0.3,E40&lt;=-0.3),"超过30%","")</f>
        <v>#DIV/0!</v>
      </c>
      <c r="G40" s="974" t="e">
        <f>IF(G35&lt;G36,G36/G35-1,G35/G36-1)</f>
        <v>#DIV/0!</v>
      </c>
      <c r="H40" s="975" t="e">
        <f>IF(OR(G40&gt;=0.3,G40&lt;=-0.3),"超过30%","")</f>
        <v>#DIV/0!</v>
      </c>
      <c r="I40" s="974" t="e">
        <f>IF(I35&lt;I36,I36/I35-1,I35/I36-1)</f>
        <v>#DIV/0!</v>
      </c>
      <c r="J40" s="975" t="e">
        <f>IF(OR(I40&gt;=0.3,I40&lt;=-0.3),"超过30%","")</f>
        <v>#DIV/0!</v>
      </c>
      <c r="K40" s="1054"/>
      <c r="L40" s="1055"/>
      <c r="M40" s="971"/>
      <c r="N40" s="971"/>
      <c r="O40" s="971"/>
      <c r="P40" s="971"/>
      <c r="Q40" s="971"/>
      <c r="R40" s="971"/>
      <c r="S40" s="971"/>
      <c r="T40" s="971"/>
      <c r="U40" s="971"/>
      <c r="V40" s="971"/>
      <c r="W40" s="971"/>
      <c r="X40" s="971"/>
      <c r="Y40" s="971"/>
      <c r="Z40" s="971"/>
      <c r="AA40" s="971"/>
      <c r="AB40" s="971"/>
      <c r="AC40" s="971"/>
      <c r="AD40" s="971"/>
    </row>
    <row r="41" spans="1:30" ht="13.5" customHeight="1">
      <c r="A41" s="971"/>
      <c r="B41" s="971"/>
      <c r="C41" s="973" t="s">
        <v>997</v>
      </c>
      <c r="D41" s="682"/>
      <c r="E41" s="974" t="e">
        <f>IF(E36&lt;G36,G36/E36-1,E36/G36-1)</f>
        <v>#DIV/0!</v>
      </c>
      <c r="F41" s="975" t="e">
        <f>IF(OR(E41&gt;=0.2,E41&lt;=-0.2),"超过20%","")</f>
        <v>#DIV/0!</v>
      </c>
      <c r="G41" s="974" t="e">
        <f>IF(G36&lt;I36,I36/G36-1,G36/I36-1)</f>
        <v>#DIV/0!</v>
      </c>
      <c r="H41" s="975" t="e">
        <f>IF(OR(G41&gt;=0.2,G41&lt;=-0.2),"超过20%","")</f>
        <v>#DIV/0!</v>
      </c>
      <c r="I41" s="974" t="e">
        <f>IF(I36&lt;E36,E36/I36-1,I36/E36-1)</f>
        <v>#DIV/0!</v>
      </c>
      <c r="J41" s="975" t="e">
        <f>IF(OR(I41&gt;=0.2,I41&lt;=-0.2),"超过20%","")</f>
        <v>#DIV/0!</v>
      </c>
      <c r="K41" s="1054"/>
      <c r="L41" s="1055"/>
      <c r="M41" s="971"/>
      <c r="N41" s="971"/>
      <c r="O41" s="971"/>
      <c r="P41" s="971"/>
      <c r="Q41" s="971"/>
      <c r="R41" s="971"/>
      <c r="S41" s="971"/>
      <c r="T41" s="971"/>
      <c r="U41" s="971"/>
      <c r="V41" s="971"/>
      <c r="W41" s="971"/>
      <c r="X41" s="971"/>
      <c r="Y41" s="971"/>
      <c r="Z41" s="971"/>
      <c r="AA41" s="971"/>
      <c r="AB41" s="971"/>
      <c r="AC41" s="971"/>
      <c r="AD41" s="971"/>
    </row>
    <row r="42" spans="1:30" s="858" customFormat="1" ht="13.5" customHeight="1">
      <c r="A42" s="976"/>
      <c r="B42" s="976"/>
      <c r="C42" s="973" t="s">
        <v>998</v>
      </c>
      <c r="D42" s="682"/>
      <c r="E42" s="974" t="e">
        <f>IF(E35&lt;G35,G35/E35-1,E35/G35-1)</f>
        <v>#DIV/0!</v>
      </c>
      <c r="F42" s="975" t="e">
        <f>IF(OR(E42&gt;=0.3,E42&lt;=-0.3),"超过30%","")</f>
        <v>#DIV/0!</v>
      </c>
      <c r="G42" s="974" t="e">
        <f>IF(G35&lt;I35,I35/G35-1,G35/I35-1)</f>
        <v>#DIV/0!</v>
      </c>
      <c r="H42" s="975" t="e">
        <f>IF(OR(G42&gt;=0.3,G42&lt;=-0.3),"超过30%","")</f>
        <v>#DIV/0!</v>
      </c>
      <c r="I42" s="974" t="e">
        <f>IF(I35&lt;E35,E35/I35-1,I35/E35-1)</f>
        <v>#DIV/0!</v>
      </c>
      <c r="J42" s="975" t="e">
        <f>IF(OR(I42&gt;=0.3,I42&lt;=-0.3),"超过30%","")</f>
        <v>#DIV/0!</v>
      </c>
      <c r="K42" s="1056"/>
      <c r="L42" s="1057"/>
      <c r="M42" s="976"/>
      <c r="N42" s="976"/>
      <c r="O42" s="976"/>
      <c r="P42" s="976"/>
      <c r="Q42" s="976"/>
      <c r="R42" s="976"/>
      <c r="S42" s="976"/>
      <c r="T42" s="976"/>
      <c r="U42" s="976"/>
      <c r="V42" s="976"/>
      <c r="W42" s="976"/>
      <c r="X42" s="976"/>
      <c r="Y42" s="976"/>
      <c r="Z42" s="976"/>
      <c r="AA42" s="976"/>
      <c r="AB42" s="976"/>
      <c r="AC42" s="976"/>
      <c r="AD42" s="976"/>
    </row>
    <row r="43" spans="1:30" s="858" customFormat="1">
      <c r="A43" s="976"/>
      <c r="B43" s="977"/>
      <c r="C43" s="1231"/>
      <c r="D43" s="976"/>
      <c r="E43" s="976"/>
      <c r="F43" s="976"/>
      <c r="G43" s="976"/>
      <c r="H43" s="976"/>
      <c r="I43" s="976"/>
      <c r="J43" s="976"/>
      <c r="K43" s="1056"/>
      <c r="L43" s="1057"/>
      <c r="M43" s="976"/>
      <c r="N43" s="976"/>
      <c r="O43" s="976"/>
      <c r="P43" s="976"/>
      <c r="Q43" s="976"/>
      <c r="R43" s="976"/>
      <c r="S43" s="976"/>
      <c r="T43" s="976"/>
      <c r="U43" s="976"/>
      <c r="V43" s="976"/>
      <c r="W43" s="976"/>
      <c r="X43" s="976"/>
      <c r="Y43" s="976"/>
      <c r="Z43" s="976"/>
      <c r="AA43" s="976"/>
      <c r="AB43" s="976"/>
      <c r="AC43" s="976"/>
      <c r="AD43" s="976"/>
    </row>
    <row r="44" spans="1:30">
      <c r="A44" s="971"/>
      <c r="B44" s="977"/>
      <c r="C44" s="1231"/>
      <c r="D44" s="971"/>
      <c r="E44" s="971"/>
      <c r="F44" s="971"/>
      <c r="G44" s="971"/>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row>
    <row r="45" spans="1:30" ht="21">
      <c r="A45" s="1010" t="s">
        <v>1023</v>
      </c>
      <c r="B45" s="1011"/>
      <c r="C45" s="1012"/>
      <c r="D45" s="1012"/>
      <c r="E45" s="1012"/>
      <c r="F45" s="1013"/>
      <c r="G45" s="1013"/>
      <c r="H45" s="1012"/>
      <c r="I45" s="1012"/>
      <c r="J45" s="1012"/>
      <c r="K45" s="1064"/>
      <c r="L45" s="1065"/>
      <c r="M45" s="1012"/>
      <c r="N45" s="1067"/>
      <c r="O45" s="1067"/>
      <c r="P45" s="1067"/>
      <c r="Q45" s="1079"/>
      <c r="R45" s="971"/>
      <c r="S45" s="971"/>
      <c r="T45" s="971"/>
      <c r="U45" s="971"/>
      <c r="V45" s="971"/>
      <c r="W45" s="971"/>
      <c r="X45" s="971"/>
      <c r="Y45" s="971"/>
      <c r="Z45" s="971"/>
      <c r="AA45" s="971"/>
      <c r="AB45" s="971"/>
      <c r="AC45" s="971"/>
      <c r="AD45" s="971"/>
    </row>
    <row r="46" spans="1:30" s="860" customFormat="1" ht="15">
      <c r="A46" s="1232" t="s">
        <v>954</v>
      </c>
      <c r="B46" s="1233"/>
      <c r="C46" s="1234" t="str">
        <f>YEAR(C7)&amp;"-"&amp;MONTH(C7)</f>
        <v>2024-7</v>
      </c>
      <c r="D46" s="1235">
        <f>EDATE(C46,-1)</f>
        <v>45444</v>
      </c>
      <c r="E46" s="1235">
        <f t="shared" ref="E46:O46" si="16">EDATE(D46,-1)</f>
        <v>45413</v>
      </c>
      <c r="F46" s="1235">
        <f t="shared" si="16"/>
        <v>45383</v>
      </c>
      <c r="G46" s="1235">
        <f t="shared" si="16"/>
        <v>45352</v>
      </c>
      <c r="H46" s="1235">
        <f t="shared" si="16"/>
        <v>45323</v>
      </c>
      <c r="I46" s="1235">
        <f t="shared" si="16"/>
        <v>45292</v>
      </c>
      <c r="J46" s="1235">
        <f t="shared" si="16"/>
        <v>45261</v>
      </c>
      <c r="K46" s="1235">
        <f t="shared" si="16"/>
        <v>45231</v>
      </c>
      <c r="L46" s="1235">
        <f t="shared" si="16"/>
        <v>45200</v>
      </c>
      <c r="M46" s="1235">
        <f t="shared" si="16"/>
        <v>45170</v>
      </c>
      <c r="N46" s="1235">
        <f t="shared" si="16"/>
        <v>45139</v>
      </c>
      <c r="O46" s="1235">
        <f t="shared" si="16"/>
        <v>45108</v>
      </c>
      <c r="P46" s="1132"/>
      <c r="Q46" s="1132"/>
      <c r="R46" s="1132"/>
      <c r="S46" s="1132"/>
      <c r="T46" s="1132"/>
      <c r="U46" s="1132"/>
      <c r="V46" s="1132"/>
      <c r="W46" s="1132"/>
      <c r="X46" s="1132"/>
      <c r="Y46" s="1132"/>
      <c r="Z46" s="1132"/>
      <c r="AA46" s="1132"/>
      <c r="AB46" s="1132"/>
      <c r="AC46" s="1132"/>
      <c r="AD46" s="1132"/>
    </row>
    <row r="47" spans="1:30" s="855" customFormat="1" ht="15">
      <c r="A47" s="928"/>
      <c r="B47" s="1096"/>
      <c r="C47" s="1236">
        <v>100</v>
      </c>
      <c r="D47" s="1100"/>
      <c r="E47" s="1100"/>
      <c r="F47" s="1100"/>
      <c r="G47" s="1100"/>
      <c r="H47" s="1100"/>
      <c r="I47" s="1100"/>
      <c r="J47" s="1100"/>
      <c r="K47" s="1100"/>
      <c r="L47" s="1100"/>
      <c r="M47" s="903"/>
      <c r="N47" s="1100"/>
      <c r="O47" s="1139"/>
      <c r="P47" s="1079"/>
      <c r="Q47" s="1027"/>
      <c r="R47" s="1027"/>
      <c r="S47" s="1027"/>
      <c r="T47" s="1027"/>
      <c r="U47" s="1027"/>
      <c r="V47" s="1027"/>
      <c r="W47" s="1027"/>
      <c r="X47" s="1027"/>
      <c r="Y47" s="1027"/>
      <c r="Z47" s="1027"/>
      <c r="AA47" s="1027"/>
      <c r="AB47" s="1027"/>
      <c r="AC47" s="1027"/>
      <c r="AD47" s="1027"/>
    </row>
    <row r="48" spans="1:30" s="855" customFormat="1" ht="15">
      <c r="A48" s="1091" t="s">
        <v>1026</v>
      </c>
      <c r="B48" s="1092"/>
      <c r="C48" s="1093"/>
      <c r="D48" s="1094"/>
      <c r="E48" s="1094"/>
      <c r="F48" s="1094"/>
      <c r="G48" s="1094"/>
      <c r="H48" s="1094"/>
      <c r="I48" s="1094"/>
      <c r="J48" s="1094"/>
      <c r="K48" s="1094"/>
      <c r="L48" s="1094"/>
      <c r="M48" s="1134"/>
      <c r="N48" s="1094"/>
      <c r="O48" s="1135"/>
      <c r="P48" s="1079"/>
      <c r="Q48" s="1079"/>
      <c r="R48" s="1027"/>
      <c r="S48" s="1027"/>
      <c r="T48" s="1027"/>
      <c r="U48" s="1027"/>
      <c r="V48" s="1027"/>
      <c r="W48" s="1027"/>
      <c r="X48" s="1027"/>
      <c r="Y48" s="1027"/>
      <c r="Z48" s="1027"/>
      <c r="AA48" s="1027"/>
      <c r="AB48" s="1027"/>
      <c r="AC48" s="1027"/>
      <c r="AD48" s="1027"/>
    </row>
    <row r="49" spans="1:30" s="855" customFormat="1" ht="15">
      <c r="A49" s="1095" t="s">
        <v>957</v>
      </c>
      <c r="B49" s="1096"/>
      <c r="C49" s="1097" t="s">
        <v>958</v>
      </c>
      <c r="D49" s="1237">
        <v>100</v>
      </c>
      <c r="E49" s="1237">
        <v>100</v>
      </c>
      <c r="F49" s="1237">
        <v>100</v>
      </c>
      <c r="G49" s="1237">
        <v>100</v>
      </c>
      <c r="H49" s="1237">
        <v>100</v>
      </c>
      <c r="I49" s="1237">
        <v>100</v>
      </c>
      <c r="J49" s="1237">
        <v>100</v>
      </c>
      <c r="K49" s="1237">
        <v>100</v>
      </c>
      <c r="L49" s="1237">
        <v>100</v>
      </c>
      <c r="M49" s="1137"/>
      <c r="N49" s="1138"/>
      <c r="O49" s="1138"/>
      <c r="P49" s="466"/>
      <c r="Q49" s="1079"/>
      <c r="R49" s="1027"/>
      <c r="S49" s="1027"/>
      <c r="T49" s="1027"/>
      <c r="U49" s="1027"/>
      <c r="V49" s="1027"/>
      <c r="W49" s="1027"/>
      <c r="X49" s="1027"/>
      <c r="Y49" s="1027"/>
      <c r="Z49" s="1027"/>
      <c r="AA49" s="1027"/>
      <c r="AB49" s="1027"/>
      <c r="AC49" s="1027"/>
      <c r="AD49" s="1027"/>
    </row>
    <row r="50" spans="1:30" s="855" customFormat="1" ht="15">
      <c r="A50" s="1095"/>
      <c r="B50" s="1096"/>
      <c r="C50" s="1099">
        <v>100</v>
      </c>
      <c r="D50" s="1100"/>
      <c r="E50" s="1100"/>
      <c r="F50" s="1100"/>
      <c r="G50" s="1100"/>
      <c r="H50" s="1100"/>
      <c r="I50" s="1100"/>
      <c r="J50" s="1100"/>
      <c r="K50" s="1100"/>
      <c r="L50" s="1100"/>
      <c r="M50" s="1139"/>
      <c r="N50" s="1138"/>
      <c r="O50" s="1138"/>
      <c r="P50" s="1079"/>
      <c r="Q50" s="1079"/>
      <c r="R50" s="1027"/>
      <c r="S50" s="1027"/>
      <c r="T50" s="1027"/>
      <c r="U50" s="1027"/>
      <c r="V50" s="1027"/>
      <c r="W50" s="1027"/>
      <c r="X50" s="1027"/>
      <c r="Y50" s="1027"/>
      <c r="Z50" s="1027"/>
      <c r="AA50" s="1027"/>
      <c r="AB50" s="1027"/>
      <c r="AC50" s="1027"/>
      <c r="AD50" s="1027"/>
    </row>
    <row r="51" spans="1:30">
      <c r="A51" s="912" t="s">
        <v>1027</v>
      </c>
      <c r="B51" s="1101" t="s">
        <v>961</v>
      </c>
      <c r="C51" s="637">
        <f>C9</f>
        <v>0</v>
      </c>
      <c r="D51" s="1047"/>
      <c r="E51" s="1047"/>
      <c r="F51" s="1047"/>
      <c r="G51" s="1047"/>
      <c r="H51" s="1047"/>
      <c r="I51" s="1047"/>
      <c r="J51" s="1047"/>
      <c r="K51" s="1140"/>
      <c r="L51" s="1141"/>
      <c r="M51" s="1142"/>
      <c r="N51" s="1143"/>
      <c r="O51" s="1143"/>
      <c r="P51" s="1138"/>
      <c r="Q51" s="1079"/>
      <c r="R51" s="971"/>
      <c r="S51" s="971"/>
      <c r="T51" s="971"/>
      <c r="U51" s="971"/>
      <c r="V51" s="971"/>
      <c r="W51" s="971"/>
      <c r="X51" s="971"/>
      <c r="Y51" s="971"/>
      <c r="Z51" s="971"/>
      <c r="AA51" s="971"/>
      <c r="AB51" s="971"/>
      <c r="AC51" s="971"/>
      <c r="AD51" s="971"/>
    </row>
    <row r="52" spans="1:30" ht="15">
      <c r="A52" s="899"/>
      <c r="B52" s="1102"/>
      <c r="C52" s="1103">
        <v>100</v>
      </c>
      <c r="D52" s="1103"/>
      <c r="E52" s="1103"/>
      <c r="F52" s="1103"/>
      <c r="G52" s="1103"/>
      <c r="H52" s="1103"/>
      <c r="I52" s="1103"/>
      <c r="J52" s="1103"/>
      <c r="K52" s="1103"/>
      <c r="L52" s="1103"/>
      <c r="M52" s="1144"/>
      <c r="N52" s="1145"/>
      <c r="O52" s="1145"/>
      <c r="P52" s="1138"/>
      <c r="Q52" s="1079"/>
      <c r="R52" s="971"/>
      <c r="S52" s="971"/>
      <c r="T52" s="971"/>
      <c r="U52" s="971"/>
      <c r="V52" s="971"/>
      <c r="W52" s="971"/>
      <c r="X52" s="971"/>
      <c r="Y52" s="971"/>
      <c r="Z52" s="971"/>
      <c r="AA52" s="971"/>
      <c r="AB52" s="971"/>
      <c r="AC52" s="971"/>
      <c r="AD52" s="971"/>
    </row>
    <row r="53" spans="1:30" ht="27">
      <c r="A53" s="899"/>
      <c r="B53" s="1104" t="s">
        <v>964</v>
      </c>
      <c r="C53" s="1105" t="s">
        <v>1579</v>
      </c>
      <c r="D53" s="1105" t="s">
        <v>1580</v>
      </c>
      <c r="E53" s="1105" t="s">
        <v>1581</v>
      </c>
      <c r="F53" s="1105" t="s">
        <v>1582</v>
      </c>
      <c r="G53" s="1105" t="s">
        <v>1583</v>
      </c>
      <c r="H53" s="1105" t="s">
        <v>1584</v>
      </c>
      <c r="I53" s="1105" t="s">
        <v>1585</v>
      </c>
      <c r="J53" s="1105"/>
      <c r="K53" s="1146"/>
      <c r="L53" s="1147"/>
      <c r="M53" s="1148"/>
      <c r="N53" s="1143"/>
      <c r="O53" s="1143"/>
      <c r="P53" s="1138"/>
      <c r="Q53" s="1079"/>
      <c r="R53" s="971"/>
      <c r="S53" s="971"/>
      <c r="T53" s="971"/>
      <c r="U53" s="971"/>
      <c r="V53" s="971"/>
      <c r="W53" s="971"/>
      <c r="X53" s="971"/>
      <c r="Y53" s="971"/>
      <c r="Z53" s="971"/>
      <c r="AA53" s="971"/>
      <c r="AB53" s="971"/>
      <c r="AC53" s="971"/>
      <c r="AD53" s="971"/>
    </row>
    <row r="54" spans="1:30" ht="15">
      <c r="A54" s="899"/>
      <c r="B54" s="1106"/>
      <c r="C54" s="1107" t="s">
        <v>1022</v>
      </c>
      <c r="D54" s="1107" t="s">
        <v>1022</v>
      </c>
      <c r="E54" s="1107">
        <v>100</v>
      </c>
      <c r="F54" s="1107">
        <f>E54-$K10</f>
        <v>100</v>
      </c>
      <c r="G54" s="1107">
        <f>F54-$K10</f>
        <v>100</v>
      </c>
      <c r="H54" s="1107">
        <f>G54-$K10</f>
        <v>100</v>
      </c>
      <c r="I54" s="1107">
        <f>H54-$K10</f>
        <v>100</v>
      </c>
      <c r="J54" s="1107"/>
      <c r="K54" s="1107"/>
      <c r="L54" s="1107"/>
      <c r="M54" s="1149"/>
      <c r="N54" s="1145"/>
      <c r="O54" s="1145"/>
      <c r="P54" s="1138"/>
      <c r="Q54" s="1079"/>
      <c r="R54" s="971"/>
      <c r="S54" s="971"/>
      <c r="T54" s="971"/>
      <c r="U54" s="971"/>
      <c r="V54" s="971"/>
      <c r="W54" s="971"/>
      <c r="X54" s="971"/>
      <c r="Y54" s="971"/>
      <c r="Z54" s="971"/>
      <c r="AA54" s="971"/>
      <c r="AB54" s="971"/>
      <c r="AC54" s="971"/>
      <c r="AD54" s="971"/>
    </row>
    <row r="55" spans="1:30" ht="15">
      <c r="A55" s="899"/>
      <c r="B55" s="1039">
        <f>B11</f>
        <v>111</v>
      </c>
      <c r="C55" s="905"/>
      <c r="D55" s="905"/>
      <c r="E55" s="905"/>
      <c r="F55" s="905"/>
      <c r="G55" s="905"/>
      <c r="H55" s="905"/>
      <c r="I55" s="905"/>
      <c r="J55" s="905"/>
      <c r="K55" s="1150"/>
      <c r="L55" s="1151"/>
      <c r="M55" s="1152"/>
      <c r="N55" s="1143"/>
      <c r="O55" s="1143"/>
      <c r="P55" s="1138"/>
      <c r="Q55" s="1079"/>
      <c r="R55" s="971"/>
      <c r="S55" s="971"/>
      <c r="T55" s="971"/>
      <c r="U55" s="971"/>
      <c r="V55" s="971"/>
      <c r="W55" s="971"/>
      <c r="X55" s="971"/>
      <c r="Y55" s="971"/>
      <c r="Z55" s="971"/>
      <c r="AA55" s="971"/>
      <c r="AB55" s="971"/>
      <c r="AC55" s="971"/>
      <c r="AD55" s="971"/>
    </row>
    <row r="56" spans="1:30" ht="15">
      <c r="A56" s="899"/>
      <c r="B56" s="1102"/>
      <c r="C56" s="1114"/>
      <c r="D56" s="1103"/>
      <c r="E56" s="1103"/>
      <c r="F56" s="1103"/>
      <c r="G56" s="1103"/>
      <c r="H56" s="1103"/>
      <c r="I56" s="1103"/>
      <c r="J56" s="1103"/>
      <c r="K56" s="1103"/>
      <c r="L56" s="1103"/>
      <c r="M56" s="1144"/>
      <c r="N56" s="1145"/>
      <c r="O56" s="1145"/>
      <c r="P56" s="1138"/>
      <c r="Q56" s="1079"/>
      <c r="R56" s="971"/>
      <c r="S56" s="971"/>
      <c r="T56" s="971"/>
      <c r="U56" s="971"/>
      <c r="V56" s="971"/>
      <c r="W56" s="971"/>
      <c r="X56" s="971"/>
      <c r="Y56" s="971"/>
      <c r="Z56" s="971"/>
      <c r="AA56" s="971"/>
      <c r="AB56" s="971"/>
      <c r="AC56" s="971"/>
      <c r="AD56" s="971"/>
    </row>
    <row r="57" spans="1:30" s="857" customFormat="1" ht="15">
      <c r="A57" s="1111"/>
      <c r="B57" s="1104">
        <f>B12</f>
        <v>111</v>
      </c>
      <c r="C57" s="905"/>
      <c r="D57" s="905"/>
      <c r="E57" s="905"/>
      <c r="F57" s="905"/>
      <c r="G57" s="1112"/>
      <c r="H57" s="1113"/>
      <c r="I57" s="1113"/>
      <c r="J57" s="1113"/>
      <c r="K57" s="1113"/>
      <c r="L57" s="1153"/>
      <c r="M57" s="1154"/>
      <c r="N57" s="1155"/>
      <c r="O57" s="1155"/>
      <c r="P57" s="1155"/>
      <c r="Q57" s="1183"/>
      <c r="R57" s="1045"/>
      <c r="S57" s="1045"/>
      <c r="T57" s="1045"/>
      <c r="U57" s="1045"/>
      <c r="V57" s="1045"/>
      <c r="W57" s="1045"/>
      <c r="X57" s="1045"/>
      <c r="Y57" s="1045"/>
      <c r="Z57" s="1045"/>
      <c r="AA57" s="1045"/>
      <c r="AB57" s="1045"/>
      <c r="AC57" s="1045"/>
      <c r="AD57" s="1045"/>
    </row>
    <row r="58" spans="1:30" s="857" customFormat="1" ht="15">
      <c r="A58" s="1111"/>
      <c r="B58" s="1106"/>
      <c r="C58" s="1114"/>
      <c r="D58" s="1103"/>
      <c r="E58" s="1103"/>
      <c r="F58" s="1103"/>
      <c r="G58" s="1103"/>
      <c r="H58" s="1103"/>
      <c r="I58" s="1103"/>
      <c r="J58" s="1103"/>
      <c r="K58" s="1103"/>
      <c r="L58" s="1103"/>
      <c r="M58" s="1144"/>
      <c r="N58" s="1145"/>
      <c r="O58" s="1145"/>
      <c r="P58" s="1155"/>
      <c r="Q58" s="1183"/>
      <c r="R58" s="1045"/>
      <c r="S58" s="1045"/>
      <c r="T58" s="1045"/>
      <c r="U58" s="1045"/>
      <c r="V58" s="1045"/>
      <c r="W58" s="1045"/>
      <c r="X58" s="1045"/>
      <c r="Y58" s="1045"/>
      <c r="Z58" s="1045"/>
      <c r="AA58" s="1045"/>
      <c r="AB58" s="1045"/>
      <c r="AC58" s="1045"/>
      <c r="AD58" s="1045"/>
    </row>
    <row r="59" spans="1:30" s="857" customFormat="1" ht="15">
      <c r="A59" s="1111"/>
      <c r="B59" s="1104">
        <f>B13</f>
        <v>111</v>
      </c>
      <c r="C59" s="905"/>
      <c r="D59" s="905"/>
      <c r="E59" s="905"/>
      <c r="F59" s="905"/>
      <c r="G59" s="1112"/>
      <c r="H59" s="1113"/>
      <c r="I59" s="1113"/>
      <c r="J59" s="1113"/>
      <c r="K59" s="1113"/>
      <c r="L59" s="1153"/>
      <c r="M59" s="1154"/>
      <c r="N59" s="1155"/>
      <c r="O59" s="1155"/>
      <c r="P59" s="1045"/>
      <c r="Q59" s="1184"/>
      <c r="R59" s="1045"/>
      <c r="S59" s="1045"/>
      <c r="T59" s="1045"/>
      <c r="U59" s="1045"/>
      <c r="V59" s="1045"/>
      <c r="W59" s="1045"/>
      <c r="X59" s="1045"/>
      <c r="Y59" s="1045"/>
      <c r="Z59" s="1045"/>
      <c r="AA59" s="1045"/>
      <c r="AB59" s="1045"/>
      <c r="AC59" s="1045"/>
      <c r="AD59" s="1045"/>
    </row>
    <row r="60" spans="1:30" s="857" customFormat="1" ht="15">
      <c r="A60" s="1111"/>
      <c r="B60" s="1106"/>
      <c r="C60" s="1114"/>
      <c r="D60" s="1114"/>
      <c r="E60" s="1114"/>
      <c r="F60" s="1114"/>
      <c r="G60" s="1114"/>
      <c r="H60" s="1115"/>
      <c r="I60" s="1115"/>
      <c r="J60" s="1115"/>
      <c r="K60" s="1115"/>
      <c r="L60" s="1115"/>
      <c r="M60" s="1156"/>
      <c r="N60" s="1155"/>
      <c r="O60" s="1155"/>
      <c r="P60" s="1155"/>
      <c r="Q60" s="1183"/>
      <c r="R60" s="1045"/>
      <c r="S60" s="1045"/>
      <c r="T60" s="1045"/>
      <c r="U60" s="1045"/>
      <c r="V60" s="1045"/>
      <c r="W60" s="1045"/>
      <c r="X60" s="1045"/>
      <c r="Y60" s="1045"/>
      <c r="Z60" s="1045"/>
      <c r="AA60" s="1045"/>
      <c r="AB60" s="1045"/>
      <c r="AC60" s="1045"/>
      <c r="AD60" s="1045"/>
    </row>
    <row r="61" spans="1:30">
      <c r="A61" s="912" t="s">
        <v>967</v>
      </c>
      <c r="B61" s="1101" t="s">
        <v>973</v>
      </c>
      <c r="C61" s="1121" t="s">
        <v>1028</v>
      </c>
      <c r="D61" s="1121" t="s">
        <v>1029</v>
      </c>
      <c r="E61" s="1121" t="s">
        <v>1030</v>
      </c>
      <c r="F61" s="1121" t="s">
        <v>1031</v>
      </c>
      <c r="G61" s="1121" t="s">
        <v>1032</v>
      </c>
      <c r="H61" s="637"/>
      <c r="I61" s="637"/>
      <c r="J61" s="637"/>
      <c r="K61" s="1161"/>
      <c r="L61" s="1162"/>
      <c r="M61" s="1163"/>
      <c r="N61" s="1143"/>
      <c r="O61" s="1143"/>
      <c r="P61" s="1164"/>
      <c r="Q61" s="1079"/>
      <c r="R61" s="971"/>
      <c r="S61" s="971"/>
      <c r="T61" s="971"/>
      <c r="U61" s="971"/>
      <c r="V61" s="971"/>
      <c r="W61" s="971"/>
      <c r="X61" s="971"/>
      <c r="Y61" s="971"/>
      <c r="Z61" s="971"/>
      <c r="AA61" s="971"/>
      <c r="AB61" s="971"/>
      <c r="AC61" s="971"/>
      <c r="AD61" s="971"/>
    </row>
    <row r="62" spans="1:30" ht="15">
      <c r="A62" s="899"/>
      <c r="B62" s="1106"/>
      <c r="C62" s="1107">
        <v>100</v>
      </c>
      <c r="D62" s="1107">
        <f>C62-$K14</f>
        <v>100</v>
      </c>
      <c r="E62" s="1107">
        <f>D62-$K14</f>
        <v>100</v>
      </c>
      <c r="F62" s="1107">
        <f>E62-$K14</f>
        <v>100</v>
      </c>
      <c r="G62" s="1107">
        <f>F62-$K14</f>
        <v>100</v>
      </c>
      <c r="H62" s="1107"/>
      <c r="I62" s="1107"/>
      <c r="J62" s="1107"/>
      <c r="K62" s="1107"/>
      <c r="L62" s="1107"/>
      <c r="M62" s="1149"/>
      <c r="N62" s="1145"/>
      <c r="O62" s="1145"/>
      <c r="P62" s="1138"/>
      <c r="Q62" s="1079"/>
      <c r="R62" s="971"/>
      <c r="S62" s="971"/>
      <c r="T62" s="971"/>
      <c r="U62" s="971"/>
      <c r="V62" s="971"/>
      <c r="W62" s="971"/>
      <c r="X62" s="971"/>
      <c r="Y62" s="971"/>
      <c r="Z62" s="971"/>
      <c r="AA62" s="971"/>
      <c r="AB62" s="971"/>
      <c r="AC62" s="971"/>
      <c r="AD62" s="971"/>
    </row>
    <row r="63" spans="1:30" ht="27">
      <c r="A63" s="899"/>
      <c r="B63" s="1104" t="s">
        <v>1975</v>
      </c>
      <c r="C63" s="1122" t="s">
        <v>1028</v>
      </c>
      <c r="D63" s="1122" t="s">
        <v>1029</v>
      </c>
      <c r="E63" s="1122" t="s">
        <v>1030</v>
      </c>
      <c r="F63" s="1122" t="s">
        <v>1031</v>
      </c>
      <c r="G63" s="1122" t="s">
        <v>1032</v>
      </c>
      <c r="H63" s="1105"/>
      <c r="I63" s="1105"/>
      <c r="J63" s="1105"/>
      <c r="K63" s="1146"/>
      <c r="L63" s="1147"/>
      <c r="M63" s="1148"/>
      <c r="N63" s="1143"/>
      <c r="O63" s="1143"/>
      <c r="P63" s="1138"/>
      <c r="Q63" s="1079"/>
      <c r="R63" s="971"/>
      <c r="S63" s="971"/>
      <c r="T63" s="971"/>
      <c r="U63" s="971"/>
      <c r="V63" s="971"/>
      <c r="W63" s="971"/>
      <c r="X63" s="971"/>
      <c r="Y63" s="971"/>
      <c r="Z63" s="971"/>
      <c r="AA63" s="971"/>
      <c r="AB63" s="971"/>
      <c r="AC63" s="971"/>
      <c r="AD63" s="971"/>
    </row>
    <row r="64" spans="1:30" ht="15">
      <c r="A64" s="899"/>
      <c r="B64" s="1106"/>
      <c r="C64" s="1107">
        <v>100</v>
      </c>
      <c r="D64" s="1107">
        <f>C64-$K16</f>
        <v>100</v>
      </c>
      <c r="E64" s="1107">
        <f>D64-$K16</f>
        <v>100</v>
      </c>
      <c r="F64" s="1107">
        <f>E64-$K16</f>
        <v>100</v>
      </c>
      <c r="G64" s="1107">
        <f>F64-$K16</f>
        <v>100</v>
      </c>
      <c r="H64" s="1107"/>
      <c r="I64" s="1107"/>
      <c r="J64" s="1107"/>
      <c r="K64" s="1107"/>
      <c r="L64" s="1107"/>
      <c r="M64" s="1149"/>
      <c r="N64" s="1145"/>
      <c r="O64" s="1145"/>
      <c r="P64" s="1138"/>
      <c r="Q64" s="1079"/>
      <c r="R64" s="971"/>
      <c r="S64" s="971"/>
      <c r="T64" s="971"/>
      <c r="U64" s="971"/>
      <c r="V64" s="971"/>
      <c r="W64" s="971"/>
      <c r="X64" s="971"/>
      <c r="Y64" s="971"/>
      <c r="Z64" s="971"/>
      <c r="AA64" s="971"/>
      <c r="AB64" s="971"/>
      <c r="AC64" s="971"/>
      <c r="AD64" s="971"/>
    </row>
    <row r="65" spans="1:30" ht="15">
      <c r="A65" s="899"/>
      <c r="B65" s="1108" t="s">
        <v>977</v>
      </c>
      <c r="C65" s="1039" t="s">
        <v>1033</v>
      </c>
      <c r="D65" s="1039" t="s">
        <v>1034</v>
      </c>
      <c r="E65" s="1039" t="s">
        <v>1035</v>
      </c>
      <c r="F65" s="1039" t="s">
        <v>1036</v>
      </c>
      <c r="G65" s="1039" t="s">
        <v>1037</v>
      </c>
      <c r="H65" s="1105"/>
      <c r="I65" s="1105"/>
      <c r="J65" s="1105"/>
      <c r="K65" s="1105"/>
      <c r="L65" s="1105"/>
      <c r="M65" s="1248"/>
      <c r="N65" s="1145"/>
      <c r="O65" s="1145"/>
      <c r="P65" s="1138"/>
      <c r="Q65" s="1079"/>
      <c r="R65" s="971"/>
      <c r="S65" s="971"/>
      <c r="T65" s="971"/>
      <c r="U65" s="971"/>
      <c r="V65" s="971"/>
      <c r="W65" s="971"/>
      <c r="X65" s="971"/>
      <c r="Y65" s="971"/>
      <c r="Z65" s="971"/>
      <c r="AA65" s="971"/>
      <c r="AB65" s="971"/>
      <c r="AC65" s="971"/>
      <c r="AD65" s="971"/>
    </row>
    <row r="66" spans="1:30" ht="15">
      <c r="A66" s="899"/>
      <c r="B66" s="1108"/>
      <c r="C66" s="1107">
        <v>100</v>
      </c>
      <c r="D66" s="1107">
        <f>C66-$K18</f>
        <v>100</v>
      </c>
      <c r="E66" s="1107">
        <f>D66-$K18</f>
        <v>100</v>
      </c>
      <c r="F66" s="1107">
        <f>E66-$K18</f>
        <v>100</v>
      </c>
      <c r="G66" s="1107">
        <f>F66-$K18</f>
        <v>100</v>
      </c>
      <c r="H66" s="1039"/>
      <c r="I66" s="1039"/>
      <c r="J66" s="1039"/>
      <c r="K66" s="1039"/>
      <c r="L66" s="1039"/>
      <c r="M66" s="921"/>
      <c r="N66" s="1145"/>
      <c r="O66" s="1145"/>
      <c r="P66" s="1138"/>
      <c r="Q66" s="1079"/>
      <c r="R66" s="971"/>
      <c r="S66" s="971"/>
      <c r="T66" s="971"/>
      <c r="U66" s="971"/>
      <c r="V66" s="971"/>
      <c r="W66" s="971"/>
      <c r="X66" s="971"/>
      <c r="Y66" s="971"/>
      <c r="Z66" s="971"/>
      <c r="AA66" s="971"/>
      <c r="AB66" s="971"/>
      <c r="AC66" s="971"/>
      <c r="AD66" s="971"/>
    </row>
    <row r="67" spans="1:30" ht="15">
      <c r="A67" s="899"/>
      <c r="B67" s="1104" t="s">
        <v>1557</v>
      </c>
      <c r="C67" s="1122" t="s">
        <v>1028</v>
      </c>
      <c r="D67" s="1122" t="s">
        <v>1029</v>
      </c>
      <c r="E67" s="1122" t="s">
        <v>1030</v>
      </c>
      <c r="F67" s="1122" t="s">
        <v>1031</v>
      </c>
      <c r="G67" s="1122" t="s">
        <v>1032</v>
      </c>
      <c r="H67" s="1105"/>
      <c r="I67" s="1105"/>
      <c r="J67" s="1105"/>
      <c r="K67" s="1146"/>
      <c r="L67" s="1147"/>
      <c r="M67" s="1148"/>
      <c r="N67" s="1143"/>
      <c r="O67" s="1143"/>
      <c r="P67" s="1138"/>
      <c r="Q67" s="1079"/>
      <c r="R67" s="971"/>
      <c r="S67" s="971"/>
      <c r="T67" s="971"/>
      <c r="U67" s="971"/>
      <c r="V67" s="971"/>
      <c r="W67" s="971"/>
      <c r="X67" s="971"/>
      <c r="Y67" s="971"/>
      <c r="Z67" s="971"/>
      <c r="AA67" s="971"/>
      <c r="AB67" s="971"/>
      <c r="AC67" s="971"/>
      <c r="AD67" s="971"/>
    </row>
    <row r="68" spans="1:30" ht="15">
      <c r="A68" s="899"/>
      <c r="B68" s="1106"/>
      <c r="C68" s="1107">
        <v>100</v>
      </c>
      <c r="D68" s="1107">
        <f>C68-$K20</f>
        <v>100</v>
      </c>
      <c r="E68" s="1107">
        <f>D68-$K20</f>
        <v>100</v>
      </c>
      <c r="F68" s="1107">
        <f>E68-$K20</f>
        <v>100</v>
      </c>
      <c r="G68" s="1107">
        <f>F68-$K20</f>
        <v>100</v>
      </c>
      <c r="H68" s="1107"/>
      <c r="I68" s="1107"/>
      <c r="J68" s="1107"/>
      <c r="K68" s="1107"/>
      <c r="L68" s="1107"/>
      <c r="M68" s="1149"/>
      <c r="N68" s="1145"/>
      <c r="O68" s="1145"/>
      <c r="P68" s="1138"/>
      <c r="Q68" s="1079"/>
      <c r="R68" s="971"/>
      <c r="S68" s="971"/>
      <c r="T68" s="971"/>
      <c r="U68" s="971"/>
      <c r="V68" s="971"/>
      <c r="W68" s="971"/>
      <c r="X68" s="971"/>
      <c r="Y68" s="971"/>
      <c r="Z68" s="971"/>
      <c r="AA68" s="971"/>
      <c r="AB68" s="971"/>
      <c r="AC68" s="971"/>
      <c r="AD68" s="971"/>
    </row>
    <row r="69" spans="1:30" ht="15">
      <c r="A69" s="899"/>
      <c r="B69" s="1104" t="s">
        <v>1939</v>
      </c>
      <c r="C69" s="1112"/>
      <c r="D69" s="1112"/>
      <c r="E69" s="1112"/>
      <c r="F69" s="1112"/>
      <c r="G69" s="1112"/>
      <c r="H69" s="1126"/>
      <c r="I69" s="1126"/>
      <c r="J69" s="1126"/>
      <c r="K69" s="1171"/>
      <c r="L69" s="1172"/>
      <c r="M69" s="1173"/>
      <c r="N69" s="1143"/>
      <c r="O69" s="1143"/>
      <c r="P69" s="1138"/>
      <c r="Q69" s="1079"/>
      <c r="R69" s="971"/>
      <c r="S69" s="971"/>
      <c r="T69" s="971"/>
      <c r="U69" s="971"/>
      <c r="V69" s="971"/>
      <c r="W69" s="971"/>
      <c r="X69" s="971"/>
      <c r="Y69" s="971"/>
      <c r="Z69" s="971"/>
      <c r="AA69" s="971"/>
      <c r="AB69" s="971"/>
      <c r="AC69" s="971"/>
      <c r="AD69" s="971"/>
    </row>
    <row r="70" spans="1:30" ht="15">
      <c r="A70" s="899"/>
      <c r="B70" s="1106"/>
      <c r="C70" s="1107">
        <v>100</v>
      </c>
      <c r="D70" s="1107">
        <f>C70-$K22</f>
        <v>100</v>
      </c>
      <c r="E70" s="1107"/>
      <c r="F70" s="1107"/>
      <c r="G70" s="1107"/>
      <c r="H70" s="1107"/>
      <c r="I70" s="1107"/>
      <c r="J70" s="1107"/>
      <c r="K70" s="1107"/>
      <c r="L70" s="1107"/>
      <c r="M70" s="1149"/>
      <c r="N70" s="1145"/>
      <c r="O70" s="1145"/>
      <c r="P70" s="1138"/>
      <c r="Q70" s="1079"/>
      <c r="R70" s="971"/>
      <c r="S70" s="971"/>
      <c r="T70" s="971"/>
      <c r="U70" s="971"/>
      <c r="V70" s="971"/>
      <c r="W70" s="971"/>
      <c r="X70" s="971"/>
      <c r="Y70" s="971"/>
      <c r="Z70" s="971"/>
      <c r="AA70" s="971"/>
      <c r="AB70" s="971"/>
      <c r="AC70" s="971"/>
      <c r="AD70" s="971"/>
    </row>
    <row r="71" spans="1:30" s="855" customFormat="1" ht="15">
      <c r="A71" s="902"/>
      <c r="B71" s="1104">
        <f>B23</f>
        <v>111</v>
      </c>
      <c r="C71" s="905"/>
      <c r="D71" s="905"/>
      <c r="E71" s="905"/>
      <c r="F71" s="905"/>
      <c r="G71" s="1112"/>
      <c r="H71" s="1112"/>
      <c r="I71" s="1112"/>
      <c r="J71" s="1112"/>
      <c r="K71" s="1112"/>
      <c r="L71" s="1249"/>
      <c r="M71" s="1250"/>
      <c r="N71" s="1138"/>
      <c r="O71" s="1138"/>
      <c r="P71" s="1138"/>
      <c r="Q71" s="1079"/>
      <c r="R71" s="1027"/>
      <c r="S71" s="1027"/>
      <c r="T71" s="1027"/>
      <c r="U71" s="1027"/>
      <c r="V71" s="1027"/>
      <c r="W71" s="1027"/>
      <c r="X71" s="1027"/>
      <c r="Y71" s="1027"/>
      <c r="Z71" s="1027"/>
      <c r="AA71" s="1027"/>
      <c r="AB71" s="1027"/>
      <c r="AC71" s="1027"/>
      <c r="AD71" s="1027"/>
    </row>
    <row r="72" spans="1:30" s="855" customFormat="1" ht="15">
      <c r="A72" s="902"/>
      <c r="B72" s="1106"/>
      <c r="C72" s="1114"/>
      <c r="D72" s="1103"/>
      <c r="E72" s="1103"/>
      <c r="F72" s="1103"/>
      <c r="G72" s="1103"/>
      <c r="H72" s="1103"/>
      <c r="I72" s="1103"/>
      <c r="J72" s="1103"/>
      <c r="K72" s="1103"/>
      <c r="L72" s="1103"/>
      <c r="M72" s="1144"/>
      <c r="N72" s="1145"/>
      <c r="O72" s="1145"/>
      <c r="P72" s="1138"/>
      <c r="Q72" s="1079"/>
      <c r="R72" s="1027"/>
      <c r="S72" s="1027"/>
      <c r="T72" s="1027"/>
      <c r="U72" s="1027"/>
      <c r="V72" s="1027"/>
      <c r="W72" s="1027"/>
      <c r="X72" s="1027"/>
      <c r="Y72" s="1027"/>
      <c r="Z72" s="1027"/>
      <c r="AA72" s="1027"/>
      <c r="AB72" s="1027"/>
      <c r="AC72" s="1027"/>
      <c r="AD72" s="1027"/>
    </row>
    <row r="73" spans="1:30" s="855" customFormat="1" ht="15">
      <c r="A73" s="902"/>
      <c r="B73" s="1104">
        <f>B24</f>
        <v>111</v>
      </c>
      <c r="C73" s="905"/>
      <c r="D73" s="905"/>
      <c r="E73" s="905"/>
      <c r="F73" s="905"/>
      <c r="G73" s="1112"/>
      <c r="H73" s="1112"/>
      <c r="I73" s="1112"/>
      <c r="J73" s="1112"/>
      <c r="K73" s="1112"/>
      <c r="L73" s="1112"/>
      <c r="M73" s="1250"/>
      <c r="N73" s="1138"/>
      <c r="O73" s="1138"/>
      <c r="P73" s="1138"/>
      <c r="Q73" s="1079"/>
      <c r="R73" s="1027"/>
      <c r="S73" s="1027"/>
      <c r="T73" s="1027"/>
      <c r="U73" s="1027"/>
      <c r="V73" s="1027"/>
      <c r="W73" s="1027"/>
      <c r="X73" s="1027"/>
      <c r="Y73" s="1027"/>
      <c r="Z73" s="1027"/>
      <c r="AA73" s="1027"/>
      <c r="AB73" s="1027"/>
      <c r="AC73" s="1027"/>
      <c r="AD73" s="1027"/>
    </row>
    <row r="74" spans="1:30" s="855" customFormat="1" ht="15">
      <c r="A74" s="902"/>
      <c r="B74" s="1106"/>
      <c r="C74" s="1114"/>
      <c r="D74" s="1103"/>
      <c r="E74" s="1103"/>
      <c r="F74" s="1103"/>
      <c r="G74" s="1103"/>
      <c r="H74" s="1103"/>
      <c r="I74" s="1103"/>
      <c r="J74" s="1103"/>
      <c r="K74" s="1103"/>
      <c r="L74" s="1103"/>
      <c r="M74" s="1144"/>
      <c r="N74" s="1145"/>
      <c r="O74" s="1145"/>
      <c r="P74" s="1138"/>
      <c r="Q74" s="1079"/>
      <c r="R74" s="1027"/>
      <c r="S74" s="1027"/>
      <c r="T74" s="1027"/>
      <c r="U74" s="1027"/>
      <c r="V74" s="1027"/>
      <c r="W74" s="1027"/>
      <c r="X74" s="1027"/>
      <c r="Y74" s="1027"/>
      <c r="Z74" s="1027"/>
      <c r="AA74" s="1027"/>
      <c r="AB74" s="1027"/>
      <c r="AC74" s="1027"/>
      <c r="AD74" s="1027"/>
    </row>
    <row r="75" spans="1:30" s="857" customFormat="1" ht="15">
      <c r="A75" s="1111"/>
      <c r="B75" s="1104">
        <f>B25</f>
        <v>111</v>
      </c>
      <c r="C75" s="905"/>
      <c r="D75" s="905"/>
      <c r="E75" s="905"/>
      <c r="F75" s="905"/>
      <c r="G75" s="1112"/>
      <c r="H75" s="1113"/>
      <c r="I75" s="1113"/>
      <c r="J75" s="1113"/>
      <c r="K75" s="1113"/>
      <c r="L75" s="1153"/>
      <c r="M75" s="1154"/>
      <c r="N75" s="1155"/>
      <c r="O75" s="1155"/>
      <c r="P75" s="1155"/>
      <c r="Q75" s="1183"/>
      <c r="R75" s="1045"/>
      <c r="S75" s="1045"/>
      <c r="T75" s="1045"/>
      <c r="U75" s="1045"/>
      <c r="V75" s="1045"/>
      <c r="W75" s="1045"/>
      <c r="X75" s="1045"/>
      <c r="Y75" s="1045"/>
      <c r="Z75" s="1045"/>
      <c r="AA75" s="1045"/>
      <c r="AB75" s="1045"/>
      <c r="AC75" s="1045"/>
      <c r="AD75" s="1045"/>
    </row>
    <row r="76" spans="1:30" s="857" customFormat="1" ht="15">
      <c r="A76" s="1111"/>
      <c r="B76" s="1106"/>
      <c r="C76" s="1114"/>
      <c r="D76" s="1114"/>
      <c r="E76" s="1114"/>
      <c r="F76" s="1114"/>
      <c r="G76" s="1103"/>
      <c r="H76" s="1103"/>
      <c r="I76" s="1103"/>
      <c r="J76" s="1103"/>
      <c r="K76" s="1103"/>
      <c r="L76" s="1103"/>
      <c r="M76" s="1144"/>
      <c r="N76" s="1155"/>
      <c r="O76" s="1155"/>
      <c r="P76" s="1155"/>
      <c r="Q76" s="1183"/>
      <c r="R76" s="1045"/>
      <c r="S76" s="1045"/>
      <c r="T76" s="1045"/>
      <c r="U76" s="1045"/>
      <c r="V76" s="1045"/>
      <c r="W76" s="1045"/>
      <c r="X76" s="1045"/>
      <c r="Y76" s="1045"/>
      <c r="Z76" s="1045"/>
      <c r="AA76" s="1045"/>
      <c r="AB76" s="1045"/>
      <c r="AC76" s="1045"/>
      <c r="AD76" s="1045"/>
    </row>
    <row r="77" spans="1:30">
      <c r="A77" s="912" t="s">
        <v>983</v>
      </c>
      <c r="B77" s="1101" t="s">
        <v>1567</v>
      </c>
      <c r="C77" s="1112"/>
      <c r="D77" s="1112"/>
      <c r="E77" s="1047"/>
      <c r="F77" s="1047"/>
      <c r="G77" s="1047"/>
      <c r="H77" s="1047"/>
      <c r="I77" s="1047"/>
      <c r="J77" s="1047"/>
      <c r="K77" s="1140"/>
      <c r="L77" s="1141"/>
      <c r="M77" s="1142"/>
      <c r="N77" s="1143"/>
      <c r="O77" s="1143"/>
      <c r="P77" s="1138"/>
      <c r="Q77" s="1079"/>
      <c r="R77" s="971"/>
      <c r="S77" s="971"/>
      <c r="T77" s="971"/>
      <c r="U77" s="971"/>
      <c r="V77" s="971"/>
      <c r="W77" s="971"/>
      <c r="X77" s="971"/>
      <c r="Y77" s="971"/>
      <c r="Z77" s="971"/>
      <c r="AA77" s="971"/>
      <c r="AB77" s="971"/>
      <c r="AC77" s="971"/>
      <c r="AD77" s="971"/>
    </row>
    <row r="78" spans="1:30" ht="15">
      <c r="A78" s="899"/>
      <c r="B78" s="1106"/>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49">
        <f t="shared" si="17"/>
        <v>100</v>
      </c>
      <c r="N78" s="1145"/>
      <c r="O78" s="1145"/>
      <c r="P78" s="1138"/>
      <c r="Q78" s="1079"/>
      <c r="R78" s="971"/>
      <c r="S78" s="971"/>
      <c r="T78" s="971"/>
      <c r="U78" s="971"/>
      <c r="V78" s="971"/>
      <c r="W78" s="971"/>
      <c r="X78" s="971"/>
      <c r="Y78" s="971"/>
      <c r="Z78" s="971"/>
      <c r="AA78" s="971"/>
      <c r="AB78" s="971"/>
      <c r="AC78" s="971"/>
      <c r="AD78" s="971"/>
    </row>
    <row r="79" spans="1:30" ht="15">
      <c r="A79" s="899"/>
      <c r="B79" s="1104" t="s">
        <v>1961</v>
      </c>
      <c r="C79" s="1122" t="str">
        <f>C80&amp;"(含)"&amp;"-"&amp;D80</f>
        <v>0.5(含)-0.6</v>
      </c>
      <c r="D79" s="1122" t="str">
        <f>D80&amp;"(含)"&amp;"-"&amp;E80</f>
        <v>0.6(含)-0.7</v>
      </c>
      <c r="E79" s="1122" t="str">
        <f>E80&amp;"(含)"&amp;"-"&amp;F80</f>
        <v>0.7(含)-0.8</v>
      </c>
      <c r="F79" s="1122" t="str">
        <f>F80&amp;"(含)"&amp;"-"&amp;G80</f>
        <v>0.8(含)-0.9</v>
      </c>
      <c r="G79" s="1122" t="str">
        <f>G80&amp;"(含)"&amp;"-"&amp;ROUND(H80,0)&amp;"(含)"</f>
        <v>0.9(含)-1(含)</v>
      </c>
      <c r="H79" s="1122"/>
      <c r="I79" s="1105"/>
      <c r="J79" s="1105"/>
      <c r="K79" s="1146"/>
      <c r="L79" s="1147"/>
      <c r="M79" s="1148"/>
      <c r="N79" s="1138"/>
      <c r="O79" s="1138"/>
      <c r="P79" s="1138"/>
      <c r="Q79" s="1079"/>
      <c r="R79" s="971"/>
      <c r="S79" s="971"/>
      <c r="T79" s="971"/>
      <c r="U79" s="971"/>
      <c r="V79" s="971"/>
      <c r="W79" s="971"/>
      <c r="X79" s="971"/>
      <c r="Y79" s="971"/>
      <c r="Z79" s="971"/>
      <c r="AA79" s="971"/>
      <c r="AB79" s="971"/>
      <c r="AC79" s="971"/>
      <c r="AD79" s="971"/>
    </row>
    <row r="80" spans="1:30" ht="15">
      <c r="A80" s="899"/>
      <c r="B80" s="1108"/>
      <c r="C80" s="795">
        <v>0.5</v>
      </c>
      <c r="D80" s="795">
        <v>0.6</v>
      </c>
      <c r="E80" s="795">
        <v>0.7</v>
      </c>
      <c r="F80" s="795">
        <v>0.8</v>
      </c>
      <c r="G80" s="795">
        <v>0.9</v>
      </c>
      <c r="H80" s="795">
        <v>1.0001</v>
      </c>
      <c r="I80" s="1039"/>
      <c r="J80" s="1039"/>
      <c r="K80" s="1251"/>
      <c r="L80" s="1252"/>
      <c r="M80" s="1253"/>
      <c r="N80" s="1138"/>
      <c r="O80" s="1138"/>
      <c r="P80" s="1138"/>
      <c r="Q80" s="1079"/>
      <c r="R80" s="971"/>
      <c r="S80" s="971"/>
      <c r="T80" s="971"/>
      <c r="U80" s="971"/>
      <c r="V80" s="971"/>
      <c r="W80" s="971"/>
      <c r="X80" s="971"/>
      <c r="Y80" s="971"/>
      <c r="Z80" s="971"/>
      <c r="AA80" s="971"/>
      <c r="AB80" s="971"/>
      <c r="AC80" s="971"/>
      <c r="AD80" s="971"/>
    </row>
    <row r="81" spans="1:30" s="857" customFormat="1" ht="15">
      <c r="A81" s="1111"/>
      <c r="B81" s="1106"/>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145"/>
      <c r="O81" s="1145"/>
      <c r="P81" s="1155"/>
      <c r="Q81" s="1183"/>
      <c r="R81" s="1045"/>
      <c r="S81" s="1045"/>
      <c r="T81" s="1045"/>
      <c r="U81" s="1045"/>
      <c r="V81" s="1045"/>
      <c r="W81" s="1045"/>
      <c r="X81" s="1045"/>
      <c r="Y81" s="1045"/>
      <c r="Z81" s="1045"/>
      <c r="AA81" s="1045"/>
      <c r="AB81" s="1045"/>
      <c r="AC81" s="1045"/>
      <c r="AD81" s="1045"/>
    </row>
    <row r="82" spans="1:30">
      <c r="A82" s="947"/>
      <c r="B82" s="1108" t="s">
        <v>1962</v>
      </c>
      <c r="C82" s="1112"/>
      <c r="D82" s="1112"/>
      <c r="E82" s="1126"/>
      <c r="F82" s="1126"/>
      <c r="G82" s="1126"/>
      <c r="H82" s="1126"/>
      <c r="I82" s="1126"/>
      <c r="J82" s="1126"/>
      <c r="K82" s="1171"/>
      <c r="L82" s="1172"/>
      <c r="M82" s="1173"/>
      <c r="N82" s="1143"/>
      <c r="O82" s="1143"/>
      <c r="P82" s="1138"/>
      <c r="Q82" s="1079"/>
      <c r="R82" s="971"/>
      <c r="S82" s="971"/>
      <c r="T82" s="971"/>
      <c r="U82" s="971"/>
      <c r="V82" s="971"/>
      <c r="W82" s="971"/>
      <c r="X82" s="971"/>
      <c r="Y82" s="971"/>
      <c r="Z82" s="971"/>
      <c r="AA82" s="971"/>
      <c r="AB82" s="971"/>
      <c r="AC82" s="971"/>
      <c r="AD82" s="971"/>
    </row>
    <row r="83" spans="1:30" ht="15">
      <c r="A83" s="899"/>
      <c r="B83" s="1106"/>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49">
        <f t="shared" si="19"/>
        <v>100</v>
      </c>
      <c r="N83" s="1145"/>
      <c r="O83" s="1145"/>
      <c r="P83" s="1138"/>
      <c r="Q83" s="1079"/>
      <c r="R83" s="971"/>
      <c r="S83" s="971"/>
      <c r="T83" s="971"/>
      <c r="U83" s="971"/>
      <c r="V83" s="971"/>
      <c r="W83" s="971"/>
      <c r="X83" s="971"/>
      <c r="Y83" s="971"/>
      <c r="Z83" s="971"/>
      <c r="AA83" s="971"/>
      <c r="AB83" s="971"/>
      <c r="AC83" s="971"/>
      <c r="AD83" s="971"/>
    </row>
    <row r="84" spans="1:30">
      <c r="A84" s="947"/>
      <c r="B84" s="1104" t="s">
        <v>1973</v>
      </c>
      <c r="C84" s="1112"/>
      <c r="D84" s="1112"/>
      <c r="E84" s="1112"/>
      <c r="F84" s="1112"/>
      <c r="G84" s="1112"/>
      <c r="H84" s="1112"/>
      <c r="I84" s="1126"/>
      <c r="J84" s="1126"/>
      <c r="K84" s="1171"/>
      <c r="L84" s="1172"/>
      <c r="M84" s="1173"/>
      <c r="N84" s="1143"/>
      <c r="O84" s="1143"/>
      <c r="P84" s="1138"/>
      <c r="Q84" s="1079"/>
      <c r="R84" s="971"/>
      <c r="S84" s="971"/>
      <c r="T84" s="971"/>
      <c r="U84" s="971"/>
      <c r="V84" s="971"/>
      <c r="W84" s="971"/>
      <c r="X84" s="971"/>
      <c r="Y84" s="971"/>
      <c r="Z84" s="971"/>
      <c r="AA84" s="971"/>
      <c r="AB84" s="971"/>
      <c r="AC84" s="971"/>
      <c r="AD84" s="971"/>
    </row>
    <row r="85" spans="1:30" ht="15">
      <c r="A85" s="899"/>
      <c r="B85" s="1106"/>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145"/>
      <c r="O85" s="1145"/>
      <c r="P85" s="1138"/>
      <c r="Q85" s="1079"/>
      <c r="R85" s="971"/>
      <c r="S85" s="971"/>
      <c r="T85" s="971"/>
      <c r="U85" s="971"/>
      <c r="V85" s="971"/>
      <c r="W85" s="971"/>
      <c r="X85" s="971"/>
      <c r="Y85" s="971"/>
      <c r="Z85" s="971"/>
      <c r="AA85" s="971"/>
      <c r="AB85" s="971"/>
      <c r="AC85" s="971"/>
      <c r="AD85" s="971"/>
    </row>
    <row r="86" spans="1:30">
      <c r="A86" s="947"/>
      <c r="B86" s="1108" t="s">
        <v>541</v>
      </c>
      <c r="C86" s="1122" t="str">
        <f t="shared" ref="C86:L86" si="21">C87&amp;"(含)"&amp;"-"&amp;D87</f>
        <v>(含)-</v>
      </c>
      <c r="D86" s="1122" t="str">
        <f t="shared" si="21"/>
        <v>(含)-</v>
      </c>
      <c r="E86" s="1122" t="str">
        <f t="shared" si="21"/>
        <v>(含)-</v>
      </c>
      <c r="F86" s="1122" t="str">
        <f t="shared" si="21"/>
        <v>(含)-</v>
      </c>
      <c r="G86" s="1122" t="str">
        <f t="shared" si="21"/>
        <v>(含)-</v>
      </c>
      <c r="H86" s="1122" t="str">
        <f t="shared" si="21"/>
        <v>(含)-</v>
      </c>
      <c r="I86" s="1122" t="str">
        <f t="shared" si="21"/>
        <v>(含)-</v>
      </c>
      <c r="J86" s="1122" t="str">
        <f t="shared" si="21"/>
        <v>(含)-</v>
      </c>
      <c r="K86" s="1122" t="str">
        <f t="shared" si="21"/>
        <v>(含)-</v>
      </c>
      <c r="L86" s="1122" t="str">
        <f t="shared" si="21"/>
        <v>(含)-</v>
      </c>
      <c r="M86" s="1166" t="str">
        <f>M87&amp;"(含)"&amp;"-"&amp;P87</f>
        <v>(含)-</v>
      </c>
      <c r="N86" s="1143"/>
      <c r="O86" s="1143"/>
      <c r="P86" s="1138"/>
      <c r="Q86" s="1079"/>
      <c r="R86" s="971"/>
      <c r="S86" s="971"/>
      <c r="T86" s="971"/>
      <c r="U86" s="971"/>
      <c r="V86" s="971"/>
      <c r="W86" s="971"/>
      <c r="X86" s="971"/>
      <c r="Y86" s="971"/>
      <c r="Z86" s="971"/>
      <c r="AA86" s="971"/>
      <c r="AB86" s="971"/>
      <c r="AC86" s="971"/>
      <c r="AD86" s="971"/>
    </row>
    <row r="87" spans="1:30">
      <c r="A87" s="947"/>
      <c r="B87" s="1108"/>
      <c r="C87" s="1090"/>
      <c r="D87" s="1090"/>
      <c r="E87" s="1090"/>
      <c r="F87" s="1090"/>
      <c r="G87" s="1090"/>
      <c r="H87" s="1090"/>
      <c r="I87" s="1090"/>
      <c r="J87" s="1178"/>
      <c r="K87" s="1178"/>
      <c r="L87" s="1179"/>
      <c r="M87" s="1180"/>
      <c r="N87" s="1143"/>
      <c r="O87" s="1143"/>
      <c r="P87" s="1138"/>
      <c r="Q87" s="1079"/>
      <c r="R87" s="971"/>
      <c r="S87" s="971"/>
      <c r="T87" s="971"/>
      <c r="U87" s="971"/>
      <c r="V87" s="971"/>
      <c r="W87" s="971"/>
      <c r="X87" s="971"/>
      <c r="Y87" s="971"/>
      <c r="Z87" s="971"/>
      <c r="AA87" s="971"/>
      <c r="AB87" s="971"/>
      <c r="AC87" s="971"/>
      <c r="AD87" s="971"/>
    </row>
    <row r="88" spans="1:30" ht="15">
      <c r="A88" s="899"/>
      <c r="B88" s="1106"/>
      <c r="C88" s="1114"/>
      <c r="D88" s="1103"/>
      <c r="E88" s="1103"/>
      <c r="F88" s="1103"/>
      <c r="G88" s="1103"/>
      <c r="H88" s="1103"/>
      <c r="I88" s="1103"/>
      <c r="J88" s="1103"/>
      <c r="K88" s="1103"/>
      <c r="L88" s="1103"/>
      <c r="M88" s="1103"/>
      <c r="N88" s="1145"/>
      <c r="O88" s="1145"/>
      <c r="P88" s="1138"/>
      <c r="Q88" s="1079"/>
      <c r="R88" s="971"/>
      <c r="S88" s="971"/>
      <c r="T88" s="971"/>
      <c r="U88" s="971"/>
      <c r="V88" s="971"/>
      <c r="W88" s="971"/>
      <c r="X88" s="971"/>
      <c r="Y88" s="971"/>
      <c r="Z88" s="971"/>
      <c r="AA88" s="971"/>
      <c r="AB88" s="971"/>
      <c r="AC88" s="971"/>
      <c r="AD88" s="971"/>
    </row>
    <row r="89" spans="1:30" s="857" customFormat="1">
      <c r="A89" s="952"/>
      <c r="B89" s="1104" t="s">
        <v>1974</v>
      </c>
      <c r="C89" s="1112"/>
      <c r="D89" s="1112"/>
      <c r="E89" s="1112"/>
      <c r="F89" s="1112"/>
      <c r="G89" s="1112"/>
      <c r="H89" s="1112"/>
      <c r="I89" s="1112"/>
      <c r="J89" s="1112"/>
      <c r="K89" s="1112"/>
      <c r="L89" s="1112"/>
      <c r="M89" s="1250"/>
      <c r="N89" s="1155"/>
      <c r="O89" s="1155"/>
      <c r="P89" s="1155"/>
      <c r="Q89" s="1183"/>
      <c r="R89" s="1045"/>
      <c r="S89" s="1045"/>
      <c r="T89" s="1045"/>
      <c r="U89" s="1045"/>
      <c r="V89" s="1045"/>
      <c r="W89" s="1045"/>
      <c r="X89" s="1045"/>
      <c r="Y89" s="1045"/>
      <c r="Z89" s="1045"/>
      <c r="AA89" s="1045"/>
      <c r="AB89" s="1045"/>
      <c r="AC89" s="1045"/>
      <c r="AD89" s="1045"/>
    </row>
    <row r="90" spans="1:30" s="857" customFormat="1" ht="15">
      <c r="A90" s="1111"/>
      <c r="B90" s="1106"/>
      <c r="C90" s="1114"/>
      <c r="D90" s="1103"/>
      <c r="E90" s="1103"/>
      <c r="F90" s="1103"/>
      <c r="G90" s="1103"/>
      <c r="H90" s="1103"/>
      <c r="I90" s="1103"/>
      <c r="J90" s="1103"/>
      <c r="K90" s="1103"/>
      <c r="L90" s="1103"/>
      <c r="M90" s="1144"/>
      <c r="N90" s="1155"/>
      <c r="O90" s="1155"/>
      <c r="P90" s="1155"/>
      <c r="Q90" s="1183"/>
      <c r="R90" s="1045"/>
      <c r="S90" s="1045"/>
      <c r="T90" s="1045"/>
      <c r="U90" s="1045"/>
      <c r="V90" s="1045"/>
      <c r="W90" s="1045"/>
      <c r="X90" s="1045"/>
      <c r="Y90" s="1045"/>
      <c r="Z90" s="1045"/>
      <c r="AA90" s="1045"/>
      <c r="AB90" s="1045"/>
      <c r="AC90" s="1045"/>
      <c r="AD90" s="1045"/>
    </row>
    <row r="91" spans="1:30">
      <c r="A91" s="947"/>
      <c r="B91" s="1104">
        <f>B32</f>
        <v>111</v>
      </c>
      <c r="C91" s="905"/>
      <c r="D91" s="905"/>
      <c r="E91" s="905"/>
      <c r="F91" s="905"/>
      <c r="G91" s="1112"/>
      <c r="H91" s="1113"/>
      <c r="I91" s="1113"/>
      <c r="J91" s="1113"/>
      <c r="K91" s="1113"/>
      <c r="L91" s="1153"/>
      <c r="M91" s="1154"/>
      <c r="N91" s="1143"/>
      <c r="O91" s="1143"/>
      <c r="P91" s="1138"/>
      <c r="Q91" s="1079"/>
      <c r="R91" s="971"/>
      <c r="S91" s="971"/>
      <c r="T91" s="971"/>
      <c r="U91" s="971"/>
      <c r="V91" s="971"/>
      <c r="W91" s="971"/>
      <c r="X91" s="971"/>
      <c r="Y91" s="971"/>
      <c r="Z91" s="971"/>
      <c r="AA91" s="971"/>
      <c r="AB91" s="971"/>
      <c r="AC91" s="971"/>
      <c r="AD91" s="971"/>
    </row>
    <row r="92" spans="1:30" ht="15">
      <c r="A92" s="899"/>
      <c r="B92" s="1106"/>
      <c r="C92" s="1114"/>
      <c r="D92" s="1103"/>
      <c r="E92" s="1103"/>
      <c r="F92" s="1103"/>
      <c r="G92" s="1114"/>
      <c r="H92" s="1115"/>
      <c r="I92" s="1115"/>
      <c r="J92" s="1115"/>
      <c r="K92" s="1115"/>
      <c r="L92" s="1115"/>
      <c r="M92" s="1156"/>
      <c r="N92" s="1145"/>
      <c r="O92" s="1145"/>
      <c r="P92" s="1138"/>
      <c r="Q92" s="1079"/>
      <c r="R92" s="971"/>
      <c r="S92" s="971"/>
      <c r="T92" s="971"/>
      <c r="U92" s="971"/>
      <c r="V92" s="971"/>
      <c r="W92" s="971"/>
      <c r="X92" s="971"/>
      <c r="Y92" s="971"/>
      <c r="Z92" s="971"/>
      <c r="AA92" s="971"/>
      <c r="AB92" s="971"/>
      <c r="AC92" s="971"/>
      <c r="AD92" s="971"/>
    </row>
    <row r="93" spans="1:30">
      <c r="A93" s="947"/>
      <c r="B93" s="1104">
        <f>B33</f>
        <v>111</v>
      </c>
      <c r="C93" s="905"/>
      <c r="D93" s="905"/>
      <c r="E93" s="905"/>
      <c r="F93" s="905"/>
      <c r="G93" s="1112"/>
      <c r="H93" s="1113"/>
      <c r="I93" s="1113"/>
      <c r="J93" s="1113"/>
      <c r="K93" s="1113"/>
      <c r="L93" s="1153"/>
      <c r="M93" s="1154"/>
      <c r="N93" s="1143"/>
      <c r="O93" s="1143"/>
      <c r="P93" s="1138"/>
      <c r="Q93" s="1079"/>
      <c r="R93" s="971"/>
      <c r="S93" s="971"/>
      <c r="T93" s="971"/>
      <c r="U93" s="971"/>
      <c r="V93" s="971"/>
      <c r="W93" s="971"/>
      <c r="X93" s="971"/>
      <c r="Y93" s="971"/>
      <c r="Z93" s="971"/>
      <c r="AA93" s="971"/>
      <c r="AB93" s="971"/>
      <c r="AC93" s="971"/>
      <c r="AD93" s="971"/>
    </row>
    <row r="94" spans="1:30" ht="15">
      <c r="A94" s="899"/>
      <c r="B94" s="1106"/>
      <c r="C94" s="1114"/>
      <c r="D94" s="1103"/>
      <c r="E94" s="1103"/>
      <c r="F94" s="1103"/>
      <c r="G94" s="1114"/>
      <c r="H94" s="1115"/>
      <c r="I94" s="1115"/>
      <c r="J94" s="1115"/>
      <c r="K94" s="1115"/>
      <c r="L94" s="1115"/>
      <c r="M94" s="1156"/>
      <c r="N94" s="1145"/>
      <c r="O94" s="1145"/>
      <c r="P94" s="1138"/>
      <c r="Q94" s="1079"/>
      <c r="R94" s="971"/>
      <c r="S94" s="971"/>
      <c r="T94" s="971"/>
      <c r="U94" s="971"/>
      <c r="V94" s="971"/>
      <c r="W94" s="971"/>
      <c r="X94" s="971"/>
      <c r="Y94" s="971"/>
      <c r="Z94" s="971"/>
      <c r="AA94" s="971"/>
      <c r="AB94" s="971"/>
      <c r="AC94" s="971"/>
      <c r="AD94" s="971"/>
    </row>
    <row r="95" spans="1:30">
      <c r="A95" s="947"/>
      <c r="B95" s="1246">
        <f>B34</f>
        <v>111</v>
      </c>
      <c r="C95" s="905"/>
      <c r="D95" s="905"/>
      <c r="E95" s="905"/>
      <c r="F95" s="905"/>
      <c r="G95" s="1112"/>
      <c r="H95" s="1113"/>
      <c r="I95" s="1113"/>
      <c r="J95" s="1113"/>
      <c r="K95" s="1113"/>
      <c r="L95" s="1153"/>
      <c r="M95" s="1154"/>
      <c r="N95" s="1145"/>
      <c r="O95" s="1145"/>
      <c r="P95" s="1145"/>
      <c r="Q95" s="1256"/>
      <c r="R95" s="971"/>
      <c r="S95" s="971"/>
      <c r="T95" s="971"/>
      <c r="U95" s="971"/>
      <c r="V95" s="971"/>
      <c r="W95" s="971"/>
      <c r="X95" s="971"/>
      <c r="Y95" s="971"/>
      <c r="Z95" s="971"/>
      <c r="AA95" s="971"/>
      <c r="AB95" s="971"/>
      <c r="AC95" s="971"/>
      <c r="AD95" s="971"/>
    </row>
    <row r="96" spans="1:30" ht="15">
      <c r="A96" s="899"/>
      <c r="B96" s="1106"/>
      <c r="C96" s="1114"/>
      <c r="D96" s="1114"/>
      <c r="E96" s="1114"/>
      <c r="F96" s="1114"/>
      <c r="G96" s="1114"/>
      <c r="H96" s="1115"/>
      <c r="I96" s="1115"/>
      <c r="J96" s="1115"/>
      <c r="K96" s="1115"/>
      <c r="L96" s="1115"/>
      <c r="M96" s="1156"/>
      <c r="N96" s="1145"/>
      <c r="O96" s="1145"/>
      <c r="P96" s="1138"/>
      <c r="Q96" s="1079"/>
      <c r="R96" s="971"/>
      <c r="S96" s="971"/>
      <c r="T96" s="971"/>
      <c r="U96" s="971"/>
      <c r="V96" s="971"/>
      <c r="W96" s="971"/>
      <c r="X96" s="971"/>
      <c r="Y96" s="971"/>
      <c r="Z96" s="971"/>
      <c r="AA96" s="971"/>
      <c r="AB96" s="971"/>
      <c r="AC96" s="971"/>
      <c r="AD96" s="971"/>
    </row>
    <row r="97" spans="1:30">
      <c r="N97" s="971"/>
      <c r="O97" s="971"/>
      <c r="P97" s="971"/>
      <c r="Q97" s="971"/>
      <c r="R97" s="971"/>
      <c r="S97" s="971"/>
      <c r="T97" s="971"/>
      <c r="U97" s="971"/>
      <c r="V97" s="971"/>
      <c r="W97" s="971"/>
      <c r="X97" s="971"/>
      <c r="Y97" s="971"/>
      <c r="Z97" s="971"/>
      <c r="AA97" s="971"/>
      <c r="AB97" s="971"/>
      <c r="AC97" s="971"/>
      <c r="AD97" s="971"/>
    </row>
    <row r="98" spans="1:30">
      <c r="A98" s="1247"/>
      <c r="B98" s="1247"/>
      <c r="C98" s="1247"/>
      <c r="D98" s="1247"/>
      <c r="E98" s="1247"/>
      <c r="F98" s="1247"/>
      <c r="G98" s="1247"/>
      <c r="H98" s="1247"/>
      <c r="I98" s="1247"/>
      <c r="J98" s="1247"/>
      <c r="K98" s="1254"/>
      <c r="L98" s="1255"/>
      <c r="M98" s="1247"/>
      <c r="N98" s="971"/>
      <c r="O98" s="971"/>
      <c r="P98" s="971"/>
      <c r="Q98" s="971"/>
      <c r="R98" s="971"/>
      <c r="S98" s="971"/>
      <c r="T98" s="971"/>
      <c r="U98" s="971"/>
      <c r="V98" s="971"/>
      <c r="W98" s="971"/>
      <c r="X98" s="971"/>
      <c r="Y98" s="971"/>
      <c r="Z98" s="971"/>
      <c r="AA98" s="971"/>
      <c r="AB98" s="971"/>
      <c r="AC98" s="971"/>
      <c r="AD98" s="971"/>
    </row>
    <row r="99" spans="1:30">
      <c r="A99" s="1247"/>
      <c r="B99" s="1247"/>
      <c r="C99" s="1247"/>
      <c r="D99" s="1247"/>
      <c r="E99" s="1247"/>
      <c r="F99" s="1247"/>
      <c r="G99" s="1247"/>
      <c r="H99" s="1247"/>
      <c r="I99" s="1247"/>
      <c r="J99" s="1247"/>
      <c r="K99" s="1254"/>
      <c r="L99" s="1255"/>
      <c r="M99" s="1247"/>
      <c r="N99" s="971"/>
      <c r="O99" s="971"/>
      <c r="P99" s="971"/>
      <c r="Q99" s="971"/>
      <c r="R99" s="971"/>
      <c r="S99" s="971"/>
      <c r="T99" s="971"/>
      <c r="U99" s="971"/>
      <c r="V99" s="971"/>
      <c r="W99" s="971"/>
      <c r="X99" s="971"/>
      <c r="Y99" s="971"/>
      <c r="Z99" s="971"/>
      <c r="AA99" s="971"/>
      <c r="AB99" s="971"/>
      <c r="AC99" s="971"/>
      <c r="AD99" s="971"/>
    </row>
    <row r="100" spans="1:30">
      <c r="A100" s="1247"/>
      <c r="B100" s="1247"/>
      <c r="C100" s="1247"/>
      <c r="D100" s="1247"/>
      <c r="E100" s="1247"/>
      <c r="F100" s="1247"/>
      <c r="G100" s="1247"/>
      <c r="H100" s="1247"/>
      <c r="I100" s="1247"/>
      <c r="J100" s="1247"/>
      <c r="K100" s="1254"/>
      <c r="L100" s="1255"/>
      <c r="M100" s="1247"/>
      <c r="N100" s="971"/>
      <c r="O100" s="971"/>
      <c r="P100" s="971"/>
      <c r="Q100" s="971"/>
      <c r="R100" s="971"/>
      <c r="S100" s="971"/>
      <c r="T100" s="971"/>
      <c r="U100" s="971"/>
      <c r="V100" s="971"/>
      <c r="W100" s="971"/>
      <c r="X100" s="971"/>
      <c r="Y100" s="971"/>
      <c r="Z100" s="971"/>
      <c r="AA100" s="971"/>
      <c r="AB100" s="971"/>
      <c r="AC100" s="971"/>
      <c r="AD100" s="971"/>
    </row>
    <row r="101" spans="1:30">
      <c r="A101" s="1247"/>
      <c r="B101" s="1247"/>
      <c r="C101" s="1247"/>
      <c r="D101" s="1247"/>
      <c r="E101" s="1247"/>
      <c r="F101" s="1247"/>
      <c r="G101" s="1247"/>
      <c r="H101" s="1247"/>
      <c r="I101" s="1247"/>
      <c r="J101" s="1247"/>
      <c r="K101" s="1254"/>
      <c r="L101" s="1255"/>
      <c r="M101" s="1247"/>
      <c r="N101" s="971"/>
      <c r="O101" s="971"/>
      <c r="P101" s="971"/>
      <c r="Q101" s="971"/>
      <c r="R101" s="971"/>
      <c r="S101" s="971"/>
      <c r="T101" s="971"/>
      <c r="U101" s="971"/>
      <c r="V101" s="971"/>
      <c r="W101" s="971"/>
      <c r="X101" s="971"/>
      <c r="Y101" s="971"/>
      <c r="Z101" s="971"/>
      <c r="AA101" s="971"/>
      <c r="AB101" s="971"/>
      <c r="AC101" s="971"/>
      <c r="AD101" s="971"/>
    </row>
    <row r="102" spans="1:30">
      <c r="A102" s="1247"/>
      <c r="B102" s="1247"/>
      <c r="C102" s="1247"/>
      <c r="D102" s="1247"/>
      <c r="E102" s="1247"/>
      <c r="F102" s="1247"/>
      <c r="G102" s="1247"/>
      <c r="H102" s="1247"/>
      <c r="I102" s="1247"/>
      <c r="J102" s="1247"/>
      <c r="K102" s="1254"/>
      <c r="L102" s="1255"/>
      <c r="M102" s="1247"/>
      <c r="N102" s="971"/>
      <c r="O102" s="971"/>
      <c r="P102" s="971"/>
      <c r="Q102" s="971"/>
      <c r="R102" s="971"/>
      <c r="S102" s="971"/>
      <c r="T102" s="971"/>
      <c r="U102" s="971"/>
      <c r="V102" s="971"/>
      <c r="W102" s="971"/>
      <c r="X102" s="971"/>
      <c r="Y102" s="971"/>
      <c r="Z102" s="971"/>
      <c r="AA102" s="971"/>
      <c r="AB102" s="971"/>
      <c r="AC102" s="971"/>
      <c r="AD102" s="971"/>
    </row>
    <row r="103" spans="1:30">
      <c r="A103" s="1247"/>
      <c r="B103" s="1247"/>
      <c r="C103" s="1247"/>
      <c r="D103" s="1247"/>
      <c r="E103" s="1247"/>
      <c r="F103" s="1247"/>
      <c r="G103" s="1247"/>
      <c r="H103" s="1247"/>
      <c r="I103" s="1247"/>
      <c r="J103" s="1247"/>
      <c r="K103" s="1254"/>
      <c r="L103" s="1255"/>
      <c r="M103" s="1247"/>
      <c r="N103" s="1247"/>
      <c r="O103" s="1247"/>
      <c r="P103" s="971"/>
      <c r="Q103" s="971"/>
      <c r="R103" s="971"/>
      <c r="S103" s="971"/>
      <c r="T103" s="971"/>
      <c r="U103" s="971"/>
      <c r="V103" s="971"/>
      <c r="W103" s="971"/>
      <c r="X103" s="971"/>
      <c r="Y103" s="971"/>
      <c r="Z103" s="971"/>
      <c r="AA103" s="971"/>
      <c r="AB103" s="971"/>
      <c r="AC103" s="971"/>
      <c r="AD103" s="971"/>
    </row>
    <row r="104" spans="1:30">
      <c r="A104" s="1247"/>
      <c r="B104" s="1247"/>
      <c r="C104" s="1247"/>
      <c r="D104" s="1247"/>
      <c r="E104" s="1247"/>
      <c r="F104" s="1247"/>
      <c r="G104" s="1247"/>
      <c r="H104" s="1247"/>
      <c r="I104" s="1247"/>
      <c r="J104" s="1247"/>
      <c r="K104" s="1254"/>
      <c r="L104" s="1255"/>
      <c r="M104" s="1247"/>
      <c r="N104" s="1247"/>
      <c r="O104" s="1247"/>
      <c r="P104" s="1247"/>
      <c r="Q104" s="1247"/>
      <c r="R104" s="1247"/>
      <c r="S104" s="1247"/>
      <c r="T104" s="1247"/>
    </row>
    <row r="105" spans="1:30">
      <c r="A105" s="1247"/>
      <c r="B105" s="1247"/>
      <c r="C105" s="1247"/>
      <c r="D105" s="1247"/>
      <c r="E105" s="1247"/>
      <c r="F105" s="1247"/>
      <c r="G105" s="1247"/>
      <c r="H105" s="1247"/>
      <c r="I105" s="1247"/>
      <c r="J105" s="1247"/>
      <c r="K105" s="1254"/>
      <c r="L105" s="1255"/>
      <c r="M105" s="1247"/>
      <c r="N105" s="1247"/>
      <c r="O105" s="1247"/>
      <c r="P105" s="1247"/>
      <c r="Q105" s="1247"/>
      <c r="R105" s="1247"/>
      <c r="S105" s="1247"/>
      <c r="T105" s="1247"/>
    </row>
    <row r="106" spans="1:30">
      <c r="A106" s="1247"/>
      <c r="B106" s="1247"/>
      <c r="C106" s="1247"/>
      <c r="D106" s="1247"/>
      <c r="E106" s="1247"/>
      <c r="F106" s="1247"/>
      <c r="G106" s="1247"/>
      <c r="H106" s="1247"/>
      <c r="I106" s="1247"/>
      <c r="J106" s="1247"/>
      <c r="K106" s="1254"/>
      <c r="L106" s="1255"/>
      <c r="M106" s="1247"/>
      <c r="N106" s="1247"/>
      <c r="O106" s="1247"/>
      <c r="P106" s="1247"/>
      <c r="Q106" s="1247"/>
      <c r="R106" s="1247"/>
      <c r="S106" s="1247"/>
      <c r="T106" s="1247"/>
    </row>
    <row r="107" spans="1:30">
      <c r="A107" s="1247"/>
      <c r="B107" s="1247"/>
      <c r="C107" s="1247"/>
      <c r="D107" s="1247"/>
      <c r="E107" s="1247"/>
      <c r="F107" s="1247"/>
      <c r="G107" s="1247"/>
      <c r="H107" s="1247"/>
      <c r="I107" s="1247"/>
      <c r="J107" s="1247"/>
      <c r="K107" s="1254"/>
      <c r="L107" s="1255"/>
      <c r="M107" s="1247"/>
      <c r="N107" s="1247"/>
      <c r="O107" s="1247"/>
      <c r="P107" s="1247"/>
      <c r="Q107" s="1247"/>
      <c r="R107" s="1247"/>
      <c r="S107" s="1247"/>
      <c r="T107" s="1247"/>
    </row>
    <row r="108" spans="1:30">
      <c r="A108" s="1247"/>
      <c r="B108" s="1247"/>
      <c r="C108" s="1247"/>
      <c r="D108" s="1247"/>
      <c r="E108" s="1247"/>
      <c r="F108" s="1247"/>
      <c r="G108" s="1247"/>
      <c r="H108" s="1247"/>
      <c r="I108" s="1247"/>
      <c r="J108" s="1247"/>
      <c r="K108" s="1254"/>
      <c r="L108" s="1255"/>
      <c r="M108" s="1247"/>
      <c r="N108" s="1247"/>
      <c r="O108" s="1247"/>
      <c r="P108" s="1247"/>
      <c r="Q108" s="1247"/>
      <c r="R108" s="1247"/>
      <c r="S108" s="1247"/>
      <c r="T108" s="1247"/>
    </row>
    <row r="109" spans="1:30">
      <c r="A109" s="1247"/>
      <c r="B109" s="1247"/>
      <c r="C109" s="1247"/>
      <c r="D109" s="1247"/>
      <c r="E109" s="1247"/>
      <c r="F109" s="1247"/>
      <c r="G109" s="1247"/>
      <c r="H109" s="1247"/>
      <c r="I109" s="1247"/>
      <c r="J109" s="1247"/>
      <c r="K109" s="1254"/>
      <c r="L109" s="1255"/>
      <c r="M109" s="1247"/>
      <c r="N109" s="1247"/>
      <c r="O109" s="1247"/>
      <c r="P109" s="1247"/>
      <c r="Q109" s="1247"/>
      <c r="R109" s="1247"/>
      <c r="S109" s="1247"/>
      <c r="T109" s="1247"/>
    </row>
    <row r="110" spans="1:30">
      <c r="A110" s="1247"/>
      <c r="B110" s="1247"/>
      <c r="C110" s="1247"/>
      <c r="D110" s="1247"/>
      <c r="E110" s="1247"/>
      <c r="F110" s="1247"/>
      <c r="G110" s="1247"/>
      <c r="H110" s="1247"/>
      <c r="I110" s="1247"/>
      <c r="J110" s="1247"/>
      <c r="K110" s="1254"/>
      <c r="L110" s="1255"/>
      <c r="M110" s="1247"/>
      <c r="N110" s="1247"/>
      <c r="O110" s="1247"/>
      <c r="P110" s="1247"/>
      <c r="Q110" s="1247"/>
      <c r="R110" s="1247"/>
      <c r="S110" s="1247"/>
      <c r="T110" s="1247"/>
    </row>
    <row r="111" spans="1:30">
      <c r="A111" s="1247"/>
      <c r="B111" s="1247"/>
      <c r="C111" s="1247"/>
      <c r="D111" s="1247"/>
      <c r="E111" s="1247"/>
      <c r="F111" s="1247"/>
      <c r="G111" s="1247"/>
      <c r="H111" s="1247"/>
      <c r="I111" s="1247"/>
      <c r="J111" s="1247"/>
      <c r="K111" s="1254"/>
      <c r="L111" s="1255"/>
      <c r="M111" s="1247"/>
      <c r="N111" s="1247"/>
      <c r="O111" s="1247"/>
      <c r="P111" s="1247"/>
      <c r="Q111" s="1247"/>
      <c r="R111" s="1247"/>
      <c r="S111" s="1247"/>
      <c r="T111" s="1247"/>
    </row>
    <row r="112" spans="1:30">
      <c r="A112" s="1247"/>
      <c r="B112" s="1247"/>
      <c r="C112" s="1247"/>
      <c r="D112" s="1247"/>
      <c r="E112" s="1247"/>
      <c r="F112" s="1247"/>
      <c r="G112" s="1247"/>
      <c r="H112" s="1247"/>
      <c r="I112" s="1247"/>
      <c r="J112" s="1247"/>
      <c r="K112" s="1254"/>
      <c r="L112" s="1255"/>
      <c r="M112" s="1247"/>
      <c r="N112" s="1247"/>
      <c r="O112" s="1247"/>
      <c r="P112" s="1247"/>
      <c r="Q112" s="1247"/>
      <c r="R112" s="1247"/>
      <c r="S112" s="1247"/>
      <c r="T112" s="1247"/>
    </row>
    <row r="113" spans="1:20">
      <c r="A113" s="1247"/>
      <c r="B113" s="1247"/>
      <c r="C113" s="1247"/>
      <c r="D113" s="1247"/>
      <c r="E113" s="1247"/>
      <c r="F113" s="1247"/>
      <c r="G113" s="1247"/>
      <c r="H113" s="1247"/>
      <c r="I113" s="1247"/>
      <c r="J113" s="1247"/>
      <c r="K113" s="1254"/>
      <c r="L113" s="1255"/>
      <c r="M113" s="1247"/>
      <c r="N113" s="1247"/>
      <c r="O113" s="1247"/>
      <c r="P113" s="1247"/>
      <c r="Q113" s="1247"/>
      <c r="R113" s="1247"/>
      <c r="S113" s="1247"/>
      <c r="T113" s="1247"/>
    </row>
    <row r="114" spans="1:20">
      <c r="A114" s="1247"/>
      <c r="B114" s="1247"/>
      <c r="C114" s="1247"/>
      <c r="D114" s="1247"/>
      <c r="E114" s="1247"/>
      <c r="F114" s="1247"/>
      <c r="G114" s="1247"/>
      <c r="H114" s="1247"/>
      <c r="I114" s="1247"/>
      <c r="J114" s="1247"/>
      <c r="K114" s="1254"/>
      <c r="L114" s="1255"/>
      <c r="M114" s="1247"/>
      <c r="N114" s="1247"/>
      <c r="O114" s="1247"/>
      <c r="P114" s="1247"/>
      <c r="Q114" s="1247"/>
      <c r="R114" s="1247"/>
      <c r="S114" s="1247"/>
      <c r="T114" s="1247"/>
    </row>
    <row r="115" spans="1:20">
      <c r="A115" s="1247"/>
      <c r="B115" s="1247"/>
      <c r="C115" s="1247"/>
      <c r="D115" s="1247"/>
      <c r="E115" s="1247"/>
      <c r="F115" s="1247"/>
      <c r="G115" s="1247"/>
      <c r="H115" s="1247"/>
      <c r="I115" s="1247"/>
      <c r="J115" s="1247"/>
      <c r="K115" s="1254"/>
      <c r="L115" s="1255"/>
      <c r="M115" s="1247"/>
      <c r="N115" s="1247"/>
      <c r="O115" s="1247"/>
      <c r="P115" s="1247"/>
      <c r="Q115" s="1247"/>
      <c r="R115" s="1247"/>
      <c r="S115" s="1247"/>
      <c r="T115" s="1247"/>
    </row>
    <row r="116" spans="1:20">
      <c r="A116" s="1247"/>
      <c r="B116" s="1247"/>
      <c r="C116" s="1247"/>
      <c r="D116" s="1247"/>
      <c r="E116" s="1247"/>
      <c r="F116" s="1247"/>
      <c r="G116" s="1247"/>
      <c r="H116" s="1247"/>
      <c r="I116" s="1247"/>
      <c r="J116" s="1247"/>
      <c r="K116" s="1254"/>
      <c r="L116" s="1255"/>
      <c r="M116" s="1247"/>
      <c r="N116" s="1247"/>
      <c r="O116" s="1247"/>
      <c r="P116" s="1247"/>
      <c r="Q116" s="1247"/>
      <c r="R116" s="1247"/>
      <c r="S116" s="1247"/>
      <c r="T116" s="1247"/>
    </row>
    <row r="117" spans="1:20">
      <c r="A117" s="1247"/>
      <c r="B117" s="1247"/>
      <c r="C117" s="1247"/>
      <c r="D117" s="1247"/>
      <c r="E117" s="1247"/>
      <c r="F117" s="1247"/>
      <c r="G117" s="1247"/>
      <c r="H117" s="1247"/>
      <c r="I117" s="1247"/>
      <c r="J117" s="1247"/>
      <c r="K117" s="1254"/>
      <c r="L117" s="1255"/>
      <c r="M117" s="1247"/>
      <c r="N117" s="1247"/>
      <c r="O117" s="1247"/>
      <c r="P117" s="1247"/>
      <c r="Q117" s="1247"/>
      <c r="R117" s="1247"/>
      <c r="S117" s="1247"/>
      <c r="T117" s="1247"/>
    </row>
    <row r="118" spans="1:20">
      <c r="A118" s="1247"/>
      <c r="B118" s="1247"/>
      <c r="C118" s="1247"/>
      <c r="D118" s="1247"/>
      <c r="E118" s="1247"/>
      <c r="F118" s="1247"/>
      <c r="G118" s="1247"/>
      <c r="H118" s="1247"/>
      <c r="I118" s="1247"/>
      <c r="J118" s="1247"/>
      <c r="K118" s="1254"/>
      <c r="L118" s="1255"/>
      <c r="M118" s="1247"/>
      <c r="N118" s="1247"/>
      <c r="O118" s="1247"/>
      <c r="P118" s="1247"/>
      <c r="Q118" s="1247"/>
      <c r="R118" s="1247"/>
      <c r="S118" s="1247"/>
      <c r="T118" s="1247"/>
    </row>
    <row r="119" spans="1:20">
      <c r="A119" s="1247"/>
      <c r="B119" s="1247"/>
      <c r="C119" s="1247"/>
      <c r="D119" s="1247"/>
      <c r="E119" s="1247"/>
      <c r="F119" s="1247"/>
      <c r="G119" s="1247"/>
      <c r="H119" s="1247"/>
      <c r="I119" s="1247"/>
      <c r="J119" s="1247"/>
      <c r="K119" s="1254"/>
      <c r="L119" s="1255"/>
      <c r="M119" s="1247"/>
      <c r="N119" s="1247"/>
      <c r="O119" s="1247"/>
      <c r="P119" s="1247"/>
      <c r="Q119" s="1247"/>
      <c r="R119" s="1247"/>
      <c r="S119" s="1247"/>
      <c r="T119" s="1247"/>
    </row>
    <row r="120" spans="1:20">
      <c r="A120" s="1247"/>
      <c r="B120" s="1247"/>
      <c r="C120" s="1247"/>
      <c r="D120" s="1247"/>
      <c r="E120" s="1247"/>
      <c r="F120" s="1247"/>
      <c r="G120" s="1247"/>
      <c r="H120" s="1247"/>
      <c r="I120" s="1247"/>
      <c r="J120" s="1247"/>
      <c r="K120" s="1254"/>
      <c r="L120" s="1255"/>
      <c r="M120" s="1247"/>
      <c r="N120" s="1247"/>
      <c r="O120" s="1247"/>
      <c r="P120" s="1247"/>
      <c r="Q120" s="1247"/>
      <c r="R120" s="1247"/>
      <c r="S120" s="1247"/>
      <c r="T120" s="1247"/>
    </row>
    <row r="121" spans="1:20">
      <c r="A121" s="1247"/>
      <c r="B121" s="1247"/>
      <c r="C121" s="1247"/>
      <c r="D121" s="1247"/>
      <c r="E121" s="1247"/>
      <c r="F121" s="1247"/>
      <c r="G121" s="1247"/>
      <c r="H121" s="1247"/>
      <c r="I121" s="1247"/>
      <c r="J121" s="1247"/>
      <c r="K121" s="1254"/>
      <c r="L121" s="1255"/>
      <c r="M121" s="1247"/>
      <c r="N121" s="1247"/>
      <c r="O121" s="1247"/>
      <c r="P121" s="1247"/>
      <c r="Q121" s="1247"/>
      <c r="R121" s="1247"/>
      <c r="S121" s="1247"/>
      <c r="T121" s="1247"/>
    </row>
    <row r="122" spans="1:20">
      <c r="A122" s="1247"/>
      <c r="B122" s="1247"/>
      <c r="C122" s="1247"/>
      <c r="D122" s="1247"/>
      <c r="E122" s="1247"/>
      <c r="F122" s="1247"/>
      <c r="G122" s="1247"/>
      <c r="H122" s="1247"/>
      <c r="I122" s="1247"/>
      <c r="J122" s="1247"/>
      <c r="K122" s="1254"/>
      <c r="L122" s="1255"/>
      <c r="M122" s="1247"/>
      <c r="N122" s="1247"/>
      <c r="O122" s="1247"/>
      <c r="P122" s="1247"/>
      <c r="Q122" s="1247"/>
      <c r="R122" s="1247"/>
      <c r="S122" s="1247"/>
      <c r="T122" s="1247"/>
    </row>
    <row r="123" spans="1:20">
      <c r="A123" s="1247"/>
      <c r="B123" s="1247"/>
      <c r="C123" s="1247"/>
      <c r="D123" s="1247"/>
      <c r="E123" s="1247"/>
      <c r="F123" s="1247"/>
      <c r="G123" s="1247"/>
      <c r="H123" s="1247"/>
      <c r="I123" s="1247"/>
      <c r="J123" s="1247"/>
      <c r="K123" s="1254"/>
      <c r="L123" s="1255"/>
      <c r="M123" s="1247"/>
      <c r="N123" s="1247"/>
      <c r="O123" s="1247"/>
      <c r="P123" s="1247"/>
      <c r="Q123" s="1247"/>
      <c r="R123" s="1247"/>
      <c r="S123" s="1247"/>
      <c r="T123" s="1247"/>
    </row>
    <row r="124" spans="1:20">
      <c r="A124" s="1247"/>
      <c r="B124" s="1247"/>
      <c r="C124" s="1247"/>
      <c r="D124" s="1247"/>
      <c r="E124" s="1247"/>
      <c r="F124" s="1247"/>
      <c r="G124" s="1247"/>
      <c r="H124" s="1247"/>
      <c r="I124" s="1247"/>
      <c r="J124" s="1247"/>
      <c r="K124" s="1254"/>
      <c r="L124" s="1255"/>
      <c r="M124" s="1247"/>
      <c r="N124" s="1247"/>
      <c r="O124" s="1247"/>
      <c r="P124" s="1247"/>
      <c r="Q124" s="1247"/>
      <c r="R124" s="1247"/>
      <c r="S124" s="1247"/>
      <c r="T124" s="1247"/>
    </row>
    <row r="125" spans="1:20">
      <c r="A125" s="1247"/>
      <c r="B125" s="1247"/>
      <c r="C125" s="1247"/>
      <c r="D125" s="1247"/>
      <c r="E125" s="1247"/>
      <c r="F125" s="1247"/>
      <c r="G125" s="1247"/>
      <c r="H125" s="1247"/>
      <c r="I125" s="1247"/>
      <c r="J125" s="1247"/>
      <c r="K125" s="1254"/>
      <c r="L125" s="1255"/>
      <c r="M125" s="1247"/>
      <c r="N125" s="1247"/>
      <c r="O125" s="1247"/>
      <c r="P125" s="1247"/>
      <c r="Q125" s="1247"/>
      <c r="R125" s="1247"/>
      <c r="S125" s="1247"/>
      <c r="T125" s="1247"/>
    </row>
    <row r="126" spans="1:20">
      <c r="A126" s="1247"/>
      <c r="B126" s="1247"/>
      <c r="C126" s="1247"/>
      <c r="D126" s="1247"/>
      <c r="E126" s="1247"/>
      <c r="F126" s="1247"/>
      <c r="G126" s="1247"/>
      <c r="H126" s="1247"/>
      <c r="I126" s="1247"/>
      <c r="J126" s="1247"/>
      <c r="K126" s="1254"/>
      <c r="L126" s="1255"/>
      <c r="M126" s="1247"/>
      <c r="N126" s="1247"/>
      <c r="O126" s="1247"/>
      <c r="P126" s="1247"/>
      <c r="Q126" s="1247"/>
      <c r="R126" s="1247"/>
      <c r="S126" s="1247"/>
      <c r="T126" s="1247"/>
    </row>
    <row r="127" spans="1:20">
      <c r="A127" s="1247"/>
      <c r="B127" s="1247"/>
      <c r="C127" s="1247"/>
      <c r="D127" s="1247"/>
      <c r="E127" s="1247"/>
      <c r="F127" s="1247"/>
      <c r="G127" s="1247"/>
      <c r="H127" s="1247"/>
      <c r="I127" s="1247"/>
      <c r="J127" s="1247"/>
      <c r="K127" s="1254"/>
      <c r="L127" s="1255"/>
      <c r="M127" s="1247"/>
      <c r="N127" s="1247"/>
      <c r="O127" s="1247"/>
      <c r="P127" s="1247"/>
      <c r="Q127" s="1247"/>
      <c r="R127" s="1247"/>
      <c r="S127" s="1247"/>
      <c r="T127" s="1247"/>
    </row>
    <row r="128" spans="1:20">
      <c r="A128" s="1247"/>
      <c r="B128" s="1247"/>
      <c r="C128" s="1247"/>
      <c r="D128" s="1247"/>
      <c r="E128" s="1247"/>
      <c r="F128" s="1247"/>
      <c r="G128" s="1247"/>
      <c r="H128" s="1247"/>
      <c r="I128" s="1247"/>
      <c r="J128" s="1247"/>
      <c r="K128" s="1254"/>
      <c r="L128" s="1255"/>
      <c r="M128" s="1247"/>
      <c r="N128" s="1247"/>
      <c r="O128" s="1247"/>
      <c r="P128" s="1247"/>
      <c r="Q128" s="1247"/>
      <c r="R128" s="1247"/>
      <c r="S128" s="1247"/>
      <c r="T128" s="1247"/>
    </row>
    <row r="129" spans="1:20">
      <c r="A129" s="1247"/>
      <c r="B129" s="1247"/>
      <c r="C129" s="1247"/>
      <c r="D129" s="1247"/>
      <c r="E129" s="1247"/>
      <c r="F129" s="1247"/>
      <c r="G129" s="1247"/>
      <c r="H129" s="1247"/>
      <c r="I129" s="1247"/>
      <c r="J129" s="1247"/>
      <c r="K129" s="1254"/>
      <c r="L129" s="1255"/>
      <c r="M129" s="1247"/>
      <c r="N129" s="1247"/>
      <c r="O129" s="1247"/>
      <c r="P129" s="1247"/>
      <c r="Q129" s="1247"/>
      <c r="R129" s="1247"/>
      <c r="S129" s="1247"/>
      <c r="T129" s="1247"/>
    </row>
    <row r="130" spans="1:20">
      <c r="A130" s="1247"/>
      <c r="B130" s="1247"/>
      <c r="C130" s="1247"/>
      <c r="D130" s="1247"/>
      <c r="E130" s="1247"/>
      <c r="F130" s="1247"/>
      <c r="G130" s="1247"/>
      <c r="H130" s="1247"/>
      <c r="I130" s="1247"/>
      <c r="J130" s="1247"/>
      <c r="K130" s="1254"/>
      <c r="L130" s="1255"/>
      <c r="M130" s="1247"/>
      <c r="N130" s="1247"/>
      <c r="O130" s="1247"/>
      <c r="P130" s="1247"/>
      <c r="Q130" s="1247"/>
      <c r="R130" s="1247"/>
      <c r="S130" s="1247"/>
      <c r="T130" s="1247"/>
    </row>
    <row r="131" spans="1:20">
      <c r="A131" s="1247"/>
      <c r="B131" s="1247"/>
      <c r="C131" s="1247"/>
      <c r="D131" s="1247"/>
      <c r="E131" s="1247"/>
      <c r="F131" s="1247"/>
      <c r="G131" s="1247"/>
      <c r="H131" s="1247"/>
      <c r="I131" s="1247"/>
      <c r="J131" s="1247"/>
      <c r="K131" s="1254"/>
      <c r="L131" s="1255"/>
      <c r="M131" s="1247"/>
      <c r="N131" s="1247"/>
      <c r="O131" s="1247"/>
      <c r="P131" s="1247"/>
      <c r="Q131" s="1247"/>
      <c r="R131" s="1247"/>
      <c r="S131" s="1247"/>
      <c r="T131" s="1247"/>
    </row>
    <row r="132" spans="1:20">
      <c r="A132" s="1247"/>
      <c r="B132" s="1247"/>
      <c r="C132" s="1247"/>
      <c r="D132" s="1247"/>
      <c r="E132" s="1247"/>
      <c r="F132" s="1247"/>
      <c r="G132" s="1247"/>
      <c r="H132" s="1247"/>
      <c r="I132" s="1247"/>
      <c r="J132" s="1247"/>
      <c r="K132" s="1254"/>
      <c r="L132" s="1255"/>
      <c r="M132" s="1247"/>
      <c r="N132" s="1247"/>
      <c r="O132" s="1247"/>
      <c r="P132" s="1247"/>
      <c r="Q132" s="1247"/>
      <c r="R132" s="1247"/>
      <c r="S132" s="1247"/>
      <c r="T132" s="1247"/>
    </row>
    <row r="133" spans="1:20">
      <c r="A133" s="1247"/>
      <c r="B133" s="1247"/>
      <c r="C133" s="1247"/>
      <c r="D133" s="1247"/>
      <c r="E133" s="1247"/>
      <c r="F133" s="1247"/>
      <c r="G133" s="1247"/>
      <c r="H133" s="1247"/>
      <c r="I133" s="1247"/>
      <c r="J133" s="1247"/>
      <c r="K133" s="1254"/>
      <c r="L133" s="1255"/>
      <c r="M133" s="1247"/>
      <c r="N133" s="1247"/>
      <c r="O133" s="1247"/>
      <c r="P133" s="1247"/>
      <c r="Q133" s="1247"/>
      <c r="R133" s="1247"/>
      <c r="S133" s="1247"/>
      <c r="T133" s="1247"/>
    </row>
    <row r="134" spans="1:20">
      <c r="A134" s="1247"/>
      <c r="B134" s="1247"/>
      <c r="C134" s="1247"/>
      <c r="D134" s="1247"/>
      <c r="E134" s="1247"/>
      <c r="F134" s="1247"/>
      <c r="G134" s="1247"/>
      <c r="H134" s="1247"/>
      <c r="I134" s="1247"/>
      <c r="J134" s="1247"/>
      <c r="K134" s="1254"/>
      <c r="L134" s="1255"/>
      <c r="M134" s="1247"/>
      <c r="N134" s="1247"/>
      <c r="O134" s="1247"/>
      <c r="P134" s="1247"/>
      <c r="Q134" s="1247"/>
      <c r="R134" s="1247"/>
      <c r="S134" s="1247"/>
      <c r="T134" s="1247"/>
    </row>
    <row r="135" spans="1:20">
      <c r="A135" s="1247"/>
      <c r="B135" s="1247"/>
      <c r="C135" s="1247"/>
      <c r="D135" s="1247"/>
      <c r="E135" s="1247"/>
      <c r="F135" s="1247"/>
      <c r="G135" s="1247"/>
      <c r="H135" s="1247"/>
      <c r="I135" s="1247"/>
      <c r="J135" s="1247"/>
      <c r="K135" s="1254"/>
      <c r="L135" s="1255"/>
      <c r="M135" s="1247"/>
      <c r="N135" s="1247"/>
      <c r="O135" s="1247"/>
      <c r="P135" s="1247"/>
      <c r="Q135" s="1247"/>
      <c r="R135" s="1247"/>
      <c r="S135" s="1247"/>
      <c r="T135" s="1247"/>
    </row>
    <row r="136" spans="1:20">
      <c r="A136" s="1247"/>
      <c r="B136" s="1247"/>
      <c r="C136" s="1247"/>
      <c r="D136" s="1247"/>
      <c r="E136" s="1247"/>
      <c r="F136" s="1247"/>
      <c r="G136" s="1247"/>
      <c r="H136" s="1247"/>
      <c r="I136" s="1247"/>
      <c r="J136" s="1247"/>
      <c r="K136" s="1254"/>
      <c r="L136" s="1255"/>
      <c r="M136" s="1247"/>
      <c r="N136" s="1247"/>
      <c r="O136" s="1247"/>
      <c r="P136" s="1247"/>
      <c r="Q136" s="1247"/>
      <c r="R136" s="1247"/>
      <c r="S136" s="1247"/>
      <c r="T136" s="1247"/>
    </row>
    <row r="137" spans="1:20">
      <c r="A137" s="1247"/>
      <c r="B137" s="1247"/>
      <c r="C137" s="1247"/>
      <c r="D137" s="1247"/>
      <c r="E137" s="1247"/>
      <c r="F137" s="1247"/>
      <c r="G137" s="1247"/>
      <c r="H137" s="1247"/>
      <c r="I137" s="1247"/>
      <c r="J137" s="1247"/>
      <c r="K137" s="1254"/>
      <c r="L137" s="1255"/>
      <c r="M137" s="1247"/>
      <c r="N137" s="1247"/>
      <c r="O137" s="1247"/>
      <c r="P137" s="1247"/>
      <c r="Q137" s="1247"/>
      <c r="R137" s="1247"/>
      <c r="S137" s="1247"/>
      <c r="T137" s="1247"/>
    </row>
    <row r="138" spans="1:20">
      <c r="A138" s="1247"/>
      <c r="B138" s="1247"/>
      <c r="C138" s="1247"/>
      <c r="D138" s="1247"/>
      <c r="E138" s="1247"/>
      <c r="F138" s="1247"/>
      <c r="G138" s="1247"/>
      <c r="H138" s="1247"/>
      <c r="I138" s="1247"/>
      <c r="J138" s="1247"/>
      <c r="K138" s="1254"/>
      <c r="L138" s="1255"/>
      <c r="M138" s="1247"/>
      <c r="N138" s="1247"/>
      <c r="O138" s="1247"/>
      <c r="P138" s="1247"/>
      <c r="Q138" s="1247"/>
      <c r="R138" s="1247"/>
      <c r="S138" s="1247"/>
      <c r="T138" s="1247"/>
    </row>
    <row r="139" spans="1:20">
      <c r="A139" s="1247"/>
      <c r="B139" s="1247"/>
      <c r="C139" s="1247"/>
      <c r="D139" s="1247"/>
      <c r="E139" s="1247"/>
      <c r="F139" s="1247"/>
      <c r="G139" s="1247"/>
      <c r="H139" s="1247"/>
      <c r="I139" s="1247"/>
      <c r="J139" s="1247"/>
      <c r="K139" s="1254"/>
      <c r="L139" s="1255"/>
      <c r="M139" s="1247"/>
      <c r="N139" s="1247"/>
      <c r="O139" s="1247"/>
      <c r="P139" s="1247"/>
      <c r="Q139" s="1247"/>
      <c r="R139" s="1247"/>
      <c r="S139" s="1247"/>
      <c r="T139" s="1247"/>
    </row>
    <row r="140" spans="1:20">
      <c r="A140" s="1247"/>
      <c r="B140" s="1247"/>
      <c r="C140" s="1247"/>
      <c r="D140" s="1247"/>
      <c r="E140" s="1247"/>
      <c r="F140" s="1247"/>
      <c r="G140" s="1247"/>
      <c r="H140" s="1247"/>
      <c r="I140" s="1247"/>
      <c r="J140" s="1247"/>
      <c r="K140" s="1254"/>
      <c r="L140" s="1255"/>
      <c r="M140" s="1247"/>
      <c r="N140" s="1247"/>
      <c r="O140" s="1247"/>
      <c r="P140" s="1247"/>
      <c r="Q140" s="1247"/>
      <c r="R140" s="1247"/>
      <c r="S140" s="1247"/>
      <c r="T140" s="1247"/>
    </row>
    <row r="141" spans="1:20">
      <c r="A141" s="1247"/>
      <c r="B141" s="1247"/>
      <c r="C141" s="1247"/>
      <c r="D141" s="1247"/>
      <c r="E141" s="1247"/>
      <c r="F141" s="1247"/>
      <c r="G141" s="1247"/>
      <c r="H141" s="1247"/>
      <c r="I141" s="1247"/>
      <c r="J141" s="1247"/>
      <c r="K141" s="1254"/>
      <c r="L141" s="1255"/>
      <c r="M141" s="1247"/>
      <c r="N141" s="1247"/>
      <c r="O141" s="1247"/>
      <c r="P141" s="1247"/>
      <c r="Q141" s="1247"/>
      <c r="R141" s="1247"/>
      <c r="S141" s="1247"/>
      <c r="T141" s="1247"/>
    </row>
    <row r="142" spans="1:20">
      <c r="A142" s="1247"/>
      <c r="B142" s="1247"/>
      <c r="C142" s="1247"/>
      <c r="D142" s="1247"/>
      <c r="E142" s="1247"/>
      <c r="F142" s="1247"/>
      <c r="G142" s="1247"/>
      <c r="H142" s="1247"/>
      <c r="I142" s="1247"/>
      <c r="J142" s="1247"/>
      <c r="K142" s="1254"/>
      <c r="L142" s="1255"/>
      <c r="M142" s="1247"/>
      <c r="N142" s="1247"/>
      <c r="O142" s="1247"/>
      <c r="P142" s="1247"/>
      <c r="Q142" s="1247"/>
      <c r="R142" s="1247"/>
      <c r="S142" s="1247"/>
      <c r="T142" s="1247"/>
    </row>
    <row r="143" spans="1:20">
      <c r="A143" s="1247"/>
      <c r="B143" s="1247"/>
      <c r="C143" s="1247"/>
      <c r="D143" s="1247"/>
      <c r="E143" s="1247"/>
      <c r="F143" s="1247"/>
      <c r="G143" s="1247"/>
      <c r="H143" s="1247"/>
      <c r="I143" s="1247"/>
      <c r="J143" s="1247"/>
      <c r="K143" s="1254"/>
      <c r="L143" s="1255"/>
      <c r="M143" s="1247"/>
      <c r="N143" s="1247"/>
      <c r="O143" s="1247"/>
      <c r="P143" s="1247"/>
      <c r="Q143" s="1247"/>
      <c r="R143" s="1247"/>
      <c r="S143" s="1247"/>
      <c r="T143" s="1247"/>
    </row>
    <row r="144" spans="1:20">
      <c r="A144" s="1247"/>
      <c r="B144" s="1247"/>
      <c r="C144" s="1247"/>
      <c r="D144" s="1247"/>
      <c r="E144" s="1247"/>
      <c r="F144" s="1247"/>
      <c r="G144" s="1247"/>
      <c r="H144" s="1247"/>
      <c r="I144" s="1247"/>
      <c r="J144" s="1247"/>
      <c r="K144" s="1254"/>
      <c r="L144" s="1255"/>
      <c r="M144" s="1247"/>
      <c r="N144" s="1247"/>
      <c r="O144" s="1247"/>
      <c r="P144" s="1247"/>
      <c r="Q144" s="1247"/>
      <c r="R144" s="1247"/>
      <c r="S144" s="1247"/>
      <c r="T144" s="1247"/>
    </row>
    <row r="145" spans="1:20">
      <c r="A145" s="1247"/>
      <c r="B145" s="1247"/>
      <c r="C145" s="1247"/>
      <c r="D145" s="1247"/>
      <c r="E145" s="1247"/>
      <c r="F145" s="1247"/>
      <c r="G145" s="1247"/>
      <c r="H145" s="1247"/>
      <c r="I145" s="1247"/>
      <c r="J145" s="1247"/>
      <c r="K145" s="1254"/>
      <c r="L145" s="1255"/>
      <c r="M145" s="1247"/>
      <c r="N145" s="1247"/>
      <c r="O145" s="1247"/>
      <c r="P145" s="1247"/>
      <c r="Q145" s="1247"/>
      <c r="R145" s="1247"/>
      <c r="S145" s="1247"/>
      <c r="T145" s="1247"/>
    </row>
    <row r="146" spans="1:20">
      <c r="A146" s="1247"/>
      <c r="B146" s="1247"/>
      <c r="C146" s="1247"/>
      <c r="D146" s="1247"/>
      <c r="E146" s="1247"/>
      <c r="F146" s="1247"/>
      <c r="G146" s="1247"/>
      <c r="H146" s="1247"/>
      <c r="I146" s="1247"/>
      <c r="J146" s="1247"/>
      <c r="K146" s="1254"/>
      <c r="L146" s="1255"/>
      <c r="M146" s="1247"/>
      <c r="N146" s="1247"/>
      <c r="O146" s="1247"/>
      <c r="P146" s="1247"/>
      <c r="Q146" s="1247"/>
      <c r="R146" s="1247"/>
      <c r="S146" s="1247"/>
      <c r="T146" s="1247"/>
    </row>
    <row r="147" spans="1:20">
      <c r="A147" s="1247"/>
      <c r="B147" s="1247"/>
      <c r="C147" s="1247"/>
      <c r="D147" s="1247"/>
      <c r="E147" s="1247"/>
      <c r="F147" s="1247"/>
      <c r="G147" s="1247"/>
      <c r="H147" s="1247"/>
      <c r="I147" s="1247"/>
      <c r="J147" s="1247"/>
      <c r="K147" s="1254"/>
      <c r="L147" s="1255"/>
      <c r="M147" s="1247"/>
      <c r="N147" s="1247"/>
      <c r="O147" s="1247"/>
      <c r="P147" s="1247"/>
      <c r="Q147" s="1247"/>
      <c r="R147" s="1247"/>
      <c r="S147" s="1247"/>
      <c r="T147" s="1247"/>
    </row>
    <row r="148" spans="1:20">
      <c r="A148" s="1247"/>
      <c r="B148" s="1247"/>
      <c r="C148" s="1247"/>
      <c r="D148" s="1247"/>
      <c r="E148" s="1247"/>
      <c r="F148" s="1247"/>
      <c r="G148" s="1247"/>
      <c r="H148" s="1247"/>
      <c r="I148" s="1247"/>
      <c r="J148" s="1247"/>
      <c r="K148" s="1254"/>
      <c r="L148" s="1255"/>
      <c r="M148" s="1247"/>
      <c r="N148" s="1247"/>
      <c r="O148" s="1247"/>
      <c r="P148" s="1247"/>
      <c r="Q148" s="1247"/>
      <c r="R148" s="1247"/>
      <c r="S148" s="1247"/>
      <c r="T148" s="1247"/>
    </row>
    <row r="149" spans="1:20">
      <c r="A149" s="1247"/>
      <c r="B149" s="1247"/>
      <c r="C149" s="1247"/>
      <c r="D149" s="1247"/>
      <c r="E149" s="1247"/>
      <c r="F149" s="1247"/>
      <c r="G149" s="1247"/>
      <c r="H149" s="1247"/>
      <c r="I149" s="1247"/>
      <c r="J149" s="1247"/>
      <c r="K149" s="1254"/>
      <c r="L149" s="1255"/>
      <c r="M149" s="1247"/>
      <c r="N149" s="1247"/>
      <c r="O149" s="1247"/>
      <c r="P149" s="1247"/>
      <c r="Q149" s="1247"/>
      <c r="R149" s="1247"/>
      <c r="S149" s="1247"/>
      <c r="T149" s="1247"/>
    </row>
    <row r="150" spans="1:20">
      <c r="A150" s="1247"/>
      <c r="B150" s="1247"/>
      <c r="C150" s="1247"/>
      <c r="D150" s="1247"/>
      <c r="E150" s="1247"/>
      <c r="F150" s="1247"/>
      <c r="G150" s="1247"/>
      <c r="H150" s="1247"/>
      <c r="I150" s="1247"/>
      <c r="J150" s="1247"/>
      <c r="K150" s="1254"/>
      <c r="L150" s="1255"/>
      <c r="M150" s="1247"/>
      <c r="N150" s="1247"/>
      <c r="O150" s="1247"/>
      <c r="P150" s="1247"/>
      <c r="Q150" s="1247"/>
      <c r="R150" s="1247"/>
      <c r="S150" s="1247"/>
      <c r="T150" s="1247"/>
    </row>
    <row r="151" spans="1:20">
      <c r="A151" s="1247"/>
      <c r="B151" s="1247"/>
      <c r="C151" s="1247"/>
      <c r="D151" s="1247"/>
      <c r="E151" s="1247"/>
      <c r="F151" s="1247"/>
      <c r="G151" s="1247"/>
      <c r="H151" s="1247"/>
      <c r="I151" s="1247"/>
      <c r="J151" s="1247"/>
      <c r="K151" s="1254"/>
      <c r="L151" s="1255"/>
      <c r="M151" s="1247"/>
      <c r="N151" s="1247"/>
      <c r="O151" s="1247"/>
      <c r="P151" s="1247"/>
      <c r="Q151" s="1247"/>
      <c r="R151" s="1247"/>
      <c r="S151" s="1247"/>
      <c r="T151" s="1247"/>
    </row>
    <row r="152" spans="1:20">
      <c r="A152" s="1247"/>
      <c r="B152" s="1247"/>
      <c r="C152" s="1247"/>
      <c r="D152" s="1247"/>
      <c r="E152" s="1247"/>
      <c r="F152" s="1247"/>
      <c r="G152" s="1247"/>
      <c r="H152" s="1247"/>
      <c r="I152" s="1247"/>
      <c r="J152" s="1247"/>
      <c r="K152" s="1254"/>
      <c r="L152" s="1255"/>
      <c r="M152" s="1247"/>
      <c r="N152" s="1247"/>
      <c r="O152" s="1247"/>
      <c r="P152" s="1247"/>
      <c r="Q152" s="1247"/>
      <c r="R152" s="1247"/>
      <c r="S152" s="1247"/>
      <c r="T152" s="1247"/>
    </row>
    <row r="153" spans="1:20">
      <c r="A153" s="1247"/>
      <c r="B153" s="1247"/>
      <c r="C153" s="1247"/>
      <c r="D153" s="1247"/>
      <c r="E153" s="1247"/>
      <c r="F153" s="1247"/>
      <c r="G153" s="1247"/>
      <c r="H153" s="1247"/>
      <c r="I153" s="1247"/>
      <c r="J153" s="1247"/>
      <c r="K153" s="1254"/>
      <c r="L153" s="1255"/>
      <c r="M153" s="1247"/>
      <c r="N153" s="1247"/>
      <c r="O153" s="1247"/>
      <c r="P153" s="1247"/>
      <c r="Q153" s="1247"/>
      <c r="R153" s="1247"/>
      <c r="S153" s="1247"/>
      <c r="T153" s="1247"/>
    </row>
    <row r="154" spans="1:20">
      <c r="A154" s="1247"/>
      <c r="B154" s="1247"/>
      <c r="C154" s="1247"/>
      <c r="D154" s="1247"/>
      <c r="E154" s="1247"/>
      <c r="F154" s="1247"/>
      <c r="G154" s="1247"/>
      <c r="H154" s="1247"/>
      <c r="I154" s="1247"/>
      <c r="J154" s="1247"/>
      <c r="K154" s="1254"/>
      <c r="L154" s="1255"/>
      <c r="M154" s="1247"/>
      <c r="N154" s="1247"/>
      <c r="O154" s="1247"/>
      <c r="P154" s="1247"/>
      <c r="Q154" s="1247"/>
      <c r="R154" s="1247"/>
      <c r="S154" s="1247"/>
      <c r="T154" s="1247"/>
    </row>
    <row r="155" spans="1:20">
      <c r="A155" s="1247"/>
      <c r="B155" s="1247"/>
      <c r="C155" s="1247"/>
      <c r="D155" s="1247"/>
      <c r="E155" s="1247"/>
      <c r="F155" s="1247"/>
      <c r="G155" s="1247"/>
      <c r="H155" s="1247"/>
      <c r="I155" s="1247"/>
      <c r="J155" s="1247"/>
      <c r="K155" s="1254"/>
      <c r="L155" s="1255"/>
      <c r="M155" s="1247"/>
      <c r="N155" s="1247"/>
      <c r="O155" s="1247"/>
      <c r="P155" s="1247"/>
      <c r="Q155" s="1247"/>
      <c r="R155" s="1247"/>
      <c r="S155" s="1247"/>
      <c r="T155" s="1247"/>
    </row>
    <row r="156" spans="1:20">
      <c r="A156" s="1247"/>
      <c r="B156" s="1247"/>
      <c r="C156" s="1247"/>
      <c r="D156" s="1247"/>
      <c r="E156" s="1247"/>
      <c r="F156" s="1247"/>
      <c r="G156" s="1247"/>
      <c r="H156" s="1247"/>
      <c r="I156" s="1247"/>
      <c r="J156" s="1247"/>
      <c r="K156" s="1254"/>
      <c r="L156" s="1255"/>
      <c r="M156" s="1247"/>
      <c r="N156" s="1247"/>
      <c r="O156" s="1247"/>
      <c r="P156" s="1247"/>
      <c r="Q156" s="1247"/>
      <c r="R156" s="1247"/>
      <c r="S156" s="1247"/>
      <c r="T156" s="1247"/>
    </row>
    <row r="157" spans="1:20">
      <c r="A157" s="1247"/>
      <c r="B157" s="1247"/>
      <c r="C157" s="1247"/>
      <c r="D157" s="1247"/>
      <c r="E157" s="1247"/>
      <c r="F157" s="1247"/>
      <c r="G157" s="1247"/>
      <c r="H157" s="1247"/>
      <c r="I157" s="1247"/>
      <c r="J157" s="1247"/>
      <c r="K157" s="1254"/>
      <c r="L157" s="1255"/>
      <c r="M157" s="1247"/>
      <c r="N157" s="1247"/>
      <c r="O157" s="1247"/>
      <c r="P157" s="1247"/>
      <c r="Q157" s="1247"/>
      <c r="R157" s="1247"/>
      <c r="S157" s="1247"/>
      <c r="T157" s="1247"/>
    </row>
    <row r="158" spans="1:20">
      <c r="A158" s="1247"/>
      <c r="B158" s="1247"/>
      <c r="C158" s="1247"/>
      <c r="D158" s="1247"/>
      <c r="E158" s="1247"/>
      <c r="F158" s="1247"/>
      <c r="G158" s="1247"/>
      <c r="H158" s="1247"/>
      <c r="I158" s="1247"/>
      <c r="J158" s="1247"/>
      <c r="K158" s="1254"/>
      <c r="L158" s="1255"/>
      <c r="M158" s="1247"/>
      <c r="N158" s="1247"/>
      <c r="O158" s="1247"/>
      <c r="P158" s="1247"/>
      <c r="Q158" s="1247"/>
      <c r="R158" s="1247"/>
      <c r="S158" s="1247"/>
      <c r="T158" s="1247"/>
    </row>
    <row r="159" spans="1:20">
      <c r="A159" s="1247"/>
      <c r="B159" s="1247"/>
      <c r="C159" s="1247"/>
      <c r="D159" s="1247"/>
      <c r="E159" s="1247"/>
      <c r="F159" s="1247"/>
      <c r="G159" s="1247"/>
      <c r="H159" s="1247"/>
      <c r="I159" s="1247"/>
      <c r="J159" s="1247"/>
      <c r="K159" s="1254"/>
      <c r="L159" s="1255"/>
      <c r="M159" s="1247"/>
      <c r="N159" s="1247"/>
      <c r="O159" s="1247"/>
      <c r="P159" s="1247"/>
      <c r="Q159" s="1247"/>
      <c r="R159" s="1247"/>
      <c r="S159" s="1247"/>
      <c r="T159" s="1247"/>
    </row>
    <row r="160" spans="1:20">
      <c r="A160" s="1247"/>
      <c r="B160" s="1247"/>
      <c r="C160" s="1247"/>
      <c r="D160" s="1247"/>
      <c r="E160" s="1247"/>
      <c r="F160" s="1247"/>
      <c r="G160" s="1247"/>
      <c r="H160" s="1247"/>
      <c r="I160" s="1247"/>
      <c r="J160" s="1247"/>
      <c r="K160" s="1254"/>
      <c r="L160" s="1255"/>
      <c r="M160" s="1247"/>
      <c r="N160" s="1247"/>
      <c r="O160" s="1247"/>
      <c r="P160" s="1247"/>
      <c r="Q160" s="1247"/>
      <c r="R160" s="1247"/>
      <c r="S160" s="1247"/>
      <c r="T160" s="1247"/>
    </row>
    <row r="161" spans="1:20">
      <c r="A161" s="1247"/>
      <c r="B161" s="1247"/>
      <c r="C161" s="1247"/>
      <c r="D161" s="1247"/>
      <c r="E161" s="1247"/>
      <c r="F161" s="1247"/>
      <c r="G161" s="1247"/>
      <c r="H161" s="1247"/>
      <c r="I161" s="1247"/>
      <c r="J161" s="1247"/>
      <c r="K161" s="1254"/>
      <c r="L161" s="1255"/>
      <c r="M161" s="1247"/>
      <c r="N161" s="1247"/>
      <c r="O161" s="1247"/>
      <c r="P161" s="1247"/>
      <c r="Q161" s="1247"/>
      <c r="R161" s="1247"/>
      <c r="S161" s="1247"/>
      <c r="T161" s="1247"/>
    </row>
    <row r="162" spans="1:20">
      <c r="A162" s="1247"/>
      <c r="B162" s="1247"/>
      <c r="C162" s="1247"/>
      <c r="D162" s="1247"/>
      <c r="E162" s="1247"/>
      <c r="F162" s="1247"/>
      <c r="G162" s="1247"/>
      <c r="H162" s="1247"/>
      <c r="I162" s="1247"/>
      <c r="J162" s="1247"/>
      <c r="K162" s="1254"/>
      <c r="L162" s="1255"/>
      <c r="M162" s="1247"/>
      <c r="N162" s="1247"/>
      <c r="O162" s="1247"/>
      <c r="P162" s="1247"/>
      <c r="Q162" s="1247"/>
      <c r="R162" s="1247"/>
      <c r="S162" s="1247"/>
      <c r="T162" s="1247"/>
    </row>
    <row r="163" spans="1:20">
      <c r="A163" s="1247"/>
      <c r="B163" s="1247"/>
      <c r="C163" s="1247"/>
      <c r="D163" s="1247"/>
      <c r="E163" s="1247"/>
      <c r="F163" s="1247"/>
      <c r="G163" s="1247"/>
      <c r="H163" s="1247"/>
      <c r="I163" s="1247"/>
      <c r="J163" s="1247"/>
      <c r="K163" s="1254"/>
      <c r="L163" s="1255"/>
      <c r="M163" s="1247"/>
      <c r="N163" s="1247"/>
      <c r="O163" s="1247"/>
      <c r="P163" s="1247"/>
      <c r="Q163" s="1247"/>
      <c r="R163" s="1247"/>
      <c r="S163" s="1247"/>
      <c r="T163" s="1247"/>
    </row>
    <row r="164" spans="1:20">
      <c r="A164" s="1247"/>
      <c r="B164" s="1247"/>
      <c r="C164" s="1247"/>
      <c r="D164" s="1247"/>
      <c r="E164" s="1247"/>
      <c r="F164" s="1247"/>
      <c r="G164" s="1247"/>
      <c r="H164" s="1247"/>
      <c r="I164" s="1247"/>
      <c r="J164" s="1247"/>
      <c r="K164" s="1254"/>
      <c r="L164" s="1255"/>
      <c r="M164" s="1247"/>
      <c r="N164" s="1247"/>
      <c r="O164" s="1247"/>
      <c r="P164" s="1247"/>
      <c r="Q164" s="1247"/>
      <c r="R164" s="1247"/>
      <c r="S164" s="1247"/>
      <c r="T164" s="1247"/>
    </row>
    <row r="165" spans="1:20">
      <c r="A165" s="1247"/>
      <c r="B165" s="1247"/>
      <c r="C165" s="1247"/>
      <c r="D165" s="1247"/>
      <c r="E165" s="1247"/>
      <c r="F165" s="1247"/>
      <c r="G165" s="1247"/>
      <c r="H165" s="1247"/>
      <c r="I165" s="1247"/>
      <c r="J165" s="1247"/>
      <c r="K165" s="1254"/>
      <c r="L165" s="1255"/>
      <c r="M165" s="1247"/>
      <c r="N165" s="1247"/>
      <c r="O165" s="1247"/>
      <c r="P165" s="1247"/>
      <c r="Q165" s="1247"/>
      <c r="R165" s="1247"/>
      <c r="S165" s="1247"/>
      <c r="T165" s="1247"/>
    </row>
    <row r="166" spans="1:20">
      <c r="A166" s="1247"/>
      <c r="B166" s="1247"/>
      <c r="C166" s="1247"/>
      <c r="D166" s="1247"/>
      <c r="E166" s="1247"/>
      <c r="F166" s="1247"/>
      <c r="G166" s="1247"/>
      <c r="H166" s="1247"/>
      <c r="I166" s="1247"/>
      <c r="J166" s="1247"/>
      <c r="K166" s="1254"/>
      <c r="L166" s="1255"/>
      <c r="M166" s="1247"/>
      <c r="N166" s="1247"/>
      <c r="O166" s="1247"/>
      <c r="P166" s="1247"/>
      <c r="Q166" s="1247"/>
      <c r="R166" s="1247"/>
      <c r="S166" s="1247"/>
      <c r="T166" s="1247"/>
    </row>
    <row r="167" spans="1:20">
      <c r="A167" s="1247"/>
      <c r="B167" s="1247"/>
      <c r="C167" s="1247"/>
      <c r="D167" s="1247"/>
      <c r="E167" s="1247"/>
      <c r="F167" s="1247"/>
      <c r="G167" s="1247"/>
      <c r="H167" s="1247"/>
      <c r="I167" s="1247"/>
      <c r="J167" s="1247"/>
      <c r="K167" s="1254"/>
      <c r="L167" s="1255"/>
      <c r="M167" s="1247"/>
      <c r="N167" s="1247"/>
      <c r="O167" s="1247"/>
      <c r="P167" s="1247"/>
      <c r="Q167" s="1247"/>
      <c r="R167" s="1247"/>
      <c r="S167" s="1247"/>
      <c r="T167" s="1247"/>
    </row>
    <row r="168" spans="1:20">
      <c r="A168" s="1247"/>
      <c r="B168" s="1247"/>
      <c r="C168" s="1247"/>
      <c r="D168" s="1247"/>
      <c r="E168" s="1247"/>
      <c r="F168" s="1247"/>
      <c r="G168" s="1247"/>
      <c r="H168" s="1247"/>
      <c r="I168" s="1247"/>
      <c r="J168" s="1247"/>
      <c r="K168" s="1254"/>
      <c r="L168" s="1255"/>
      <c r="M168" s="1247"/>
      <c r="N168" s="1247"/>
      <c r="O168" s="1247"/>
      <c r="P168" s="1247"/>
      <c r="Q168" s="1247"/>
      <c r="R168" s="1247"/>
      <c r="S168" s="1247"/>
      <c r="T168" s="1247"/>
    </row>
    <row r="169" spans="1:20">
      <c r="A169" s="1247"/>
      <c r="B169" s="1247"/>
      <c r="C169" s="1247"/>
      <c r="D169" s="1247"/>
      <c r="E169" s="1247"/>
      <c r="F169" s="1247"/>
      <c r="G169" s="1247"/>
      <c r="H169" s="1247"/>
      <c r="I169" s="1247"/>
      <c r="J169" s="1247"/>
      <c r="K169" s="1254"/>
      <c r="L169" s="1255"/>
      <c r="M169" s="1247"/>
      <c r="N169" s="1247"/>
      <c r="O169" s="1247"/>
      <c r="P169" s="1247"/>
      <c r="Q169" s="1247"/>
      <c r="R169" s="1247"/>
      <c r="S169" s="1247"/>
      <c r="T169" s="1247"/>
    </row>
    <row r="170" spans="1:20">
      <c r="A170" s="1247"/>
      <c r="B170" s="1247"/>
      <c r="C170" s="1247"/>
      <c r="D170" s="1247"/>
      <c r="E170" s="1247"/>
      <c r="F170" s="1247"/>
      <c r="G170" s="1247"/>
      <c r="H170" s="1247"/>
      <c r="I170" s="1247"/>
      <c r="J170" s="1247"/>
      <c r="K170" s="1254"/>
      <c r="L170" s="1255"/>
      <c r="M170" s="1247"/>
      <c r="N170" s="1247"/>
      <c r="O170" s="1247"/>
      <c r="P170" s="1247"/>
      <c r="Q170" s="1247"/>
      <c r="R170" s="1247"/>
      <c r="S170" s="1247"/>
      <c r="T170" s="1247"/>
    </row>
    <row r="171" spans="1:20">
      <c r="A171" s="1247"/>
      <c r="B171" s="1247"/>
      <c r="C171" s="1247"/>
      <c r="D171" s="1247"/>
      <c r="E171" s="1247"/>
      <c r="F171" s="1247"/>
      <c r="G171" s="1247"/>
      <c r="H171" s="1247"/>
      <c r="I171" s="1247"/>
      <c r="J171" s="1247"/>
      <c r="K171" s="1254"/>
      <c r="L171" s="1255"/>
      <c r="M171" s="1247"/>
      <c r="N171" s="1247"/>
      <c r="O171" s="1247"/>
      <c r="P171" s="1247"/>
      <c r="Q171" s="1247"/>
      <c r="R171" s="1247"/>
      <c r="S171" s="1247"/>
      <c r="T171" s="1247"/>
    </row>
    <row r="172" spans="1:20">
      <c r="A172" s="1247"/>
      <c r="B172" s="1247"/>
      <c r="C172" s="1247"/>
      <c r="D172" s="1247"/>
      <c r="E172" s="1247"/>
      <c r="F172" s="1247"/>
      <c r="G172" s="1247"/>
      <c r="H172" s="1247"/>
      <c r="I172" s="1247"/>
      <c r="J172" s="1247"/>
      <c r="K172" s="1254"/>
      <c r="L172" s="1255"/>
      <c r="M172" s="1247"/>
      <c r="N172" s="1247"/>
      <c r="O172" s="1247"/>
      <c r="P172" s="1247"/>
      <c r="Q172" s="1247"/>
      <c r="R172" s="1247"/>
      <c r="S172" s="1247"/>
      <c r="T172" s="1247"/>
    </row>
    <row r="173" spans="1:20">
      <c r="A173" s="1247"/>
      <c r="B173" s="1247"/>
      <c r="C173" s="1247"/>
      <c r="D173" s="1247"/>
      <c r="E173" s="1247"/>
      <c r="F173" s="1247"/>
      <c r="G173" s="1247"/>
      <c r="H173" s="1247"/>
      <c r="I173" s="1247"/>
      <c r="J173" s="1247"/>
      <c r="K173" s="1254"/>
      <c r="L173" s="1255"/>
      <c r="M173" s="1247"/>
      <c r="N173" s="1247"/>
      <c r="O173" s="1247"/>
      <c r="P173" s="1247"/>
      <c r="Q173" s="1247"/>
      <c r="R173" s="1247"/>
      <c r="S173" s="1247"/>
      <c r="T173" s="1247"/>
    </row>
    <row r="174" spans="1:20">
      <c r="A174" s="1247"/>
      <c r="B174" s="1247"/>
      <c r="C174" s="1247"/>
      <c r="D174" s="1247"/>
      <c r="E174" s="1247"/>
      <c r="F174" s="1247"/>
      <c r="G174" s="1247"/>
      <c r="H174" s="1247"/>
      <c r="I174" s="1247"/>
      <c r="J174" s="1247"/>
      <c r="K174" s="1254"/>
      <c r="L174" s="1255"/>
      <c r="M174" s="1247"/>
      <c r="N174" s="1247"/>
      <c r="O174" s="1247"/>
      <c r="P174" s="1247"/>
      <c r="Q174" s="1247"/>
      <c r="R174" s="1247"/>
      <c r="S174" s="1247"/>
      <c r="T174" s="1247"/>
    </row>
    <row r="175" spans="1:20">
      <c r="A175" s="1247"/>
      <c r="B175" s="1247"/>
      <c r="C175" s="1247"/>
      <c r="D175" s="1247"/>
      <c r="E175" s="1247"/>
      <c r="F175" s="1247"/>
      <c r="G175" s="1247"/>
      <c r="H175" s="1247"/>
      <c r="I175" s="1247"/>
      <c r="J175" s="1247"/>
      <c r="K175" s="1254"/>
      <c r="L175" s="1255"/>
      <c r="M175" s="1247"/>
      <c r="N175" s="1247"/>
      <c r="O175" s="1247"/>
      <c r="P175" s="1247"/>
      <c r="Q175" s="1247"/>
      <c r="R175" s="1247"/>
      <c r="S175" s="1247"/>
      <c r="T175" s="1247"/>
    </row>
    <row r="176" spans="1:20">
      <c r="A176" s="1247"/>
      <c r="B176" s="1247"/>
      <c r="C176" s="1247"/>
      <c r="D176" s="1247"/>
      <c r="E176" s="1247"/>
      <c r="F176" s="1247"/>
      <c r="G176" s="1247"/>
      <c r="H176" s="1247"/>
      <c r="I176" s="1247"/>
      <c r="J176" s="1247"/>
      <c r="K176" s="1254"/>
      <c r="L176" s="1255"/>
      <c r="M176" s="1247"/>
      <c r="N176" s="1247"/>
      <c r="O176" s="1247"/>
      <c r="P176" s="1247"/>
      <c r="Q176" s="1247"/>
      <c r="R176" s="1247"/>
      <c r="S176" s="1247"/>
      <c r="T176" s="1247"/>
    </row>
    <row r="177" spans="1:20">
      <c r="A177" s="1247"/>
      <c r="B177" s="1247"/>
      <c r="C177" s="1247"/>
      <c r="D177" s="1247"/>
      <c r="E177" s="1247"/>
      <c r="F177" s="1247"/>
      <c r="G177" s="1247"/>
      <c r="H177" s="1247"/>
      <c r="I177" s="1247"/>
      <c r="J177" s="1247"/>
      <c r="K177" s="1254"/>
      <c r="L177" s="1255"/>
      <c r="M177" s="1247"/>
      <c r="N177" s="1247"/>
      <c r="O177" s="1247"/>
      <c r="P177" s="1247"/>
      <c r="Q177" s="1247"/>
      <c r="R177" s="1247"/>
      <c r="S177" s="1247"/>
      <c r="T177" s="1247"/>
    </row>
    <row r="178" spans="1:20">
      <c r="A178" s="1247"/>
      <c r="B178" s="1247"/>
      <c r="C178" s="1247"/>
      <c r="D178" s="1247"/>
      <c r="E178" s="1247"/>
      <c r="F178" s="1247"/>
      <c r="G178" s="1247"/>
      <c r="H178" s="1247"/>
      <c r="I178" s="1247"/>
      <c r="J178" s="1247"/>
      <c r="K178" s="1254"/>
      <c r="L178" s="1255"/>
      <c r="M178" s="1247"/>
      <c r="N178" s="1247"/>
      <c r="O178" s="1247"/>
      <c r="P178" s="1247"/>
      <c r="Q178" s="1247"/>
      <c r="R178" s="1247"/>
      <c r="S178" s="1247"/>
      <c r="T178" s="1247"/>
    </row>
    <row r="179" spans="1:20">
      <c r="A179" s="1247"/>
      <c r="B179" s="1247"/>
      <c r="C179" s="1247"/>
      <c r="D179" s="1247"/>
      <c r="E179" s="1247"/>
      <c r="F179" s="1247"/>
      <c r="G179" s="1247"/>
      <c r="H179" s="1247"/>
      <c r="I179" s="1247"/>
      <c r="J179" s="1247"/>
      <c r="K179" s="1254"/>
      <c r="L179" s="1255"/>
      <c r="M179" s="1247"/>
      <c r="N179" s="1247"/>
      <c r="O179" s="1247"/>
      <c r="P179" s="1247"/>
      <c r="Q179" s="1247"/>
      <c r="R179" s="1247"/>
      <c r="S179" s="1247"/>
      <c r="T179" s="1247"/>
    </row>
    <row r="180" spans="1:20">
      <c r="A180" s="1247"/>
      <c r="B180" s="1247"/>
      <c r="C180" s="1247"/>
      <c r="D180" s="1247"/>
      <c r="E180" s="1247"/>
      <c r="F180" s="1247"/>
      <c r="G180" s="1247"/>
      <c r="H180" s="1247"/>
      <c r="I180" s="1247"/>
      <c r="J180" s="1247"/>
      <c r="K180" s="1254"/>
      <c r="L180" s="1255"/>
      <c r="M180" s="1247"/>
      <c r="N180" s="1247"/>
      <c r="O180" s="1247"/>
      <c r="P180" s="1247"/>
      <c r="Q180" s="1247"/>
      <c r="R180" s="1247"/>
      <c r="S180" s="1247"/>
      <c r="T180" s="1247"/>
    </row>
    <row r="181" spans="1:20">
      <c r="A181" s="1247"/>
      <c r="B181" s="1247"/>
      <c r="C181" s="1247"/>
      <c r="D181" s="1247"/>
      <c r="E181" s="1247"/>
      <c r="F181" s="1247"/>
      <c r="G181" s="1247"/>
      <c r="H181" s="1247"/>
      <c r="I181" s="1247"/>
      <c r="J181" s="1247"/>
      <c r="K181" s="1254"/>
      <c r="L181" s="1255"/>
      <c r="M181" s="1247"/>
      <c r="N181" s="1247"/>
      <c r="O181" s="1247"/>
      <c r="P181" s="1247"/>
      <c r="Q181" s="1247"/>
      <c r="R181" s="1247"/>
      <c r="S181" s="1247"/>
      <c r="T181" s="1247"/>
    </row>
    <row r="182" spans="1:20">
      <c r="A182" s="1247"/>
      <c r="B182" s="1247"/>
      <c r="C182" s="1247"/>
      <c r="D182" s="1247"/>
      <c r="E182" s="1247"/>
      <c r="F182" s="1247"/>
      <c r="G182" s="1247"/>
      <c r="H182" s="1247"/>
      <c r="I182" s="1247"/>
      <c r="J182" s="1247"/>
      <c r="K182" s="1254"/>
      <c r="L182" s="1255"/>
      <c r="M182" s="1247"/>
      <c r="N182" s="1247"/>
      <c r="O182" s="1247"/>
      <c r="P182" s="1247"/>
      <c r="Q182" s="1247"/>
      <c r="R182" s="1247"/>
      <c r="S182" s="1247"/>
      <c r="T182" s="1247"/>
    </row>
    <row r="183" spans="1:20">
      <c r="A183" s="1247"/>
      <c r="B183" s="1247"/>
      <c r="C183" s="1247"/>
      <c r="D183" s="1247"/>
      <c r="E183" s="1247"/>
      <c r="F183" s="1247"/>
      <c r="G183" s="1247"/>
      <c r="H183" s="1247"/>
      <c r="I183" s="1247"/>
      <c r="J183" s="1247"/>
      <c r="K183" s="1254"/>
      <c r="L183" s="1255"/>
      <c r="M183" s="1247"/>
      <c r="N183" s="1247"/>
      <c r="O183" s="1247"/>
      <c r="P183" s="1247"/>
      <c r="Q183" s="1247"/>
      <c r="R183" s="1247"/>
      <c r="S183" s="1247"/>
      <c r="T183" s="1247"/>
    </row>
    <row r="184" spans="1:20">
      <c r="A184" s="1247"/>
      <c r="B184" s="1247"/>
      <c r="C184" s="1247"/>
      <c r="D184" s="1247"/>
      <c r="E184" s="1247"/>
      <c r="F184" s="1247"/>
      <c r="G184" s="1247"/>
      <c r="H184" s="1247"/>
      <c r="I184" s="1247"/>
      <c r="J184" s="1247"/>
      <c r="K184" s="1254"/>
      <c r="L184" s="1255"/>
      <c r="M184" s="1247"/>
      <c r="N184" s="1247"/>
      <c r="O184" s="1247"/>
      <c r="P184" s="1247"/>
      <c r="Q184" s="1247"/>
      <c r="R184" s="1247"/>
      <c r="S184" s="1247"/>
      <c r="T184" s="1247"/>
    </row>
    <row r="185" spans="1:20">
      <c r="A185" s="1247"/>
      <c r="B185" s="1247"/>
      <c r="C185" s="1247"/>
      <c r="D185" s="1247"/>
      <c r="E185" s="1247"/>
      <c r="F185" s="1247"/>
      <c r="G185" s="1247"/>
      <c r="H185" s="1247"/>
      <c r="I185" s="1247"/>
      <c r="J185" s="1247"/>
      <c r="K185" s="1254"/>
      <c r="L185" s="1255"/>
      <c r="M185" s="1247"/>
      <c r="N185" s="1247"/>
      <c r="O185" s="1247"/>
      <c r="P185" s="1247"/>
      <c r="Q185" s="1247"/>
      <c r="R185" s="1247"/>
      <c r="S185" s="1247"/>
      <c r="T185" s="1247"/>
    </row>
    <row r="186" spans="1:20">
      <c r="A186" s="1247"/>
      <c r="B186" s="1247"/>
      <c r="C186" s="1247"/>
      <c r="D186" s="1247"/>
      <c r="E186" s="1247"/>
      <c r="F186" s="1247"/>
      <c r="G186" s="1247"/>
      <c r="H186" s="1247"/>
      <c r="I186" s="1247"/>
      <c r="J186" s="1247"/>
      <c r="K186" s="1254"/>
      <c r="L186" s="1255"/>
      <c r="M186" s="1247"/>
      <c r="N186" s="1247"/>
      <c r="O186" s="1247"/>
      <c r="P186" s="1247"/>
      <c r="Q186" s="1247"/>
      <c r="R186" s="1247"/>
      <c r="S186" s="1247"/>
      <c r="T186" s="1247"/>
    </row>
    <row r="187" spans="1:20">
      <c r="A187" s="1247"/>
      <c r="B187" s="1247"/>
      <c r="C187" s="1247"/>
      <c r="D187" s="1247"/>
      <c r="E187" s="1247"/>
      <c r="F187" s="1247"/>
      <c r="G187" s="1247"/>
      <c r="H187" s="1247"/>
      <c r="I187" s="1247"/>
      <c r="J187" s="1247"/>
      <c r="K187" s="1254"/>
      <c r="L187" s="1255"/>
      <c r="M187" s="1247"/>
      <c r="N187" s="1247"/>
      <c r="O187" s="1247"/>
      <c r="P187" s="1247"/>
      <c r="Q187" s="1247"/>
      <c r="R187" s="1247"/>
      <c r="S187" s="1247"/>
      <c r="T187" s="1247"/>
    </row>
    <row r="188" spans="1:20">
      <c r="A188" s="1247"/>
      <c r="B188" s="1247"/>
      <c r="C188" s="1247"/>
      <c r="D188" s="1247"/>
      <c r="E188" s="1247"/>
      <c r="F188" s="1247"/>
      <c r="G188" s="1247"/>
      <c r="H188" s="1247"/>
      <c r="I188" s="1247"/>
      <c r="J188" s="1247"/>
      <c r="K188" s="1254"/>
      <c r="L188" s="1255"/>
      <c r="M188" s="1247"/>
      <c r="N188" s="1247"/>
      <c r="O188" s="1247"/>
      <c r="P188" s="1247"/>
      <c r="Q188" s="1247"/>
      <c r="R188" s="1247"/>
      <c r="S188" s="1247"/>
      <c r="T188" s="1247"/>
    </row>
    <row r="189" spans="1:20">
      <c r="A189" s="1247"/>
      <c r="B189" s="1247"/>
      <c r="C189" s="1247"/>
      <c r="D189" s="1247"/>
      <c r="E189" s="1247"/>
      <c r="F189" s="1247"/>
      <c r="G189" s="1247"/>
      <c r="H189" s="1247"/>
      <c r="I189" s="1247"/>
      <c r="J189" s="1247"/>
      <c r="K189" s="1254"/>
      <c r="L189" s="1255"/>
      <c r="M189" s="1247"/>
      <c r="N189" s="1247"/>
      <c r="O189" s="1247"/>
      <c r="P189" s="1247"/>
      <c r="Q189" s="1247"/>
      <c r="R189" s="1247"/>
      <c r="S189" s="1247"/>
      <c r="T189" s="1247"/>
    </row>
    <row r="190" spans="1:20">
      <c r="A190" s="1247"/>
      <c r="B190" s="1247"/>
      <c r="C190" s="1247"/>
      <c r="D190" s="1247"/>
      <c r="E190" s="1247"/>
      <c r="F190" s="1247"/>
      <c r="G190" s="1247"/>
      <c r="H190" s="1247"/>
      <c r="I190" s="1247"/>
      <c r="J190" s="1247"/>
      <c r="K190" s="1254"/>
      <c r="L190" s="1255"/>
      <c r="M190" s="1247"/>
      <c r="N190" s="1247"/>
      <c r="O190" s="1247"/>
      <c r="P190" s="1247"/>
      <c r="Q190" s="1247"/>
      <c r="R190" s="1247"/>
      <c r="S190" s="1247"/>
      <c r="T190" s="1247"/>
    </row>
    <row r="191" spans="1:20">
      <c r="A191" s="1247"/>
      <c r="B191" s="1247"/>
      <c r="C191" s="1247"/>
      <c r="D191" s="1247"/>
      <c r="E191" s="1247"/>
      <c r="F191" s="1247"/>
      <c r="G191" s="1247"/>
      <c r="H191" s="1247"/>
      <c r="I191" s="1247"/>
      <c r="J191" s="1247"/>
      <c r="K191" s="1254"/>
      <c r="L191" s="1255"/>
      <c r="M191" s="1247"/>
      <c r="N191" s="1247"/>
      <c r="O191" s="1247"/>
      <c r="P191" s="1247"/>
      <c r="Q191" s="1247"/>
      <c r="R191" s="1247"/>
      <c r="S191" s="1247"/>
      <c r="T191" s="1247"/>
    </row>
    <row r="192" spans="1:20">
      <c r="A192" s="1247"/>
      <c r="B192" s="1247"/>
      <c r="C192" s="1247"/>
      <c r="D192" s="1247"/>
      <c r="E192" s="1247"/>
      <c r="F192" s="1247"/>
      <c r="G192" s="1247"/>
      <c r="H192" s="1247"/>
      <c r="I192" s="1247"/>
      <c r="J192" s="1247"/>
      <c r="K192" s="1254"/>
      <c r="L192" s="1255"/>
      <c r="M192" s="1247"/>
      <c r="N192" s="1247"/>
      <c r="O192" s="1247"/>
      <c r="P192" s="1247"/>
      <c r="Q192" s="1247"/>
      <c r="R192" s="1247"/>
      <c r="S192" s="1247"/>
      <c r="T192" s="1247"/>
    </row>
    <row r="193" spans="1:20">
      <c r="A193" s="1247"/>
      <c r="B193" s="1247"/>
      <c r="C193" s="1247"/>
      <c r="D193" s="1247"/>
      <c r="E193" s="1247"/>
      <c r="F193" s="1247"/>
      <c r="G193" s="1247"/>
      <c r="H193" s="1247"/>
      <c r="I193" s="1247"/>
      <c r="J193" s="1247"/>
      <c r="K193" s="1254"/>
      <c r="L193" s="1255"/>
      <c r="M193" s="1247"/>
      <c r="N193" s="1247"/>
      <c r="O193" s="1247"/>
      <c r="P193" s="1247"/>
      <c r="Q193" s="1247"/>
      <c r="R193" s="1247"/>
      <c r="S193" s="1247"/>
      <c r="T193" s="1247"/>
    </row>
    <row r="194" spans="1:20">
      <c r="A194" s="1247"/>
      <c r="B194" s="1247"/>
      <c r="C194" s="1247"/>
      <c r="D194" s="1247"/>
      <c r="E194" s="1247"/>
      <c r="F194" s="1247"/>
      <c r="G194" s="1247"/>
      <c r="H194" s="1247"/>
      <c r="I194" s="1247"/>
      <c r="J194" s="1247"/>
      <c r="K194" s="1254"/>
      <c r="L194" s="1255"/>
      <c r="M194" s="1247"/>
      <c r="N194" s="1247"/>
      <c r="O194" s="1247"/>
      <c r="P194" s="1247"/>
      <c r="Q194" s="1247"/>
      <c r="R194" s="1247"/>
      <c r="S194" s="1247"/>
      <c r="T194" s="1247"/>
    </row>
    <row r="195" spans="1:20">
      <c r="A195" s="1247"/>
      <c r="B195" s="1247"/>
      <c r="C195" s="1247"/>
      <c r="D195" s="1247"/>
      <c r="E195" s="1247"/>
      <c r="F195" s="1247"/>
      <c r="G195" s="1247"/>
      <c r="H195" s="1247"/>
      <c r="I195" s="1247"/>
      <c r="J195" s="1247"/>
      <c r="K195" s="1254"/>
      <c r="L195" s="1255"/>
      <c r="M195" s="1247"/>
      <c r="N195" s="1247"/>
      <c r="O195" s="1247"/>
      <c r="P195" s="1247"/>
      <c r="Q195" s="1247"/>
      <c r="R195" s="1247"/>
      <c r="S195" s="1247"/>
      <c r="T195" s="1247"/>
    </row>
    <row r="196" spans="1:20">
      <c r="A196" s="1247"/>
      <c r="B196" s="1247"/>
      <c r="C196" s="1247"/>
      <c r="D196" s="1247"/>
      <c r="E196" s="1247"/>
      <c r="F196" s="1247"/>
      <c r="G196" s="1247"/>
      <c r="H196" s="1247"/>
      <c r="I196" s="1247"/>
      <c r="J196" s="1247"/>
      <c r="K196" s="1254"/>
      <c r="L196" s="1255"/>
      <c r="M196" s="1247"/>
      <c r="N196" s="1247"/>
      <c r="O196" s="1247"/>
      <c r="P196" s="1247"/>
      <c r="Q196" s="1247"/>
      <c r="R196" s="1247"/>
      <c r="S196" s="1247"/>
      <c r="T196" s="1247"/>
    </row>
    <row r="197" spans="1:20">
      <c r="A197" s="1247"/>
      <c r="B197" s="1247"/>
      <c r="C197" s="1247"/>
      <c r="D197" s="1247"/>
      <c r="E197" s="1247"/>
      <c r="F197" s="1247"/>
      <c r="G197" s="1247"/>
      <c r="H197" s="1247"/>
      <c r="I197" s="1247"/>
      <c r="J197" s="1247"/>
      <c r="K197" s="1254"/>
      <c r="L197" s="1255"/>
      <c r="M197" s="1247"/>
      <c r="N197" s="1247"/>
      <c r="O197" s="1247"/>
      <c r="P197" s="1247"/>
      <c r="Q197" s="1247"/>
      <c r="R197" s="1247"/>
      <c r="S197" s="1247"/>
      <c r="T197" s="1247"/>
    </row>
    <row r="198" spans="1:20">
      <c r="A198" s="1247"/>
      <c r="B198" s="1247"/>
      <c r="C198" s="1247"/>
      <c r="D198" s="1247"/>
      <c r="E198" s="1247"/>
      <c r="F198" s="1247"/>
      <c r="G198" s="1247"/>
      <c r="H198" s="1247"/>
      <c r="I198" s="1247"/>
      <c r="J198" s="1247"/>
      <c r="K198" s="1254"/>
      <c r="L198" s="1255"/>
      <c r="M198" s="1247"/>
      <c r="N198" s="1247"/>
      <c r="O198" s="1247"/>
      <c r="P198" s="1247"/>
      <c r="Q198" s="1247"/>
      <c r="R198" s="1247"/>
      <c r="S198" s="1247"/>
      <c r="T198" s="1247"/>
    </row>
    <row r="199" spans="1:20">
      <c r="A199" s="1247"/>
      <c r="B199" s="1247"/>
      <c r="C199" s="1247"/>
      <c r="D199" s="1247"/>
      <c r="E199" s="1247"/>
      <c r="F199" s="1247"/>
      <c r="G199" s="1247"/>
      <c r="H199" s="1247"/>
      <c r="I199" s="1247"/>
      <c r="J199" s="1247"/>
      <c r="K199" s="1254"/>
      <c r="L199" s="1255"/>
      <c r="M199" s="1247"/>
      <c r="N199" s="1247"/>
      <c r="O199" s="1247"/>
      <c r="P199" s="1247"/>
      <c r="Q199" s="1247"/>
      <c r="R199" s="1247"/>
      <c r="S199" s="1247"/>
      <c r="T199" s="1247"/>
    </row>
    <row r="200" spans="1:20">
      <c r="A200" s="1247"/>
      <c r="B200" s="1247"/>
      <c r="C200" s="1247"/>
      <c r="D200" s="1247"/>
      <c r="E200" s="1247"/>
      <c r="F200" s="1247"/>
      <c r="G200" s="1247"/>
      <c r="H200" s="1247"/>
      <c r="I200" s="1247"/>
      <c r="J200" s="1247"/>
      <c r="K200" s="1254"/>
      <c r="L200" s="1255"/>
      <c r="M200" s="1247"/>
      <c r="N200" s="1247"/>
      <c r="O200" s="1247"/>
      <c r="P200" s="1247"/>
      <c r="Q200" s="1247"/>
      <c r="R200" s="1247"/>
      <c r="S200" s="1247"/>
      <c r="T200" s="1247"/>
    </row>
    <row r="201" spans="1:20">
      <c r="A201" s="1247"/>
      <c r="B201" s="1247"/>
      <c r="C201" s="1247"/>
      <c r="D201" s="1247"/>
      <c r="E201" s="1247"/>
      <c r="F201" s="1247"/>
      <c r="G201" s="1247"/>
      <c r="H201" s="1247"/>
      <c r="I201" s="1247"/>
      <c r="J201" s="1247"/>
      <c r="K201" s="1254"/>
      <c r="L201" s="1255"/>
      <c r="M201" s="1247"/>
      <c r="N201" s="1247"/>
      <c r="O201" s="1247"/>
      <c r="P201" s="1247"/>
      <c r="Q201" s="1247"/>
      <c r="R201" s="1247"/>
      <c r="S201" s="1247"/>
      <c r="T201" s="1247"/>
    </row>
    <row r="202" spans="1:20">
      <c r="A202" s="1247"/>
      <c r="B202" s="1247"/>
      <c r="C202" s="1247"/>
      <c r="D202" s="1247"/>
      <c r="E202" s="1247"/>
      <c r="F202" s="1247"/>
      <c r="G202" s="1247"/>
      <c r="H202" s="1247"/>
      <c r="I202" s="1247"/>
      <c r="J202" s="1247"/>
      <c r="K202" s="1254"/>
      <c r="L202" s="1255"/>
      <c r="M202" s="1247"/>
      <c r="N202" s="1247"/>
      <c r="O202" s="1247"/>
      <c r="P202" s="1247"/>
      <c r="Q202" s="1247"/>
      <c r="R202" s="1247"/>
      <c r="S202" s="1247"/>
      <c r="T202" s="1247"/>
    </row>
    <row r="203" spans="1:20">
      <c r="A203" s="1247"/>
      <c r="B203" s="1247"/>
      <c r="C203" s="1247"/>
      <c r="D203" s="1247"/>
      <c r="E203" s="1247"/>
      <c r="F203" s="1247"/>
      <c r="G203" s="1247"/>
      <c r="H203" s="1247"/>
      <c r="I203" s="1247"/>
      <c r="J203" s="1247"/>
      <c r="K203" s="1254"/>
      <c r="L203" s="1255"/>
      <c r="M203" s="1247"/>
      <c r="N203" s="1247"/>
      <c r="O203" s="1247"/>
      <c r="P203" s="1247"/>
      <c r="Q203" s="1247"/>
      <c r="R203" s="1247"/>
      <c r="S203" s="1247"/>
      <c r="T203" s="1247"/>
    </row>
    <row r="204" spans="1:20">
      <c r="A204" s="1247"/>
      <c r="B204" s="1247"/>
      <c r="C204" s="1247"/>
      <c r="D204" s="1247"/>
      <c r="E204" s="1247"/>
      <c r="F204" s="1247"/>
      <c r="G204" s="1247"/>
      <c r="H204" s="1247"/>
      <c r="I204" s="1247"/>
      <c r="J204" s="1247"/>
      <c r="K204" s="1254"/>
      <c r="L204" s="1255"/>
      <c r="M204" s="1247"/>
      <c r="N204" s="1247"/>
      <c r="O204" s="1247"/>
      <c r="P204" s="1247"/>
      <c r="Q204" s="1247"/>
      <c r="R204" s="1247"/>
      <c r="S204" s="1247"/>
      <c r="T204" s="1247"/>
    </row>
    <row r="205" spans="1:20">
      <c r="A205" s="1247"/>
      <c r="B205" s="1247"/>
      <c r="C205" s="1247"/>
      <c r="D205" s="1247"/>
      <c r="E205" s="1247"/>
      <c r="F205" s="1247"/>
      <c r="G205" s="1247"/>
      <c r="H205" s="1247"/>
      <c r="I205" s="1247"/>
      <c r="J205" s="1247"/>
      <c r="K205" s="1254"/>
      <c r="L205" s="1255"/>
      <c r="M205" s="1247"/>
      <c r="N205" s="1247"/>
      <c r="O205" s="1247"/>
      <c r="P205" s="1247"/>
      <c r="Q205" s="1247"/>
      <c r="R205" s="1247"/>
      <c r="S205" s="1247"/>
      <c r="T205" s="1247"/>
    </row>
    <row r="206" spans="1:20">
      <c r="A206" s="1247"/>
      <c r="B206" s="1247"/>
      <c r="C206" s="1247"/>
      <c r="D206" s="1247"/>
      <c r="E206" s="1247"/>
      <c r="F206" s="1247"/>
      <c r="G206" s="1247"/>
      <c r="H206" s="1247"/>
      <c r="I206" s="1247"/>
      <c r="J206" s="1247"/>
      <c r="K206" s="1254"/>
      <c r="L206" s="1255"/>
      <c r="M206" s="1247"/>
      <c r="N206" s="1247"/>
      <c r="O206" s="1247"/>
      <c r="P206" s="1247"/>
      <c r="Q206" s="1247"/>
      <c r="R206" s="1247"/>
      <c r="S206" s="1247"/>
      <c r="T206" s="1247"/>
    </row>
    <row r="207" spans="1:20">
      <c r="A207" s="1247"/>
      <c r="B207" s="1247"/>
      <c r="C207" s="1247"/>
      <c r="D207" s="1247"/>
      <c r="E207" s="1247"/>
      <c r="F207" s="1247"/>
      <c r="G207" s="1247"/>
      <c r="H207" s="1247"/>
      <c r="I207" s="1247"/>
      <c r="J207" s="1247"/>
      <c r="K207" s="1254"/>
      <c r="L207" s="1255"/>
      <c r="M207" s="1247"/>
      <c r="N207" s="1247"/>
      <c r="O207" s="1247"/>
      <c r="P207" s="1247"/>
      <c r="Q207" s="1247"/>
      <c r="R207" s="1247"/>
      <c r="S207" s="1247"/>
      <c r="T207" s="1247"/>
    </row>
    <row r="208" spans="1:20">
      <c r="A208" s="1247"/>
      <c r="B208" s="1247"/>
      <c r="C208" s="1247"/>
      <c r="D208" s="1247"/>
      <c r="E208" s="1247"/>
      <c r="F208" s="1247"/>
      <c r="G208" s="1247"/>
      <c r="H208" s="1247"/>
      <c r="I208" s="1247"/>
      <c r="J208" s="1247"/>
      <c r="K208" s="1254"/>
      <c r="L208" s="1255"/>
      <c r="M208" s="1247"/>
      <c r="N208" s="1247"/>
      <c r="O208" s="1247"/>
      <c r="P208" s="1247"/>
      <c r="Q208" s="1247"/>
      <c r="R208" s="1247"/>
      <c r="S208" s="1247"/>
      <c r="T208" s="1247"/>
    </row>
    <row r="209" spans="1:20">
      <c r="A209" s="1247"/>
      <c r="B209" s="1247"/>
      <c r="C209" s="1247"/>
      <c r="D209" s="1247"/>
      <c r="E209" s="1247"/>
      <c r="F209" s="1247"/>
      <c r="G209" s="1247"/>
      <c r="H209" s="1247"/>
      <c r="I209" s="1247"/>
      <c r="J209" s="1247"/>
      <c r="K209" s="1254"/>
      <c r="L209" s="1255"/>
      <c r="M209" s="1247"/>
      <c r="N209" s="1247"/>
      <c r="O209" s="1247"/>
      <c r="P209" s="1247"/>
      <c r="Q209" s="1247"/>
      <c r="R209" s="1247"/>
      <c r="S209" s="1247"/>
      <c r="T209" s="1247"/>
    </row>
    <row r="210" spans="1:20">
      <c r="A210" s="1247"/>
      <c r="B210" s="1247"/>
      <c r="C210" s="1247"/>
      <c r="D210" s="1247"/>
      <c r="E210" s="1247"/>
      <c r="F210" s="1247"/>
      <c r="G210" s="1247"/>
      <c r="H210" s="1247"/>
      <c r="I210" s="1247"/>
      <c r="J210" s="1247"/>
      <c r="K210" s="1254"/>
      <c r="L210" s="1255"/>
      <c r="M210" s="1247"/>
      <c r="N210" s="1247"/>
      <c r="O210" s="1247"/>
      <c r="P210" s="1247"/>
      <c r="Q210" s="1247"/>
      <c r="R210" s="1247"/>
      <c r="S210" s="1247"/>
      <c r="T210" s="1247"/>
    </row>
    <row r="211" spans="1:20">
      <c r="A211" s="1247"/>
      <c r="B211" s="1247"/>
      <c r="C211" s="1247"/>
      <c r="D211" s="1247"/>
      <c r="E211" s="1247"/>
      <c r="F211" s="1247"/>
      <c r="G211" s="1247"/>
      <c r="H211" s="1247"/>
      <c r="I211" s="1247"/>
      <c r="J211" s="1247"/>
      <c r="K211" s="1254"/>
      <c r="L211" s="1255"/>
      <c r="M211" s="1247"/>
      <c r="N211" s="1247"/>
      <c r="O211" s="1247"/>
      <c r="P211" s="1247"/>
      <c r="Q211" s="1247"/>
      <c r="R211" s="1247"/>
      <c r="S211" s="1247"/>
      <c r="T211" s="1247"/>
    </row>
    <row r="212" spans="1:20">
      <c r="A212" s="1247"/>
      <c r="B212" s="1247"/>
      <c r="C212" s="1247"/>
      <c r="D212" s="1247"/>
      <c r="E212" s="1247"/>
      <c r="F212" s="1247"/>
      <c r="G212" s="1247"/>
      <c r="H212" s="1247"/>
      <c r="I212" s="1247"/>
      <c r="J212" s="1247"/>
      <c r="K212" s="1254"/>
      <c r="L212" s="1255"/>
      <c r="M212" s="1247"/>
      <c r="N212" s="1247"/>
      <c r="O212" s="1247"/>
      <c r="P212" s="1247"/>
      <c r="Q212" s="1247"/>
      <c r="R212" s="1247"/>
      <c r="S212" s="1247"/>
      <c r="T212" s="1247"/>
    </row>
    <row r="213" spans="1:20">
      <c r="A213" s="1247"/>
      <c r="B213" s="1247"/>
      <c r="C213" s="1247"/>
      <c r="D213" s="1247"/>
      <c r="E213" s="1247"/>
      <c r="F213" s="1247"/>
      <c r="G213" s="1247"/>
      <c r="H213" s="1247"/>
      <c r="I213" s="1247"/>
      <c r="J213" s="1247"/>
      <c r="K213" s="1254"/>
      <c r="L213" s="1255"/>
      <c r="M213" s="1247"/>
      <c r="N213" s="1247"/>
      <c r="O213" s="1247"/>
      <c r="P213" s="1247"/>
      <c r="Q213" s="1247"/>
      <c r="R213" s="1247"/>
      <c r="S213" s="1247"/>
      <c r="T213" s="1247"/>
    </row>
    <row r="214" spans="1:20">
      <c r="A214" s="1247"/>
      <c r="B214" s="1247"/>
      <c r="C214" s="1247"/>
      <c r="D214" s="1247"/>
      <c r="E214" s="1247"/>
      <c r="F214" s="1247"/>
      <c r="G214" s="1247"/>
      <c r="H214" s="1247"/>
      <c r="I214" s="1247"/>
      <c r="J214" s="1247"/>
      <c r="K214" s="1254"/>
      <c r="L214" s="1255"/>
      <c r="M214" s="1247"/>
      <c r="N214" s="1247"/>
      <c r="O214" s="1247"/>
      <c r="P214" s="1247"/>
      <c r="Q214" s="1247"/>
      <c r="R214" s="1247"/>
      <c r="S214" s="1247"/>
      <c r="T214" s="1247"/>
    </row>
    <row r="215" spans="1:20">
      <c r="A215" s="1247"/>
      <c r="B215" s="1247"/>
      <c r="C215" s="1247"/>
      <c r="D215" s="1247"/>
      <c r="E215" s="1247"/>
      <c r="F215" s="1247"/>
      <c r="G215" s="1247"/>
      <c r="H215" s="1247"/>
      <c r="I215" s="1247"/>
      <c r="J215" s="1247"/>
      <c r="K215" s="1254"/>
      <c r="L215" s="1255"/>
      <c r="M215" s="1247"/>
      <c r="N215" s="1247"/>
      <c r="O215" s="1247"/>
      <c r="P215" s="1247"/>
      <c r="Q215" s="1247"/>
      <c r="R215" s="1247"/>
      <c r="S215" s="1247"/>
      <c r="T215" s="1247"/>
    </row>
    <row r="216" spans="1:20">
      <c r="A216" s="1247"/>
      <c r="B216" s="1247"/>
      <c r="C216" s="1247"/>
      <c r="D216" s="1247"/>
      <c r="E216" s="1247"/>
      <c r="F216" s="1247"/>
      <c r="G216" s="1247"/>
      <c r="H216" s="1247"/>
      <c r="I216" s="1247"/>
      <c r="J216" s="1247"/>
      <c r="K216" s="1254"/>
      <c r="L216" s="1255"/>
      <c r="M216" s="1247"/>
      <c r="N216" s="1247"/>
      <c r="O216" s="1247"/>
      <c r="P216" s="1247"/>
      <c r="Q216" s="1247"/>
      <c r="R216" s="1247"/>
      <c r="S216" s="1247"/>
      <c r="T216" s="1247"/>
    </row>
    <row r="217" spans="1:20">
      <c r="A217" s="1247"/>
      <c r="B217" s="1247"/>
      <c r="C217" s="1247"/>
      <c r="D217" s="1247"/>
      <c r="E217" s="1247"/>
      <c r="F217" s="1247"/>
      <c r="G217" s="1247"/>
      <c r="H217" s="1247"/>
      <c r="I217" s="1247"/>
      <c r="J217" s="1247"/>
      <c r="K217" s="1254"/>
      <c r="L217" s="1255"/>
      <c r="M217" s="1247"/>
      <c r="N217" s="1247"/>
      <c r="O217" s="1247"/>
      <c r="P217" s="1247"/>
      <c r="Q217" s="1247"/>
      <c r="R217" s="1247"/>
      <c r="S217" s="1247"/>
      <c r="T217" s="1247"/>
    </row>
    <row r="218" spans="1:20">
      <c r="A218" s="1247"/>
      <c r="B218" s="1247"/>
      <c r="C218" s="1247"/>
      <c r="D218" s="1247"/>
      <c r="E218" s="1247"/>
      <c r="F218" s="1247"/>
      <c r="G218" s="1247"/>
      <c r="H218" s="1247"/>
      <c r="I218" s="1247"/>
      <c r="J218" s="1247"/>
      <c r="K218" s="1254"/>
      <c r="L218" s="1255"/>
      <c r="M218" s="1247"/>
      <c r="N218" s="1247"/>
      <c r="O218" s="1247"/>
      <c r="P218" s="1247"/>
      <c r="Q218" s="1247"/>
      <c r="R218" s="1247"/>
      <c r="S218" s="1247"/>
      <c r="T218" s="1247"/>
    </row>
    <row r="219" spans="1:20">
      <c r="A219" s="1247"/>
      <c r="B219" s="1247"/>
      <c r="C219" s="1247"/>
      <c r="D219" s="1247"/>
      <c r="E219" s="1247"/>
      <c r="F219" s="1247"/>
      <c r="G219" s="1247"/>
      <c r="H219" s="1247"/>
      <c r="I219" s="1247"/>
      <c r="J219" s="1247"/>
      <c r="K219" s="1254"/>
      <c r="L219" s="1255"/>
      <c r="M219" s="1247"/>
      <c r="N219" s="1247"/>
      <c r="O219" s="1247"/>
      <c r="P219" s="1247"/>
      <c r="Q219" s="1247"/>
      <c r="R219" s="1247"/>
      <c r="S219" s="1247"/>
      <c r="T219" s="1247"/>
    </row>
    <row r="220" spans="1:20">
      <c r="A220" s="1247"/>
      <c r="B220" s="1247"/>
      <c r="C220" s="1247"/>
      <c r="D220" s="1247"/>
      <c r="E220" s="1247"/>
      <c r="F220" s="1247"/>
      <c r="G220" s="1247"/>
      <c r="H220" s="1247"/>
      <c r="I220" s="1247"/>
      <c r="J220" s="1247"/>
      <c r="K220" s="1254"/>
      <c r="L220" s="1255"/>
      <c r="M220" s="1247"/>
      <c r="N220" s="1247"/>
      <c r="O220" s="1247"/>
      <c r="P220" s="1247"/>
      <c r="Q220" s="1247"/>
      <c r="R220" s="1247"/>
      <c r="S220" s="1247"/>
      <c r="T220" s="1247"/>
    </row>
    <row r="221" spans="1:20">
      <c r="A221" s="1247"/>
      <c r="B221" s="1247"/>
      <c r="C221" s="1247"/>
      <c r="D221" s="1247"/>
      <c r="E221" s="1247"/>
      <c r="F221" s="1247"/>
      <c r="G221" s="1247"/>
      <c r="H221" s="1247"/>
      <c r="I221" s="1247"/>
      <c r="J221" s="1247"/>
      <c r="K221" s="1254"/>
      <c r="L221" s="1255"/>
      <c r="M221" s="1247"/>
      <c r="N221" s="1247"/>
      <c r="O221" s="1247"/>
      <c r="P221" s="1247"/>
      <c r="Q221" s="1247"/>
      <c r="R221" s="1247"/>
      <c r="S221" s="1247"/>
      <c r="T221" s="1247"/>
    </row>
    <row r="222" spans="1:20">
      <c r="A222" s="1247"/>
      <c r="B222" s="1247"/>
      <c r="C222" s="1247"/>
      <c r="D222" s="1247"/>
      <c r="E222" s="1247"/>
      <c r="F222" s="1247"/>
      <c r="G222" s="1247"/>
      <c r="H222" s="1247"/>
      <c r="I222" s="1247"/>
      <c r="J222" s="1247"/>
      <c r="K222" s="1254"/>
      <c r="L222" s="1255"/>
      <c r="M222" s="1247"/>
      <c r="N222" s="1247"/>
      <c r="O222" s="1247"/>
      <c r="P222" s="1247"/>
      <c r="Q222" s="1247"/>
      <c r="R222" s="1247"/>
      <c r="S222" s="1247"/>
      <c r="T222" s="1247"/>
    </row>
    <row r="223" spans="1:20">
      <c r="A223" s="1247"/>
      <c r="B223" s="1247"/>
      <c r="C223" s="1247"/>
      <c r="D223" s="1247"/>
      <c r="E223" s="1247"/>
      <c r="F223" s="1247"/>
      <c r="G223" s="1247"/>
      <c r="H223" s="1247"/>
      <c r="I223" s="1247"/>
      <c r="J223" s="1247"/>
      <c r="K223" s="1254"/>
      <c r="L223" s="1255"/>
      <c r="M223" s="1247"/>
      <c r="N223" s="1247"/>
      <c r="O223" s="1247"/>
      <c r="P223" s="1247"/>
      <c r="Q223" s="1247"/>
      <c r="R223" s="1247"/>
      <c r="S223" s="1247"/>
      <c r="T223" s="1247"/>
    </row>
    <row r="224" spans="1:20">
      <c r="A224" s="1247"/>
      <c r="B224" s="1247"/>
      <c r="C224" s="1247"/>
      <c r="D224" s="1247"/>
      <c r="E224" s="1247"/>
      <c r="F224" s="1247"/>
      <c r="G224" s="1247"/>
      <c r="H224" s="1247"/>
      <c r="I224" s="1247"/>
      <c r="J224" s="1247"/>
      <c r="K224" s="1254"/>
      <c r="L224" s="1255"/>
      <c r="M224" s="1247"/>
      <c r="N224" s="1247"/>
      <c r="O224" s="1247"/>
      <c r="P224" s="1247"/>
      <c r="Q224" s="1247"/>
      <c r="R224" s="1247"/>
      <c r="S224" s="1247"/>
      <c r="T224" s="1247"/>
    </row>
    <row r="225" spans="1:20">
      <c r="A225" s="1247"/>
      <c r="B225" s="1247"/>
      <c r="C225" s="1247"/>
      <c r="D225" s="1247"/>
      <c r="E225" s="1247"/>
      <c r="F225" s="1247"/>
      <c r="G225" s="1247"/>
      <c r="H225" s="1247"/>
      <c r="I225" s="1247"/>
      <c r="J225" s="1247"/>
      <c r="K225" s="1254"/>
      <c r="L225" s="1255"/>
      <c r="M225" s="1247"/>
      <c r="N225" s="1247"/>
      <c r="O225" s="1247"/>
      <c r="P225" s="1247"/>
      <c r="Q225" s="1247"/>
      <c r="R225" s="1247"/>
      <c r="S225" s="1247"/>
      <c r="T225" s="1247"/>
    </row>
    <row r="226" spans="1:20">
      <c r="A226" s="1247"/>
      <c r="B226" s="1247"/>
      <c r="C226" s="1247"/>
      <c r="D226" s="1247"/>
      <c r="E226" s="1247"/>
      <c r="F226" s="1247"/>
      <c r="G226" s="1247"/>
      <c r="H226" s="1247"/>
      <c r="I226" s="1247"/>
      <c r="J226" s="1247"/>
      <c r="K226" s="1254"/>
      <c r="L226" s="1255"/>
      <c r="M226" s="1247"/>
      <c r="N226" s="1247"/>
      <c r="O226" s="1247"/>
      <c r="P226" s="1247"/>
      <c r="Q226" s="1247"/>
      <c r="R226" s="1247"/>
      <c r="S226" s="1247"/>
      <c r="T226" s="1247"/>
    </row>
    <row r="227" spans="1:20">
      <c r="A227" s="1247"/>
      <c r="B227" s="1247"/>
      <c r="C227" s="1247"/>
      <c r="D227" s="1247"/>
      <c r="E227" s="1247"/>
      <c r="F227" s="1247"/>
      <c r="G227" s="1247"/>
      <c r="H227" s="1247"/>
      <c r="I227" s="1247"/>
      <c r="J227" s="1247"/>
      <c r="K227" s="1254"/>
      <c r="L227" s="1255"/>
      <c r="M227" s="1247"/>
      <c r="N227" s="1247"/>
      <c r="O227" s="1247"/>
      <c r="P227" s="1247"/>
      <c r="Q227" s="1247"/>
      <c r="R227" s="1247"/>
      <c r="S227" s="1247"/>
      <c r="T227" s="1247"/>
    </row>
    <row r="228" spans="1:20">
      <c r="A228" s="1247"/>
      <c r="B228" s="1247"/>
      <c r="C228" s="1247"/>
      <c r="D228" s="1247"/>
      <c r="E228" s="1247"/>
      <c r="F228" s="1247"/>
      <c r="G228" s="1247"/>
      <c r="H228" s="1247"/>
      <c r="I228" s="1247"/>
      <c r="J228" s="1247"/>
      <c r="K228" s="1254"/>
      <c r="L228" s="1255"/>
      <c r="M228" s="1247"/>
      <c r="N228" s="1247"/>
      <c r="O228" s="1247"/>
      <c r="P228" s="1247"/>
      <c r="Q228" s="1247"/>
      <c r="R228" s="1247"/>
      <c r="S228" s="1247"/>
      <c r="T228" s="1247"/>
    </row>
    <row r="229" spans="1:20">
      <c r="A229" s="1247"/>
      <c r="B229" s="1247"/>
      <c r="C229" s="1247"/>
      <c r="D229" s="1247"/>
      <c r="E229" s="1247"/>
      <c r="F229" s="1247"/>
      <c r="G229" s="1247"/>
      <c r="H229" s="1247"/>
      <c r="I229" s="1247"/>
      <c r="J229" s="1247"/>
      <c r="K229" s="1254"/>
      <c r="L229" s="1255"/>
      <c r="M229" s="1247"/>
      <c r="N229" s="1247"/>
      <c r="O229" s="1247"/>
      <c r="P229" s="1247"/>
      <c r="Q229" s="1247"/>
      <c r="R229" s="1247"/>
      <c r="S229" s="1247"/>
      <c r="T229" s="1247"/>
    </row>
    <row r="230" spans="1:20">
      <c r="A230" s="1247"/>
      <c r="B230" s="1247"/>
      <c r="C230" s="1247"/>
      <c r="D230" s="1247"/>
      <c r="E230" s="1247"/>
      <c r="F230" s="1247"/>
      <c r="G230" s="1247"/>
      <c r="H230" s="1247"/>
      <c r="I230" s="1247"/>
      <c r="J230" s="1247"/>
      <c r="K230" s="1254"/>
      <c r="L230" s="1255"/>
      <c r="M230" s="1247"/>
      <c r="N230" s="1247"/>
      <c r="O230" s="1247"/>
      <c r="P230" s="1247"/>
      <c r="Q230" s="1247"/>
      <c r="R230" s="1247"/>
      <c r="S230" s="1247"/>
      <c r="T230" s="1247"/>
    </row>
    <row r="231" spans="1:20">
      <c r="A231" s="1247"/>
      <c r="B231" s="1247"/>
      <c r="C231" s="1247"/>
      <c r="D231" s="1247"/>
      <c r="E231" s="1247"/>
      <c r="F231" s="1247"/>
      <c r="G231" s="1247"/>
      <c r="H231" s="1247"/>
      <c r="I231" s="1247"/>
      <c r="J231" s="1247"/>
      <c r="K231" s="1254"/>
      <c r="L231" s="1255"/>
      <c r="M231" s="1247"/>
      <c r="N231" s="1247"/>
      <c r="O231" s="1247"/>
      <c r="P231" s="1247"/>
      <c r="Q231" s="1247"/>
      <c r="R231" s="1247"/>
      <c r="S231" s="1247"/>
      <c r="T231" s="1247"/>
    </row>
    <row r="232" spans="1:20">
      <c r="A232" s="1247"/>
      <c r="B232" s="1247"/>
      <c r="C232" s="1247"/>
      <c r="D232" s="1247"/>
      <c r="E232" s="1247"/>
      <c r="F232" s="1247"/>
      <c r="G232" s="1247"/>
      <c r="H232" s="1247"/>
      <c r="I232" s="1247"/>
      <c r="J232" s="1247"/>
      <c r="K232" s="1254"/>
      <c r="L232" s="1255"/>
      <c r="M232" s="1247"/>
      <c r="N232" s="1247"/>
      <c r="O232" s="1247"/>
      <c r="P232" s="1247"/>
      <c r="Q232" s="1247"/>
      <c r="R232" s="1247"/>
      <c r="S232" s="1247"/>
      <c r="T232" s="1247"/>
    </row>
    <row r="233" spans="1:20">
      <c r="A233" s="1247"/>
      <c r="B233" s="1247"/>
      <c r="C233" s="1247"/>
      <c r="D233" s="1247"/>
      <c r="E233" s="1247"/>
      <c r="F233" s="1247"/>
      <c r="G233" s="1247"/>
      <c r="H233" s="1247"/>
      <c r="I233" s="1247"/>
      <c r="J233" s="1247"/>
      <c r="K233" s="1254"/>
      <c r="L233" s="1255"/>
      <c r="M233" s="1247"/>
      <c r="N233" s="1247"/>
      <c r="O233" s="1247"/>
      <c r="P233" s="1247"/>
      <c r="Q233" s="1247"/>
      <c r="R233" s="1247"/>
      <c r="S233" s="1247"/>
      <c r="T233" s="1247"/>
    </row>
    <row r="234" spans="1:20">
      <c r="A234" s="1247"/>
      <c r="B234" s="1247"/>
      <c r="C234" s="1247"/>
      <c r="D234" s="1247"/>
      <c r="E234" s="1247"/>
      <c r="F234" s="1247"/>
      <c r="G234" s="1247"/>
      <c r="H234" s="1247"/>
      <c r="I234" s="1247"/>
      <c r="J234" s="1247"/>
      <c r="K234" s="1254"/>
      <c r="L234" s="1255"/>
      <c r="M234" s="1247"/>
      <c r="N234" s="1247"/>
      <c r="O234" s="1247"/>
      <c r="P234" s="1247"/>
      <c r="Q234" s="1247"/>
      <c r="R234" s="1247"/>
      <c r="S234" s="1247"/>
      <c r="T234" s="1247"/>
    </row>
    <row r="235" spans="1:20">
      <c r="A235" s="1247"/>
      <c r="B235" s="1247"/>
      <c r="C235" s="1247"/>
      <c r="D235" s="1247"/>
      <c r="E235" s="1247"/>
      <c r="F235" s="1247"/>
      <c r="G235" s="1247"/>
      <c r="H235" s="1247"/>
      <c r="I235" s="1247"/>
      <c r="J235" s="1247"/>
      <c r="K235" s="1254"/>
      <c r="L235" s="1255"/>
      <c r="M235" s="1247"/>
      <c r="N235" s="1247"/>
      <c r="O235" s="1247"/>
      <c r="P235" s="1247"/>
      <c r="Q235" s="1247"/>
      <c r="R235" s="1247"/>
      <c r="S235" s="1247"/>
      <c r="T235" s="1247"/>
    </row>
    <row r="236" spans="1:20">
      <c r="A236" s="1247"/>
      <c r="B236" s="1247"/>
      <c r="C236" s="1247"/>
      <c r="D236" s="1247"/>
      <c r="E236" s="1247"/>
      <c r="F236" s="1247"/>
      <c r="G236" s="1247"/>
      <c r="H236" s="1247"/>
      <c r="I236" s="1247"/>
      <c r="J236" s="1247"/>
      <c r="K236" s="1254"/>
      <c r="L236" s="1255"/>
      <c r="M236" s="1247"/>
      <c r="N236" s="1247"/>
      <c r="O236" s="1247"/>
      <c r="P236" s="1247"/>
      <c r="Q236" s="1247"/>
      <c r="R236" s="1247"/>
      <c r="S236" s="1247"/>
      <c r="T236" s="1247"/>
    </row>
    <row r="237" spans="1:20">
      <c r="A237" s="1247"/>
      <c r="B237" s="1247"/>
      <c r="C237" s="1247"/>
      <c r="D237" s="1247"/>
      <c r="E237" s="1247"/>
      <c r="F237" s="1247"/>
      <c r="G237" s="1247"/>
      <c r="H237" s="1247"/>
      <c r="I237" s="1247"/>
      <c r="J237" s="1247"/>
      <c r="K237" s="1254"/>
      <c r="L237" s="1255"/>
      <c r="M237" s="1247"/>
      <c r="N237" s="1247"/>
      <c r="O237" s="1247"/>
      <c r="P237" s="1247"/>
      <c r="Q237" s="1247"/>
      <c r="R237" s="1247"/>
      <c r="S237" s="1247"/>
      <c r="T237" s="1247"/>
    </row>
    <row r="238" spans="1:20">
      <c r="A238" s="1247"/>
      <c r="B238" s="1247"/>
      <c r="C238" s="1247"/>
      <c r="D238" s="1247"/>
      <c r="E238" s="1247"/>
      <c r="F238" s="1247"/>
      <c r="G238" s="1247"/>
      <c r="H238" s="1247"/>
      <c r="I238" s="1247"/>
      <c r="J238" s="1247"/>
      <c r="K238" s="1254"/>
      <c r="L238" s="1255"/>
      <c r="M238" s="1247"/>
      <c r="N238" s="1247"/>
      <c r="O238" s="1247"/>
      <c r="P238" s="1247"/>
      <c r="Q238" s="1247"/>
      <c r="R238" s="1247"/>
      <c r="S238" s="1247"/>
      <c r="T238" s="1247"/>
    </row>
    <row r="239" spans="1:20">
      <c r="A239" s="1247"/>
      <c r="B239" s="1247"/>
      <c r="C239" s="1247"/>
      <c r="D239" s="1247"/>
      <c r="E239" s="1247"/>
      <c r="F239" s="1247"/>
      <c r="G239" s="1247"/>
      <c r="H239" s="1247"/>
      <c r="I239" s="1247"/>
      <c r="J239" s="1247"/>
      <c r="K239" s="1254"/>
      <c r="L239" s="1255"/>
      <c r="M239" s="1247"/>
      <c r="N239" s="1247"/>
      <c r="O239" s="1247"/>
      <c r="P239" s="1247"/>
      <c r="Q239" s="1247"/>
      <c r="R239" s="1247"/>
      <c r="S239" s="1247"/>
      <c r="T239" s="1247"/>
    </row>
    <row r="240" spans="1:20">
      <c r="A240" s="1247"/>
      <c r="B240" s="1247"/>
      <c r="C240" s="1247"/>
      <c r="D240" s="1247"/>
      <c r="E240" s="1247"/>
      <c r="F240" s="1247"/>
      <c r="G240" s="1247"/>
      <c r="H240" s="1247"/>
      <c r="I240" s="1247"/>
      <c r="J240" s="1247"/>
      <c r="K240" s="1254"/>
      <c r="L240" s="1255"/>
      <c r="M240" s="1247"/>
      <c r="N240" s="1247"/>
      <c r="O240" s="1247"/>
      <c r="P240" s="1247"/>
      <c r="Q240" s="1247"/>
      <c r="R240" s="1247"/>
      <c r="S240" s="1247"/>
      <c r="T240" s="1247"/>
    </row>
    <row r="241" spans="1:20">
      <c r="A241" s="1247"/>
      <c r="B241" s="1247"/>
      <c r="C241" s="1247"/>
      <c r="D241" s="1247"/>
      <c r="E241" s="1247"/>
      <c r="F241" s="1247"/>
      <c r="G241" s="1247"/>
      <c r="H241" s="1247"/>
      <c r="I241" s="1247"/>
      <c r="J241" s="1247"/>
      <c r="K241" s="1254"/>
      <c r="L241" s="1255"/>
      <c r="M241" s="1247"/>
      <c r="N241" s="1247"/>
      <c r="O241" s="1247"/>
      <c r="P241" s="1247"/>
      <c r="Q241" s="1247"/>
      <c r="R241" s="1247"/>
      <c r="S241" s="1247"/>
      <c r="T24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1951</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t="e">
        <f>F61</f>
        <v>#DIV/0!</v>
      </c>
      <c r="C2" s="870"/>
      <c r="D2" s="870"/>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ROUND(IF(D3="",B2*10000/'数据-汇总表'!E3,B2*10000/D3),0)</f>
        <v>#DIV/0!</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315" t="s">
        <v>945</v>
      </c>
      <c r="D4" s="3316"/>
      <c r="E4" s="3317" t="s">
        <v>946</v>
      </c>
      <c r="F4" s="3318"/>
      <c r="G4" s="3315" t="s">
        <v>947</v>
      </c>
      <c r="H4" s="3316"/>
      <c r="I4" s="3315" t="s">
        <v>948</v>
      </c>
      <c r="J4" s="3316"/>
      <c r="K4" s="1020" t="s">
        <v>949</v>
      </c>
      <c r="L4" s="1021"/>
      <c r="M4" s="971"/>
      <c r="N4" s="971"/>
      <c r="O4" s="971"/>
      <c r="P4" s="3341" t="s">
        <v>950</v>
      </c>
      <c r="Q4" s="3342"/>
      <c r="R4" s="3347" t="s">
        <v>946</v>
      </c>
      <c r="S4" s="3348"/>
      <c r="T4" s="3347" t="s">
        <v>947</v>
      </c>
      <c r="U4" s="3348"/>
      <c r="V4" s="3331" t="s">
        <v>948</v>
      </c>
      <c r="W4" s="3331"/>
      <c r="X4" s="1069"/>
      <c r="Y4" s="3347" t="s">
        <v>950</v>
      </c>
      <c r="Z4" s="3348"/>
      <c r="AA4" s="3336" t="s">
        <v>946</v>
      </c>
      <c r="AB4" s="3337" t="s">
        <v>947</v>
      </c>
      <c r="AC4" s="3336" t="s">
        <v>948</v>
      </c>
    </row>
    <row r="5" spans="1:29" ht="15">
      <c r="A5" s="878"/>
      <c r="B5" s="879"/>
      <c r="C5" s="3319" t="s">
        <v>951</v>
      </c>
      <c r="D5" s="3320"/>
      <c r="E5" s="3321" t="s">
        <v>1934</v>
      </c>
      <c r="F5" s="3322"/>
      <c r="G5" s="3319" t="s">
        <v>1935</v>
      </c>
      <c r="H5" s="3320"/>
      <c r="I5" s="3319" t="s">
        <v>1936</v>
      </c>
      <c r="J5" s="3320"/>
      <c r="K5" s="1020"/>
      <c r="L5" s="1021"/>
      <c r="M5" s="971"/>
      <c r="N5" s="971"/>
      <c r="O5" s="971"/>
      <c r="P5" s="3343"/>
      <c r="Q5" s="3344"/>
      <c r="R5" s="3349"/>
      <c r="S5" s="3350"/>
      <c r="T5" s="3349"/>
      <c r="U5" s="3350"/>
      <c r="V5" s="3331"/>
      <c r="W5" s="3331"/>
      <c r="X5" s="1069"/>
      <c r="Y5" s="3349"/>
      <c r="Z5" s="3350"/>
      <c r="AA5" s="3337"/>
      <c r="AB5" s="3337"/>
      <c r="AC5" s="3337"/>
    </row>
    <row r="6" spans="1:29" ht="15">
      <c r="A6" s="880"/>
      <c r="B6" s="881"/>
      <c r="C6" s="3428" t="s">
        <v>1976</v>
      </c>
      <c r="D6" s="3429"/>
      <c r="E6" s="3430" t="s">
        <v>1976</v>
      </c>
      <c r="F6" s="3431"/>
      <c r="G6" s="3428" t="s">
        <v>1976</v>
      </c>
      <c r="H6" s="3429"/>
      <c r="I6" s="3428" t="s">
        <v>1976</v>
      </c>
      <c r="J6" s="3429"/>
      <c r="K6" s="1020" t="s">
        <v>953</v>
      </c>
      <c r="L6" s="1021"/>
      <c r="M6" s="971"/>
      <c r="N6" s="971"/>
      <c r="O6" s="971"/>
      <c r="P6" s="3345"/>
      <c r="Q6" s="3346"/>
      <c r="R6" s="3349"/>
      <c r="S6" s="3350"/>
      <c r="T6" s="3351"/>
      <c r="U6" s="3352"/>
      <c r="V6" s="3331"/>
      <c r="W6" s="3331"/>
      <c r="X6" s="1069"/>
      <c r="Y6" s="3351"/>
      <c r="Z6" s="3352"/>
      <c r="AA6" s="3338"/>
      <c r="AB6" s="3338"/>
      <c r="AC6" s="3338"/>
    </row>
    <row r="7" spans="1:29" s="855" customFormat="1" ht="15">
      <c r="A7" s="883" t="s">
        <v>954</v>
      </c>
      <c r="B7" s="884"/>
      <c r="C7" s="885">
        <f>'数据-取费表'!B2</f>
        <v>45475</v>
      </c>
      <c r="D7" s="886">
        <v>100</v>
      </c>
      <c r="E7" s="887"/>
      <c r="F7" s="888">
        <f>SUMIF(65:65,YEAR(E7)&amp;"-"&amp;INT((MONTH(E7)+2)/3),66:66)</f>
        <v>0</v>
      </c>
      <c r="G7" s="889"/>
      <c r="H7" s="886">
        <f>SUMIF(65:65,YEAR(G7)&amp;"-"&amp;INT((MONTH(G7)+2)/3),66:66)</f>
        <v>0</v>
      </c>
      <c r="I7" s="889"/>
      <c r="J7" s="886">
        <f>SUMIF(65:65,YEAR(I7)&amp;"-"&amp;INT((MONTH(I7)+2)/3),66:66)</f>
        <v>0</v>
      </c>
      <c r="K7" s="1025"/>
      <c r="L7" s="1026"/>
      <c r="M7" s="1027"/>
      <c r="N7" s="1027"/>
      <c r="O7" s="1027"/>
      <c r="P7" s="3327" t="s">
        <v>955</v>
      </c>
      <c r="Q7" s="3328"/>
      <c r="R7" s="1070" t="s">
        <v>956</v>
      </c>
      <c r="S7" s="1071">
        <f t="shared" ref="S7:S15" si="0">F7</f>
        <v>0</v>
      </c>
      <c r="T7" s="1070" t="s">
        <v>956</v>
      </c>
      <c r="U7" s="1071">
        <f t="shared" ref="U7:U15" si="1">H7</f>
        <v>0</v>
      </c>
      <c r="V7" s="1070" t="s">
        <v>956</v>
      </c>
      <c r="W7" s="1071">
        <f t="shared" ref="W7:W15" si="2">J7</f>
        <v>0</v>
      </c>
      <c r="X7" s="1072"/>
      <c r="Y7" s="3327" t="s">
        <v>955</v>
      </c>
      <c r="Z7" s="3329"/>
      <c r="AA7" s="1082" t="e">
        <f>D7/F7</f>
        <v>#DIV/0!</v>
      </c>
      <c r="AB7" s="1082" t="e">
        <f>D7/H7</f>
        <v>#DIV/0!</v>
      </c>
      <c r="AC7" s="1082" t="e">
        <f>D7/J7</f>
        <v>#DIV/0!</v>
      </c>
    </row>
    <row r="8" spans="1:29" s="855" customFormat="1" ht="15">
      <c r="A8" s="883" t="s">
        <v>957</v>
      </c>
      <c r="B8" s="884"/>
      <c r="C8" s="890" t="s">
        <v>958</v>
      </c>
      <c r="D8" s="886">
        <v>100</v>
      </c>
      <c r="E8" s="890"/>
      <c r="F8" s="888">
        <f>SUMIF(68:68,E8,69:69)-SUMIF(68:68,C8,69:69)+100</f>
        <v>0</v>
      </c>
      <c r="G8" s="890"/>
      <c r="H8" s="886">
        <f>SUMIF(68:68,G8,69:69)-SUMIF(68:68,C8,69:69)+100</f>
        <v>0</v>
      </c>
      <c r="I8" s="890"/>
      <c r="J8" s="886">
        <f>SUMIF(68:68,I8,69:69)-SUMIF(68:68,C8,69:69)+100</f>
        <v>0</v>
      </c>
      <c r="K8" s="1025"/>
      <c r="L8" s="1026"/>
      <c r="M8" s="1027"/>
      <c r="N8" s="1027"/>
      <c r="O8" s="1027"/>
      <c r="P8" s="3327" t="s">
        <v>959</v>
      </c>
      <c r="Q8" s="3329"/>
      <c r="R8" s="1070" t="s">
        <v>956</v>
      </c>
      <c r="S8" s="1071">
        <f t="shared" si="0"/>
        <v>0</v>
      </c>
      <c r="T8" s="1070" t="s">
        <v>956</v>
      </c>
      <c r="U8" s="1071">
        <f t="shared" si="1"/>
        <v>0</v>
      </c>
      <c r="V8" s="1070" t="s">
        <v>956</v>
      </c>
      <c r="W8" s="1071">
        <f t="shared" si="2"/>
        <v>0</v>
      </c>
      <c r="X8" s="1072"/>
      <c r="Y8" s="3327" t="s">
        <v>959</v>
      </c>
      <c r="Z8" s="3329"/>
      <c r="AA8" s="1082" t="e">
        <f t="shared" ref="AA8:AA40" si="3">D8/F8</f>
        <v>#DIV/0!</v>
      </c>
      <c r="AB8" s="1082" t="e">
        <f t="shared" ref="AB8:AB40" si="4">D8/H8</f>
        <v>#DIV/0!</v>
      </c>
      <c r="AC8" s="1082" t="e">
        <f t="shared" ref="AC8:AC40" si="5">D8/J8</f>
        <v>#DIV/0!</v>
      </c>
    </row>
    <row r="9" spans="1:29" s="855" customFormat="1">
      <c r="A9" s="891" t="s">
        <v>960</v>
      </c>
      <c r="B9" s="892" t="s">
        <v>961</v>
      </c>
      <c r="C9" s="893"/>
      <c r="D9" s="894">
        <v>100</v>
      </c>
      <c r="E9" s="893"/>
      <c r="F9" s="894">
        <f>SUMIF(70:70,E9,71:71)-SUMIF(70:70,C9,71:71)+100</f>
        <v>100</v>
      </c>
      <c r="G9" s="893"/>
      <c r="H9" s="894">
        <f>SUMIF(70:70,G9,71:71)-SUMIF(70:70,C9,71:71)+100</f>
        <v>100</v>
      </c>
      <c r="I9" s="893"/>
      <c r="J9" s="894">
        <f>SUMIF(70:70,I9,71:71)-SUMIF(70:70,C9,71:71)+100</f>
        <v>100</v>
      </c>
      <c r="K9" s="1025"/>
      <c r="L9" s="1026"/>
      <c r="M9" s="1027"/>
      <c r="N9" s="1027"/>
      <c r="O9" s="1029"/>
      <c r="P9" s="3330" t="s">
        <v>962</v>
      </c>
      <c r="Q9" s="795" t="str">
        <f t="shared" ref="Q9:Q15" si="6">B9</f>
        <v>用途</v>
      </c>
      <c r="R9" s="1070" t="s">
        <v>956</v>
      </c>
      <c r="S9" s="1071">
        <f t="shared" si="0"/>
        <v>100</v>
      </c>
      <c r="T9" s="1070" t="s">
        <v>956</v>
      </c>
      <c r="U9" s="1071">
        <f t="shared" si="1"/>
        <v>100</v>
      </c>
      <c r="V9" s="1070" t="s">
        <v>956</v>
      </c>
      <c r="W9" s="1071">
        <f t="shared" si="2"/>
        <v>100</v>
      </c>
      <c r="X9" s="1072"/>
      <c r="Y9" s="3306"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897"/>
      <c r="F10" s="898">
        <f>ROUND(100/'数据-取费表'!G16,0)</f>
        <v>102</v>
      </c>
      <c r="G10" s="897"/>
      <c r="H10" s="898">
        <f>ROUND(100/'数据-取费表'!G16,0)</f>
        <v>102</v>
      </c>
      <c r="I10" s="897"/>
      <c r="J10" s="898">
        <f>ROUND(100/'数据-取费表'!G16,0)</f>
        <v>102</v>
      </c>
      <c r="K10" s="1030"/>
      <c r="L10" s="1031"/>
      <c r="M10" s="1032"/>
      <c r="N10" s="1032"/>
      <c r="O10" s="1033"/>
      <c r="P10" s="3330"/>
      <c r="Q10" s="795" t="str">
        <f t="shared" si="6"/>
        <v>土地使用年限（年）</v>
      </c>
      <c r="R10" s="1070" t="s">
        <v>956</v>
      </c>
      <c r="S10" s="1071">
        <f t="shared" si="0"/>
        <v>102</v>
      </c>
      <c r="T10" s="1070" t="s">
        <v>956</v>
      </c>
      <c r="U10" s="1071">
        <f t="shared" si="1"/>
        <v>102</v>
      </c>
      <c r="V10" s="1070" t="s">
        <v>956</v>
      </c>
      <c r="W10" s="1071">
        <f t="shared" si="2"/>
        <v>102</v>
      </c>
      <c r="X10" s="1072"/>
      <c r="Y10" s="3306"/>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c r="D11" s="898">
        <v>100</v>
      </c>
      <c r="E11" s="900"/>
      <c r="F11" s="898" t="e">
        <f>LOOKUP(E11,75:75,76:76)-LOOKUP(C11,75:75,76:76)+100</f>
        <v>#N/A</v>
      </c>
      <c r="G11" s="901"/>
      <c r="H11" s="898" t="e">
        <f>LOOKUP(G11,75:75,76:76)-LOOKUP(C11,75:75,76:76)+100</f>
        <v>#N/A</v>
      </c>
      <c r="I11" s="900"/>
      <c r="J11" s="898" t="e">
        <f>LOOKUP(I11,75:75,76:76)-LOOKUP(C11,75:75,76:76)+100</f>
        <v>#N/A</v>
      </c>
      <c r="K11" s="1034"/>
      <c r="L11" s="1035"/>
      <c r="M11" s="971"/>
      <c r="N11" s="971"/>
      <c r="O11" s="1036"/>
      <c r="P11" s="3330"/>
      <c r="Q11" s="795" t="str">
        <f t="shared" si="6"/>
        <v>容积率</v>
      </c>
      <c r="R11" s="1070" t="s">
        <v>956</v>
      </c>
      <c r="S11" s="1071" t="e">
        <f t="shared" si="0"/>
        <v>#N/A</v>
      </c>
      <c r="T11" s="1070" t="s">
        <v>956</v>
      </c>
      <c r="U11" s="1071" t="e">
        <f t="shared" si="1"/>
        <v>#N/A</v>
      </c>
      <c r="V11" s="1070" t="s">
        <v>956</v>
      </c>
      <c r="W11" s="1071" t="e">
        <f t="shared" si="2"/>
        <v>#N/A</v>
      </c>
      <c r="X11" s="1072"/>
      <c r="Y11" s="3306"/>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5"/>
      <c r="F12" s="898">
        <f>SUMIF(77:77,E12,78:78)-SUMIF(77:77,C12,78:78)+100</f>
        <v>100</v>
      </c>
      <c r="G12" s="906"/>
      <c r="H12" s="898">
        <f>SUMIF(77:77,G12,78:78)-SUMIF(77:77,C12,78:78)+100</f>
        <v>100</v>
      </c>
      <c r="I12" s="905"/>
      <c r="J12" s="898">
        <f>SUMIF(77:77,I12,78:78)-SUMIF(77:77,C12,78:78)+100</f>
        <v>100</v>
      </c>
      <c r="K12" s="1030"/>
      <c r="L12" s="1026"/>
      <c r="M12" s="1027"/>
      <c r="N12" s="1027"/>
      <c r="O12" s="1029"/>
      <c r="P12" s="3330"/>
      <c r="Q12" s="795">
        <f t="shared" si="6"/>
        <v>111</v>
      </c>
      <c r="R12" s="1070" t="s">
        <v>956</v>
      </c>
      <c r="S12" s="1071">
        <f t="shared" si="0"/>
        <v>100</v>
      </c>
      <c r="T12" s="1070" t="s">
        <v>956</v>
      </c>
      <c r="U12" s="1071">
        <f t="shared" si="1"/>
        <v>100</v>
      </c>
      <c r="V12" s="1070" t="s">
        <v>956</v>
      </c>
      <c r="W12" s="1071">
        <f t="shared" si="2"/>
        <v>100</v>
      </c>
      <c r="X12" s="1072"/>
      <c r="Y12" s="3306"/>
      <c r="Z12" s="1082">
        <f t="shared" si="7"/>
        <v>111</v>
      </c>
      <c r="AA12" s="1082">
        <f t="shared" si="3"/>
        <v>1</v>
      </c>
      <c r="AB12" s="1082">
        <f t="shared" si="4"/>
        <v>1</v>
      </c>
      <c r="AC12" s="1082">
        <f t="shared" si="5"/>
        <v>1</v>
      </c>
    </row>
    <row r="13" spans="1:29" ht="15">
      <c r="A13" s="899"/>
      <c r="B13" s="903">
        <v>111</v>
      </c>
      <c r="C13" s="907"/>
      <c r="D13" s="765">
        <v>100</v>
      </c>
      <c r="E13" s="905"/>
      <c r="F13" s="898">
        <f>SUMIF(79:79,E13,80:80)-SUMIF(79:79,C13,80:80)+100</f>
        <v>100</v>
      </c>
      <c r="G13" s="906"/>
      <c r="H13" s="765">
        <f>SUMIF(79:79,G13,80:80)-SUMIF(79:79,C13,80:80)+100</f>
        <v>100</v>
      </c>
      <c r="I13" s="905"/>
      <c r="J13" s="765">
        <f>SUMIF(79:79,I13,80:80)-SUMIF(79:79,C13,80:80)+100</f>
        <v>100</v>
      </c>
      <c r="K13" s="1030"/>
      <c r="L13" s="1037"/>
      <c r="M13" s="971"/>
      <c r="N13" s="971"/>
      <c r="O13" s="1036"/>
      <c r="P13" s="3330"/>
      <c r="Q13" s="795">
        <f t="shared" si="6"/>
        <v>111</v>
      </c>
      <c r="R13" s="1070" t="s">
        <v>956</v>
      </c>
      <c r="S13" s="1071">
        <f t="shared" si="0"/>
        <v>100</v>
      </c>
      <c r="T13" s="1070" t="s">
        <v>956</v>
      </c>
      <c r="U13" s="1071">
        <f t="shared" si="1"/>
        <v>100</v>
      </c>
      <c r="V13" s="1070" t="s">
        <v>956</v>
      </c>
      <c r="W13" s="1071">
        <f t="shared" si="2"/>
        <v>100</v>
      </c>
      <c r="X13" s="1072"/>
      <c r="Y13" s="3306"/>
      <c r="Z13" s="1082">
        <f t="shared" si="7"/>
        <v>111</v>
      </c>
      <c r="AA13" s="1082">
        <f t="shared" si="3"/>
        <v>1</v>
      </c>
      <c r="AB13" s="1082">
        <f t="shared" si="4"/>
        <v>1</v>
      </c>
      <c r="AC13" s="1082">
        <f t="shared" si="5"/>
        <v>1</v>
      </c>
    </row>
    <row r="14" spans="1:29" ht="15">
      <c r="A14" s="908"/>
      <c r="B14" s="909">
        <v>111</v>
      </c>
      <c r="C14" s="910"/>
      <c r="D14" s="911">
        <v>100</v>
      </c>
      <c r="E14" s="905"/>
      <c r="F14" s="911">
        <f>SUMIF(81:81,E14,82:82)-SUMIF(81:81,C14,82:82)+100</f>
        <v>100</v>
      </c>
      <c r="G14" s="906"/>
      <c r="H14" s="911">
        <f>SUMIF(81:81,G14,82:82)-SUMIF(81:81,C14,82:82)+100</f>
        <v>100</v>
      </c>
      <c r="I14" s="905"/>
      <c r="J14" s="911">
        <f>SUMIF(81:81,I14,82:82)-SUMIF(81:81,C14,82:82)+100</f>
        <v>100</v>
      </c>
      <c r="K14" s="1030"/>
      <c r="L14" s="1037"/>
      <c r="M14" s="971"/>
      <c r="N14" s="971"/>
      <c r="O14" s="1036"/>
      <c r="P14" s="3330"/>
      <c r="Q14" s="795">
        <f t="shared" si="6"/>
        <v>111</v>
      </c>
      <c r="R14" s="1070" t="s">
        <v>956</v>
      </c>
      <c r="S14" s="1071">
        <f t="shared" si="0"/>
        <v>100</v>
      </c>
      <c r="T14" s="1070" t="s">
        <v>956</v>
      </c>
      <c r="U14" s="1071">
        <f t="shared" si="1"/>
        <v>100</v>
      </c>
      <c r="V14" s="1070" t="s">
        <v>956</v>
      </c>
      <c r="W14" s="1071">
        <f t="shared" si="2"/>
        <v>100</v>
      </c>
      <c r="X14" s="1072"/>
      <c r="Y14" s="3306"/>
      <c r="Z14" s="1082">
        <f t="shared" si="7"/>
        <v>111</v>
      </c>
      <c r="AA14" s="1082">
        <f t="shared" si="3"/>
        <v>1</v>
      </c>
      <c r="AB14" s="1082">
        <f t="shared" si="4"/>
        <v>1</v>
      </c>
      <c r="AC14" s="1082">
        <f t="shared" si="5"/>
        <v>1</v>
      </c>
    </row>
    <row r="15" spans="1:29" ht="57">
      <c r="A15" s="912" t="s">
        <v>967</v>
      </c>
      <c r="B15" s="913" t="s">
        <v>1952</v>
      </c>
      <c r="C15" s="914" t="str">
        <f>估价对象房地状况!G15</f>
        <v>估价对象位于XX开发区，园区建设成熟度XX，产业集聚程度XX</v>
      </c>
      <c r="D15" s="915">
        <v>100</v>
      </c>
      <c r="E15" s="916"/>
      <c r="F15" s="915">
        <f>SUMIF(83:83,E16,84:84)-SUMIF(83:83,C16,84:84)+100</f>
        <v>100</v>
      </c>
      <c r="G15" s="916"/>
      <c r="H15" s="915">
        <f>SUMIF(83:83,G16,84:84)-SUMIF(83:83,C16,84:84)+100</f>
        <v>100</v>
      </c>
      <c r="I15" s="1038"/>
      <c r="J15" s="915">
        <f>SUMIF(83:83,I16,84:84)-SUMIF(83:83,C16,84:84)+100</f>
        <v>100</v>
      </c>
      <c r="K15" s="1034"/>
      <c r="L15" s="1037"/>
      <c r="M15" s="971"/>
      <c r="N15" s="971"/>
      <c r="O15" s="1036"/>
      <c r="P15" s="3332" t="s">
        <v>969</v>
      </c>
      <c r="Q15" s="641" t="str">
        <f t="shared" si="6"/>
        <v>产业集聚程度</v>
      </c>
      <c r="R15" s="1074" t="s">
        <v>956</v>
      </c>
      <c r="S15" s="1075">
        <f t="shared" si="0"/>
        <v>100</v>
      </c>
      <c r="T15" s="1074" t="s">
        <v>956</v>
      </c>
      <c r="U15" s="1075">
        <f t="shared" si="1"/>
        <v>100</v>
      </c>
      <c r="V15" s="1074" t="s">
        <v>956</v>
      </c>
      <c r="W15" s="1075">
        <f t="shared" si="2"/>
        <v>100</v>
      </c>
      <c r="X15" s="1069"/>
      <c r="Y15" s="3332" t="s">
        <v>969</v>
      </c>
      <c r="Z15" s="1058" t="str">
        <f t="shared" si="7"/>
        <v>产业集聚程度</v>
      </c>
      <c r="AA15" s="1058">
        <f t="shared" si="3"/>
        <v>1</v>
      </c>
      <c r="AB15" s="1058">
        <f t="shared" si="4"/>
        <v>1</v>
      </c>
      <c r="AC15" s="1058">
        <f t="shared" si="5"/>
        <v>1</v>
      </c>
    </row>
    <row r="16" spans="1:29" ht="15">
      <c r="A16" s="899"/>
      <c r="B16" s="917"/>
      <c r="C16" s="918"/>
      <c r="D16" s="919"/>
      <c r="E16" s="920"/>
      <c r="F16" s="919"/>
      <c r="G16" s="920"/>
      <c r="H16" s="921"/>
      <c r="I16" s="920"/>
      <c r="J16" s="919"/>
      <c r="K16" s="1030"/>
      <c r="L16" s="1037"/>
      <c r="M16" s="971"/>
      <c r="N16" s="971"/>
      <c r="O16" s="1036"/>
      <c r="P16" s="3333"/>
      <c r="Q16" s="641"/>
      <c r="R16" s="1074"/>
      <c r="S16" s="1075"/>
      <c r="T16" s="1074"/>
      <c r="U16" s="1075"/>
      <c r="V16" s="1074"/>
      <c r="W16" s="1075"/>
      <c r="X16" s="1069"/>
      <c r="Y16" s="3333"/>
      <c r="Z16" s="1058"/>
      <c r="AA16" s="1058">
        <v>1</v>
      </c>
      <c r="AB16" s="1058">
        <v>1</v>
      </c>
      <c r="AC16" s="1058">
        <v>1</v>
      </c>
    </row>
    <row r="17" spans="1:29" ht="85.5">
      <c r="A17" s="899"/>
      <c r="B17" s="922" t="s">
        <v>973</v>
      </c>
      <c r="C17" s="923" t="str">
        <f>估价对象房地状况!G16</f>
        <v>估价对象周边道路状况、公共交通通达情况、停车便捷程度，综合评价交通便捷度较好</v>
      </c>
      <c r="D17" s="921">
        <v>100</v>
      </c>
      <c r="E17" s="924"/>
      <c r="F17" s="925">
        <f>SUMIF(85:85,E18,86:86)-SUMIF(85:85,C18,86:86)+100</f>
        <v>100</v>
      </c>
      <c r="G17" s="924"/>
      <c r="H17" s="925">
        <f>SUMIF(85:85,G18,86:86)-SUMIF(85:85,C18,86:86)+100</f>
        <v>100</v>
      </c>
      <c r="I17" s="1040"/>
      <c r="J17" s="921">
        <f>SUMIF(85:85,I18,86:86)-SUMIF(85:85,C18,86:86)+100</f>
        <v>100</v>
      </c>
      <c r="K17" s="1034"/>
      <c r="L17" s="1037"/>
      <c r="M17" s="971"/>
      <c r="N17" s="971"/>
      <c r="O17" s="1036"/>
      <c r="P17" s="3333"/>
      <c r="Q17" s="641" t="str">
        <f>B17</f>
        <v>交通便捷度</v>
      </c>
      <c r="R17" s="1074" t="s">
        <v>956</v>
      </c>
      <c r="S17" s="1075">
        <f>F17</f>
        <v>100</v>
      </c>
      <c r="T17" s="1074" t="s">
        <v>956</v>
      </c>
      <c r="U17" s="1075">
        <f>H17</f>
        <v>100</v>
      </c>
      <c r="V17" s="1074" t="s">
        <v>956</v>
      </c>
      <c r="W17" s="1075">
        <f>J17</f>
        <v>100</v>
      </c>
      <c r="X17" s="1069"/>
      <c r="Y17" s="3333"/>
      <c r="Z17" s="1058" t="str">
        <f>Q17</f>
        <v>交通便捷度</v>
      </c>
      <c r="AA17" s="1058">
        <f t="shared" si="3"/>
        <v>1</v>
      </c>
      <c r="AB17" s="1058">
        <f t="shared" si="4"/>
        <v>1</v>
      </c>
      <c r="AC17" s="1058">
        <f t="shared" si="5"/>
        <v>1</v>
      </c>
    </row>
    <row r="18" spans="1:29" ht="15">
      <c r="A18" s="899"/>
      <c r="B18" s="926"/>
      <c r="C18" s="918"/>
      <c r="D18" s="919"/>
      <c r="E18" s="927"/>
      <c r="F18" s="919"/>
      <c r="G18" s="927"/>
      <c r="H18" s="919"/>
      <c r="I18" s="1041"/>
      <c r="J18" s="919"/>
      <c r="K18" s="1030"/>
      <c r="L18" s="1037"/>
      <c r="M18" s="971"/>
      <c r="N18" s="971"/>
      <c r="O18" s="1036"/>
      <c r="P18" s="3333"/>
      <c r="Q18" s="641"/>
      <c r="R18" s="1074"/>
      <c r="S18" s="1075"/>
      <c r="T18" s="1074"/>
      <c r="U18" s="1075"/>
      <c r="V18" s="1074"/>
      <c r="W18" s="1075"/>
      <c r="X18" s="1069"/>
      <c r="Y18" s="3333"/>
      <c r="Z18" s="1058"/>
      <c r="AA18" s="1058">
        <v>1</v>
      </c>
      <c r="AB18" s="1058">
        <v>1</v>
      </c>
      <c r="AC18" s="1058">
        <v>1</v>
      </c>
    </row>
    <row r="19" spans="1:29" ht="15">
      <c r="A19" s="899"/>
      <c r="B19" s="922" t="s">
        <v>974</v>
      </c>
      <c r="C19" s="923">
        <f>估价对象房地状况!G17</f>
        <v>0</v>
      </c>
      <c r="D19" s="921">
        <v>100</v>
      </c>
      <c r="E19" s="924"/>
      <c r="F19" s="925">
        <f>SUMIF(87:87,E20,88:88)-SUMIF(87:87,C20,88:88)+100</f>
        <v>100</v>
      </c>
      <c r="G19" s="924"/>
      <c r="H19" s="925">
        <f>SUMIF(87:87,G20,88:88)-SUMIF(87:87,C20,88:88)+100</f>
        <v>100</v>
      </c>
      <c r="I19" s="924"/>
      <c r="J19" s="925">
        <f>SUMIF(87:87,I20,88:88)-SUMIF(87:87,C20,88:88)+100</f>
        <v>100</v>
      </c>
      <c r="K19" s="1034"/>
      <c r="L19" s="1037"/>
      <c r="M19" s="971"/>
      <c r="N19" s="971"/>
      <c r="O19" s="1036"/>
      <c r="P19" s="3333"/>
      <c r="Q19" s="641" t="str">
        <f t="shared" ref="Q19:Q34" si="8">B19</f>
        <v>区域土地利用方向</v>
      </c>
      <c r="R19" s="1074" t="s">
        <v>956</v>
      </c>
      <c r="S19" s="1075">
        <f>F19</f>
        <v>100</v>
      </c>
      <c r="T19" s="1074" t="s">
        <v>956</v>
      </c>
      <c r="U19" s="1075">
        <f>H19</f>
        <v>100</v>
      </c>
      <c r="V19" s="1074" t="s">
        <v>956</v>
      </c>
      <c r="W19" s="1075">
        <f>J19</f>
        <v>100</v>
      </c>
      <c r="X19" s="1069"/>
      <c r="Y19" s="3333"/>
      <c r="Z19" s="1058" t="str">
        <f>Q19</f>
        <v>区域土地利用方向</v>
      </c>
      <c r="AA19" s="1058">
        <f t="shared" si="3"/>
        <v>1</v>
      </c>
      <c r="AB19" s="1058">
        <f t="shared" si="4"/>
        <v>1</v>
      </c>
      <c r="AC19" s="1058">
        <f t="shared" si="5"/>
        <v>1</v>
      </c>
    </row>
    <row r="20" spans="1:29" ht="15">
      <c r="A20" s="878"/>
      <c r="B20" s="926"/>
      <c r="C20" s="918"/>
      <c r="D20" s="919"/>
      <c r="E20" s="927"/>
      <c r="F20" s="919"/>
      <c r="G20" s="927"/>
      <c r="H20" s="919"/>
      <c r="I20" s="927"/>
      <c r="J20" s="919"/>
      <c r="K20" s="1042"/>
      <c r="L20" s="1037"/>
      <c r="M20" s="971"/>
      <c r="N20" s="971"/>
      <c r="O20" s="1036"/>
      <c r="P20" s="3333"/>
      <c r="Q20" s="641"/>
      <c r="R20" s="1074"/>
      <c r="S20" s="1075"/>
      <c r="T20" s="1074"/>
      <c r="U20" s="1075"/>
      <c r="V20" s="1074"/>
      <c r="W20" s="1075"/>
      <c r="X20" s="1069"/>
      <c r="Y20" s="3333"/>
      <c r="Z20" s="1058"/>
      <c r="AA20" s="1058"/>
      <c r="AB20" s="1058"/>
      <c r="AC20" s="1058"/>
    </row>
    <row r="21" spans="1:29" ht="71.25">
      <c r="A21" s="878"/>
      <c r="B21" s="922" t="s">
        <v>1977</v>
      </c>
      <c r="C21" s="923" t="str">
        <f>估价对象房地状况!G18</f>
        <v>该园区内是否有污染型企业，绿化情况，卫生条件，整体环境状况判断</v>
      </c>
      <c r="D21" s="921">
        <v>100</v>
      </c>
      <c r="E21" s="924"/>
      <c r="F21" s="921">
        <f>SUMIF(89:89,E22,90:90)-SUMIF(89:89,C22,90:90)+100</f>
        <v>100</v>
      </c>
      <c r="G21" s="924"/>
      <c r="H21" s="921">
        <f>SUMIF(89:89,G22,90:90)-SUMIF(89:89,C22,90:90)+100</f>
        <v>100</v>
      </c>
      <c r="I21" s="1040"/>
      <c r="J21" s="921">
        <f>SUMIF(89:89,I22,90:90)-SUMIF(89:89,C22,90:90)+100</f>
        <v>100</v>
      </c>
      <c r="K21" s="1034"/>
      <c r="L21" s="1037"/>
      <c r="M21" s="971"/>
      <c r="N21" s="971"/>
      <c r="O21" s="1036"/>
      <c r="P21" s="3333"/>
      <c r="Q21" s="641" t="str">
        <f t="shared" si="8"/>
        <v>环境状况</v>
      </c>
      <c r="R21" s="1074" t="s">
        <v>956</v>
      </c>
      <c r="S21" s="1075">
        <f>F21</f>
        <v>100</v>
      </c>
      <c r="T21" s="1074" t="s">
        <v>956</v>
      </c>
      <c r="U21" s="1075">
        <f>H21</f>
        <v>100</v>
      </c>
      <c r="V21" s="1074" t="s">
        <v>956</v>
      </c>
      <c r="W21" s="1075">
        <f>J21</f>
        <v>100</v>
      </c>
      <c r="X21" s="1069"/>
      <c r="Y21" s="3333"/>
      <c r="Z21" s="1058" t="str">
        <f>Q21</f>
        <v>环境状况</v>
      </c>
      <c r="AA21" s="1058">
        <f t="shared" si="3"/>
        <v>1</v>
      </c>
      <c r="AB21" s="1058">
        <f t="shared" si="4"/>
        <v>1</v>
      </c>
      <c r="AC21" s="1058">
        <f t="shared" si="5"/>
        <v>1</v>
      </c>
    </row>
    <row r="22" spans="1:29" ht="15">
      <c r="A22" s="878"/>
      <c r="B22" s="926"/>
      <c r="C22" s="918"/>
      <c r="D22" s="919"/>
      <c r="E22" s="920"/>
      <c r="F22" s="919"/>
      <c r="G22" s="920"/>
      <c r="H22" s="919"/>
      <c r="I22" s="918"/>
      <c r="J22" s="919"/>
      <c r="K22" s="1030"/>
      <c r="L22" s="1037"/>
      <c r="M22" s="971"/>
      <c r="N22" s="971"/>
      <c r="O22" s="1036"/>
      <c r="P22" s="3333"/>
      <c r="Q22" s="641"/>
      <c r="R22" s="1074"/>
      <c r="S22" s="1075"/>
      <c r="T22" s="1074"/>
      <c r="U22" s="1075"/>
      <c r="V22" s="1074"/>
      <c r="W22" s="1075"/>
      <c r="X22" s="1069"/>
      <c r="Y22" s="3333"/>
      <c r="Z22" s="1058"/>
      <c r="AA22" s="1058">
        <v>1</v>
      </c>
      <c r="AB22" s="1058">
        <v>1</v>
      </c>
      <c r="AC22" s="1058">
        <v>1</v>
      </c>
    </row>
    <row r="23" spans="1:29" s="855" customFormat="1" ht="42.75">
      <c r="A23" s="928"/>
      <c r="B23" s="929" t="s">
        <v>976</v>
      </c>
      <c r="C23" s="923" t="str">
        <f>估价对象房地状况!G19</f>
        <v>估价对象所在区域公共配套设施齐备情况</v>
      </c>
      <c r="D23" s="921">
        <v>100</v>
      </c>
      <c r="E23" s="924"/>
      <c r="F23" s="921">
        <f>SUMIF(91:91,E24,92:92)-SUMIF(91:91,C24,92:92)+100</f>
        <v>100</v>
      </c>
      <c r="G23" s="924"/>
      <c r="H23" s="921">
        <f>SUMIF(91:91,G24,92:92)-SUMIF(91:91,C24,92:92)+100</f>
        <v>100</v>
      </c>
      <c r="I23" s="1040"/>
      <c r="J23" s="921">
        <f>SUMIF(91:91,I24,92:92)-SUMIF(91:91,C24,92:92)+100</f>
        <v>100</v>
      </c>
      <c r="K23" s="1034"/>
      <c r="L23" s="1026"/>
      <c r="M23" s="1027"/>
      <c r="N23" s="1027"/>
      <c r="O23" s="1029"/>
      <c r="P23" s="3333"/>
      <c r="Q23" s="795" t="str">
        <f t="shared" si="8"/>
        <v>公共配套设施</v>
      </c>
      <c r="R23" s="1070" t="s">
        <v>956</v>
      </c>
      <c r="S23" s="1071">
        <f>F23</f>
        <v>100</v>
      </c>
      <c r="T23" s="1070" t="s">
        <v>956</v>
      </c>
      <c r="U23" s="1071">
        <f>H23</f>
        <v>100</v>
      </c>
      <c r="V23" s="1070" t="s">
        <v>956</v>
      </c>
      <c r="W23" s="1071">
        <f>J23</f>
        <v>100</v>
      </c>
      <c r="X23" s="1072"/>
      <c r="Y23" s="3333"/>
      <c r="Z23" s="1082" t="str">
        <f>Q23</f>
        <v>公共配套设施</v>
      </c>
      <c r="AA23" s="1058">
        <f>D23/F23</f>
        <v>1</v>
      </c>
      <c r="AB23" s="1058">
        <f>D23/H23</f>
        <v>1</v>
      </c>
      <c r="AC23" s="1058">
        <f>D23/J23</f>
        <v>1</v>
      </c>
    </row>
    <row r="24" spans="1:29" s="855" customFormat="1" ht="15">
      <c r="A24" s="928"/>
      <c r="B24" s="926"/>
      <c r="C24" s="930"/>
      <c r="D24" s="919"/>
      <c r="E24" s="920"/>
      <c r="F24" s="919"/>
      <c r="G24" s="920"/>
      <c r="H24" s="919"/>
      <c r="I24" s="918"/>
      <c r="J24" s="919"/>
      <c r="K24" s="1030"/>
      <c r="L24" s="1026"/>
      <c r="M24" s="1027"/>
      <c r="N24" s="1027"/>
      <c r="O24" s="1029"/>
      <c r="P24" s="3333"/>
      <c r="Q24" s="795"/>
      <c r="R24" s="1070"/>
      <c r="S24" s="1071"/>
      <c r="T24" s="1070"/>
      <c r="U24" s="1071"/>
      <c r="V24" s="1070"/>
      <c r="W24" s="1071"/>
      <c r="X24" s="1072"/>
      <c r="Y24" s="3333"/>
      <c r="Z24" s="1082"/>
      <c r="AA24" s="1082">
        <v>1</v>
      </c>
      <c r="AB24" s="1082">
        <v>1</v>
      </c>
      <c r="AC24" s="1082">
        <v>1</v>
      </c>
    </row>
    <row r="25" spans="1:29" s="855" customFormat="1" ht="28.5">
      <c r="A25" s="928"/>
      <c r="B25" s="929" t="s">
        <v>977</v>
      </c>
      <c r="C25" s="923" t="str">
        <f>估价对象房地状况!G20</f>
        <v>估价对象所在区域基础设施水平</v>
      </c>
      <c r="D25" s="921">
        <v>100</v>
      </c>
      <c r="E25" s="924"/>
      <c r="F25" s="921">
        <f>SUMIF(93:93,E26,94:94)-SUMIF(93:93,C26,94:94)+100</f>
        <v>100</v>
      </c>
      <c r="G25" s="924"/>
      <c r="H25" s="921">
        <f>SUMIF(93:93,G26,94:94)-SUMIF(93:93,C26,94:94)+100</f>
        <v>100</v>
      </c>
      <c r="I25" s="1040"/>
      <c r="J25" s="921">
        <f>SUMIF(93:93,I26,94:94)-SUMIF(93:93,C26,94:94)+100</f>
        <v>100</v>
      </c>
      <c r="K25" s="1034"/>
      <c r="L25" s="1026"/>
      <c r="M25" s="1027"/>
      <c r="N25" s="1027"/>
      <c r="O25" s="1029"/>
      <c r="P25" s="3333"/>
      <c r="Q25" s="795" t="str">
        <f t="shared" ref="Q25" si="9">B25</f>
        <v>基础设施水平</v>
      </c>
      <c r="R25" s="1070" t="s">
        <v>956</v>
      </c>
      <c r="S25" s="1071">
        <f>F25</f>
        <v>100</v>
      </c>
      <c r="T25" s="1070" t="s">
        <v>956</v>
      </c>
      <c r="U25" s="1071">
        <f>H25</f>
        <v>100</v>
      </c>
      <c r="V25" s="1070" t="s">
        <v>956</v>
      </c>
      <c r="W25" s="1071">
        <f>J25</f>
        <v>100</v>
      </c>
      <c r="X25" s="1072"/>
      <c r="Y25" s="3333"/>
      <c r="Z25" s="1082" t="str">
        <f>Q25</f>
        <v>基础设施水平</v>
      </c>
      <c r="AA25" s="1058">
        <f>D25/F25</f>
        <v>1</v>
      </c>
      <c r="AB25" s="1058">
        <f>D25/H25</f>
        <v>1</v>
      </c>
      <c r="AC25" s="1058">
        <f>D25/J25</f>
        <v>1</v>
      </c>
    </row>
    <row r="26" spans="1:29" s="855" customFormat="1" ht="15">
      <c r="A26" s="928"/>
      <c r="B26" s="926"/>
      <c r="C26" s="930"/>
      <c r="D26" s="919"/>
      <c r="E26" s="931"/>
      <c r="F26" s="919"/>
      <c r="G26" s="931"/>
      <c r="H26" s="919"/>
      <c r="I26" s="931"/>
      <c r="J26" s="919"/>
      <c r="K26" s="1030"/>
      <c r="L26" s="1026"/>
      <c r="M26" s="1027"/>
      <c r="N26" s="1027"/>
      <c r="O26" s="1029"/>
      <c r="P26" s="3333"/>
      <c r="Q26" s="795"/>
      <c r="R26" s="1070"/>
      <c r="S26" s="1071"/>
      <c r="T26" s="1070"/>
      <c r="U26" s="1071"/>
      <c r="V26" s="1070"/>
      <c r="W26" s="1071"/>
      <c r="X26" s="1072"/>
      <c r="Y26" s="3333"/>
      <c r="Z26" s="1082"/>
      <c r="AA26" s="1082">
        <v>1</v>
      </c>
      <c r="AB26" s="1082">
        <v>1</v>
      </c>
      <c r="AC26" s="1082">
        <v>1</v>
      </c>
    </row>
    <row r="27" spans="1:29" ht="15">
      <c r="A27" s="899"/>
      <c r="B27" s="926" t="s">
        <v>978</v>
      </c>
      <c r="C27" s="932"/>
      <c r="D27" s="765">
        <v>100</v>
      </c>
      <c r="E27" s="933"/>
      <c r="F27" s="765">
        <f>SUMIF(95:95,E27,96:96)-SUMIF(95:95,C27,96:96)+100</f>
        <v>100</v>
      </c>
      <c r="G27" s="933"/>
      <c r="H27" s="765">
        <f>SUMIF(95:95,G27,96:96)-SUMIF(95:95,C27,96:96)+100</f>
        <v>100</v>
      </c>
      <c r="I27" s="933"/>
      <c r="J27" s="765">
        <f>SUMIF(95:95,I27,96:96)-SUMIF(95:95,C27,96:96)+100</f>
        <v>100</v>
      </c>
      <c r="K27" s="1034"/>
      <c r="L27" s="1037"/>
      <c r="M27" s="971"/>
      <c r="N27" s="971"/>
      <c r="O27" s="1036"/>
      <c r="P27" s="3333"/>
      <c r="Q27" s="641" t="str">
        <f t="shared" si="8"/>
        <v>临街状况</v>
      </c>
      <c r="R27" s="1074" t="s">
        <v>956</v>
      </c>
      <c r="S27" s="1075">
        <f t="shared" ref="S27:S40" si="10">F27</f>
        <v>100</v>
      </c>
      <c r="T27" s="1074" t="s">
        <v>956</v>
      </c>
      <c r="U27" s="1075">
        <f t="shared" ref="U27:U40" si="11">H27</f>
        <v>100</v>
      </c>
      <c r="V27" s="1074" t="s">
        <v>956</v>
      </c>
      <c r="W27" s="1075">
        <f t="shared" ref="W27:W40" si="12">J27</f>
        <v>100</v>
      </c>
      <c r="X27" s="1069"/>
      <c r="Y27" s="3333"/>
      <c r="Z27" s="1058" t="str">
        <f t="shared" ref="Z27:Z40" si="13">Q27</f>
        <v>临街状况</v>
      </c>
      <c r="AA27" s="1058">
        <f t="shared" si="3"/>
        <v>1</v>
      </c>
      <c r="AB27" s="1058">
        <f t="shared" si="4"/>
        <v>1</v>
      </c>
      <c r="AC27" s="1058">
        <f t="shared" si="5"/>
        <v>1</v>
      </c>
    </row>
    <row r="28" spans="1:29" ht="27">
      <c r="A28" s="899"/>
      <c r="B28" s="929" t="s">
        <v>980</v>
      </c>
      <c r="C28" s="934">
        <f>估价对象房地状况!G22</f>
        <v>0</v>
      </c>
      <c r="D28" s="921">
        <v>100</v>
      </c>
      <c r="E28" s="924"/>
      <c r="F28" s="921">
        <f>SUMIF(97:97,E29,98:98)-SUMIF(97:97,C29,98:98)+100</f>
        <v>100</v>
      </c>
      <c r="G28" s="924"/>
      <c r="H28" s="921">
        <f>SUMIF(97:97,G29,98:98)-SUMIF(97:97,C29,98:98)+100</f>
        <v>100</v>
      </c>
      <c r="I28" s="1040"/>
      <c r="J28" s="921">
        <f>SUMIF(97:97,I29,98:98)-SUMIF(97:97,C29,98:98)+100</f>
        <v>100</v>
      </c>
      <c r="K28" s="1034"/>
      <c r="L28" s="1037"/>
      <c r="M28" s="971"/>
      <c r="N28" s="971"/>
      <c r="O28" s="1036"/>
      <c r="P28" s="3333"/>
      <c r="Q28" s="641" t="str">
        <f t="shared" si="8"/>
        <v>毗邻道路的类型与等级</v>
      </c>
      <c r="R28" s="1074" t="s">
        <v>956</v>
      </c>
      <c r="S28" s="1075">
        <f t="shared" si="10"/>
        <v>100</v>
      </c>
      <c r="T28" s="1074" t="s">
        <v>956</v>
      </c>
      <c r="U28" s="1075">
        <f t="shared" si="11"/>
        <v>100</v>
      </c>
      <c r="V28" s="1074" t="s">
        <v>956</v>
      </c>
      <c r="W28" s="1075">
        <f t="shared" si="12"/>
        <v>100</v>
      </c>
      <c r="X28" s="1069"/>
      <c r="Y28" s="3333"/>
      <c r="Z28" s="1058" t="str">
        <f t="shared" si="13"/>
        <v>毗邻道路的类型与等级</v>
      </c>
      <c r="AA28" s="1058">
        <f t="shared" si="3"/>
        <v>1</v>
      </c>
      <c r="AB28" s="1058">
        <f t="shared" si="4"/>
        <v>1</v>
      </c>
      <c r="AC28" s="1058">
        <f t="shared" si="5"/>
        <v>1</v>
      </c>
    </row>
    <row r="29" spans="1:29" ht="15">
      <c r="A29" s="899"/>
      <c r="B29" s="926"/>
      <c r="C29" s="918"/>
      <c r="D29" s="919"/>
      <c r="E29" s="920"/>
      <c r="F29" s="919"/>
      <c r="G29" s="920"/>
      <c r="H29" s="919"/>
      <c r="I29" s="920"/>
      <c r="J29" s="919"/>
      <c r="K29" s="1043"/>
      <c r="L29" s="1037"/>
      <c r="M29" s="971"/>
      <c r="N29" s="971"/>
      <c r="O29" s="1036"/>
      <c r="P29" s="3333"/>
      <c r="Q29" s="641"/>
      <c r="R29" s="1074"/>
      <c r="S29" s="1075"/>
      <c r="T29" s="1074"/>
      <c r="U29" s="1075"/>
      <c r="V29" s="1074"/>
      <c r="W29" s="1075"/>
      <c r="X29" s="1069"/>
      <c r="Y29" s="3333"/>
      <c r="Z29" s="1058"/>
      <c r="AA29" s="1058">
        <v>1</v>
      </c>
      <c r="AB29" s="1058">
        <v>1</v>
      </c>
      <c r="AC29" s="1058">
        <v>1</v>
      </c>
    </row>
    <row r="30" spans="1:29" ht="15">
      <c r="A30" s="899"/>
      <c r="B30" s="898" t="s">
        <v>981</v>
      </c>
      <c r="C30" s="935">
        <f>估价对象房地状况!G23</f>
        <v>0</v>
      </c>
      <c r="D30" s="765">
        <v>100</v>
      </c>
      <c r="E30" s="933"/>
      <c r="F30" s="765">
        <f>SUMIF(99:99,E30,100:100)-SUMIF(99:99,C30,100:100)+100</f>
        <v>100</v>
      </c>
      <c r="G30" s="933"/>
      <c r="H30" s="765">
        <f>SUMIF(99:99,G30,100:100)-SUMIF(99:99,C30,100:100)+100</f>
        <v>100</v>
      </c>
      <c r="I30" s="933"/>
      <c r="J30" s="765">
        <f>SUMIF(99:99,I30,100:100)-SUMIF(99:99,C30,100:100)+100</f>
        <v>100</v>
      </c>
      <c r="K30" s="1044"/>
      <c r="L30" s="1037"/>
      <c r="M30" s="971"/>
      <c r="N30" s="971"/>
      <c r="O30" s="1036"/>
      <c r="P30" s="3333"/>
      <c r="Q30" s="641" t="str">
        <f t="shared" si="8"/>
        <v>土地级别</v>
      </c>
      <c r="R30" s="1074" t="s">
        <v>956</v>
      </c>
      <c r="S30" s="1075">
        <f t="shared" si="10"/>
        <v>100</v>
      </c>
      <c r="T30" s="1074" t="s">
        <v>956</v>
      </c>
      <c r="U30" s="1075">
        <f t="shared" si="11"/>
        <v>100</v>
      </c>
      <c r="V30" s="1074" t="s">
        <v>956</v>
      </c>
      <c r="W30" s="1075">
        <f t="shared" si="12"/>
        <v>100</v>
      </c>
      <c r="X30" s="1069"/>
      <c r="Y30" s="3333"/>
      <c r="Z30" s="1058" t="str">
        <f t="shared" si="13"/>
        <v>土地级别</v>
      </c>
      <c r="AA30" s="1058">
        <f t="shared" si="3"/>
        <v>1</v>
      </c>
      <c r="AB30" s="1058">
        <f t="shared" si="4"/>
        <v>1</v>
      </c>
      <c r="AC30" s="1058">
        <f t="shared" si="5"/>
        <v>1</v>
      </c>
    </row>
    <row r="31" spans="1:29" ht="15">
      <c r="A31" s="878"/>
      <c r="B31" s="936">
        <v>111</v>
      </c>
      <c r="C31" s="906"/>
      <c r="D31" s="765">
        <v>100</v>
      </c>
      <c r="E31" s="937"/>
      <c r="F31" s="765">
        <f>SUMIF(101:101,E31,102:102)-SUMIF(101:101,C31,102:102)+100</f>
        <v>100</v>
      </c>
      <c r="G31" s="937"/>
      <c r="H31" s="765">
        <f>SUMIF(101:101,G31,102:102)-SUMIF(101:101,C31,102:102)+100</f>
        <v>100</v>
      </c>
      <c r="I31" s="905"/>
      <c r="J31" s="765">
        <f>SUMIF(101:101,I31,102:102)-SUMIF(101:101,C31,102:102)+100</f>
        <v>100</v>
      </c>
      <c r="K31" s="1043"/>
      <c r="L31" s="1037"/>
      <c r="M31" s="971"/>
      <c r="N31" s="971"/>
      <c r="O31" s="1036"/>
      <c r="P31" s="3333"/>
      <c r="Q31" s="641">
        <f t="shared" si="8"/>
        <v>111</v>
      </c>
      <c r="R31" s="1074" t="s">
        <v>956</v>
      </c>
      <c r="S31" s="1075">
        <f t="shared" si="10"/>
        <v>100</v>
      </c>
      <c r="T31" s="1074" t="s">
        <v>956</v>
      </c>
      <c r="U31" s="1075">
        <f t="shared" si="11"/>
        <v>100</v>
      </c>
      <c r="V31" s="1074" t="s">
        <v>956</v>
      </c>
      <c r="W31" s="1075">
        <f t="shared" si="12"/>
        <v>100</v>
      </c>
      <c r="X31" s="1069"/>
      <c r="Y31" s="3333"/>
      <c r="Z31" s="1058">
        <f t="shared" si="13"/>
        <v>111</v>
      </c>
      <c r="AA31" s="1058">
        <f t="shared" si="3"/>
        <v>1</v>
      </c>
      <c r="AB31" s="1058">
        <f t="shared" si="4"/>
        <v>1</v>
      </c>
      <c r="AC31" s="1058">
        <f t="shared" si="5"/>
        <v>1</v>
      </c>
    </row>
    <row r="32" spans="1:29" ht="15">
      <c r="A32" s="938"/>
      <c r="B32" s="939">
        <v>111</v>
      </c>
      <c r="C32" s="906"/>
      <c r="D32" s="765">
        <v>100</v>
      </c>
      <c r="E32" s="937"/>
      <c r="F32" s="765">
        <f>SUMIF(103:103,E33,104:104)-SUMIF(103:103,C33,104:104)+100</f>
        <v>100</v>
      </c>
      <c r="G32" s="937"/>
      <c r="H32" s="765">
        <f>SUMIF(103:103,G32,104:104)-SUMIF(103:103,C32,104:104)+100</f>
        <v>100</v>
      </c>
      <c r="I32" s="906"/>
      <c r="J32" s="765">
        <f>SUMIF(103:103,I32,104:104)-SUMIF(103:103,C32,104:104)+100</f>
        <v>100</v>
      </c>
      <c r="K32" s="1043"/>
      <c r="L32" s="1037"/>
      <c r="M32" s="971"/>
      <c r="N32" s="971"/>
      <c r="O32" s="1036"/>
      <c r="P32" s="3334" t="s">
        <v>982</v>
      </c>
      <c r="Q32" s="641">
        <f t="shared" si="8"/>
        <v>111</v>
      </c>
      <c r="R32" s="1074" t="s">
        <v>956</v>
      </c>
      <c r="S32" s="1075">
        <f t="shared" si="10"/>
        <v>100</v>
      </c>
      <c r="T32" s="1074" t="s">
        <v>956</v>
      </c>
      <c r="U32" s="1075">
        <f t="shared" si="11"/>
        <v>100</v>
      </c>
      <c r="V32" s="1074" t="s">
        <v>956</v>
      </c>
      <c r="W32" s="1075">
        <f t="shared" si="12"/>
        <v>100</v>
      </c>
      <c r="X32" s="1069"/>
      <c r="Y32" s="3335" t="s">
        <v>982</v>
      </c>
      <c r="Z32" s="1058">
        <f t="shared" si="13"/>
        <v>111</v>
      </c>
      <c r="AA32" s="1058">
        <f t="shared" si="3"/>
        <v>1</v>
      </c>
      <c r="AB32" s="1058">
        <f t="shared" si="4"/>
        <v>1</v>
      </c>
      <c r="AC32" s="1058">
        <f t="shared" si="5"/>
        <v>1</v>
      </c>
    </row>
    <row r="33" spans="1:31" s="857" customFormat="1" ht="15">
      <c r="A33" s="940"/>
      <c r="B33" s="941">
        <v>111</v>
      </c>
      <c r="C33" s="942"/>
      <c r="D33" s="943">
        <v>100</v>
      </c>
      <c r="E33" s="944"/>
      <c r="F33" s="911">
        <f>SUMIF(105:105,E33,106:106)-SUMIF(105:105,C33,106:106)+100</f>
        <v>100</v>
      </c>
      <c r="G33" s="944"/>
      <c r="H33" s="911">
        <f>SUMIF(105:105,G33,106:106)-SUMIF(105:105,C33,106:106)+100</f>
        <v>100</v>
      </c>
      <c r="I33" s="942"/>
      <c r="J33" s="911">
        <f>SUMIF(105:105,I33,106:106)-SUMIF(105:105,C33,106:106)+100</f>
        <v>100</v>
      </c>
      <c r="K33" s="1043"/>
      <c r="L33" s="1035"/>
      <c r="M33" s="1045"/>
      <c r="N33" s="1045"/>
      <c r="O33" s="1046"/>
      <c r="P33" s="3335"/>
      <c r="Q33" s="641">
        <f t="shared" si="8"/>
        <v>111</v>
      </c>
      <c r="R33" s="1076" t="s">
        <v>956</v>
      </c>
      <c r="S33" s="1077">
        <f t="shared" si="10"/>
        <v>100</v>
      </c>
      <c r="T33" s="1076" t="s">
        <v>956</v>
      </c>
      <c r="U33" s="1077">
        <f t="shared" si="11"/>
        <v>100</v>
      </c>
      <c r="V33" s="1076" t="s">
        <v>956</v>
      </c>
      <c r="W33" s="1077">
        <f t="shared" si="12"/>
        <v>100</v>
      </c>
      <c r="X33" s="1078"/>
      <c r="Y33" s="3335"/>
      <c r="Z33" s="1083">
        <f t="shared" si="13"/>
        <v>111</v>
      </c>
      <c r="AA33" s="1058">
        <f t="shared" si="3"/>
        <v>1</v>
      </c>
      <c r="AB33" s="1058">
        <f t="shared" si="4"/>
        <v>1</v>
      </c>
      <c r="AC33" s="1058">
        <f t="shared" si="5"/>
        <v>1</v>
      </c>
    </row>
    <row r="34" spans="1:31" ht="15">
      <c r="A34" s="912" t="s">
        <v>983</v>
      </c>
      <c r="B34" s="945" t="s">
        <v>984</v>
      </c>
      <c r="C34" s="946"/>
      <c r="D34" s="876">
        <v>100</v>
      </c>
      <c r="E34" s="946"/>
      <c r="F34" s="876" t="e">
        <f>LOOKUP(E34,108:108,109:109)-LOOKUP(C34,108:108,109:109)+100</f>
        <v>#N/A</v>
      </c>
      <c r="G34" s="946"/>
      <c r="H34" s="876" t="e">
        <f>LOOKUP(G34,108:108,109:109)-LOOKUP(C34,108:108,109:109)+100</f>
        <v>#N/A</v>
      </c>
      <c r="I34" s="1047"/>
      <c r="J34" s="876" t="e">
        <f>LOOKUP(I34,108:108,109:109)-LOOKUP(C34,108:108,109:109)+100</f>
        <v>#N/A</v>
      </c>
      <c r="K34" s="1043"/>
      <c r="L34" s="1037"/>
      <c r="M34" s="971"/>
      <c r="N34" s="971"/>
      <c r="O34" s="1036"/>
      <c r="P34" s="3335"/>
      <c r="Q34" s="641" t="str">
        <f t="shared" si="8"/>
        <v>宗地面积</v>
      </c>
      <c r="R34" s="1074" t="s">
        <v>956</v>
      </c>
      <c r="S34" s="1075" t="e">
        <f t="shared" si="10"/>
        <v>#N/A</v>
      </c>
      <c r="T34" s="1074" t="s">
        <v>956</v>
      </c>
      <c r="U34" s="1075" t="e">
        <f t="shared" si="11"/>
        <v>#N/A</v>
      </c>
      <c r="V34" s="1074" t="s">
        <v>956</v>
      </c>
      <c r="W34" s="1075" t="e">
        <f t="shared" si="12"/>
        <v>#N/A</v>
      </c>
      <c r="X34" s="1069"/>
      <c r="Y34" s="3335"/>
      <c r="Z34" s="1058" t="str">
        <f t="shared" si="13"/>
        <v>宗地面积</v>
      </c>
      <c r="AA34" s="1058" t="e">
        <f t="shared" si="3"/>
        <v>#N/A</v>
      </c>
      <c r="AB34" s="1058" t="e">
        <f t="shared" si="4"/>
        <v>#N/A</v>
      </c>
      <c r="AC34" s="1058" t="e">
        <f t="shared" si="5"/>
        <v>#N/A</v>
      </c>
    </row>
    <row r="35" spans="1:31" ht="15">
      <c r="A35" s="947"/>
      <c r="B35" s="896" t="s">
        <v>985</v>
      </c>
      <c r="C35" s="948"/>
      <c r="D35" s="765">
        <v>100</v>
      </c>
      <c r="E35" s="948"/>
      <c r="F35" s="765">
        <f>SUMIF(110:110,E35,111:111)-SUMIF(110:110,C35,111:111)+100</f>
        <v>100</v>
      </c>
      <c r="G35" s="948"/>
      <c r="H35" s="765">
        <f>SUMIF(110:110,G35,111:111)-SUMIF(110:110,C35,111:111)+100</f>
        <v>100</v>
      </c>
      <c r="I35" s="948"/>
      <c r="J35" s="765">
        <f>SUMIF(110:110,I35,111:111)-SUMIF(110:110,C35,111:111)+100</f>
        <v>100</v>
      </c>
      <c r="K35" s="1044"/>
      <c r="L35" s="1037"/>
      <c r="M35" s="971"/>
      <c r="N35" s="971"/>
      <c r="O35" s="1036"/>
      <c r="P35" s="3335"/>
      <c r="Q35" s="641" t="str">
        <f t="shared" ref="Q35:Q40" si="14">B35</f>
        <v>宗地形状</v>
      </c>
      <c r="R35" s="1074" t="s">
        <v>956</v>
      </c>
      <c r="S35" s="1075">
        <f t="shared" si="10"/>
        <v>100</v>
      </c>
      <c r="T35" s="1074" t="s">
        <v>956</v>
      </c>
      <c r="U35" s="1075">
        <f t="shared" si="11"/>
        <v>100</v>
      </c>
      <c r="V35" s="1074" t="s">
        <v>956</v>
      </c>
      <c r="W35" s="1075">
        <f t="shared" si="12"/>
        <v>100</v>
      </c>
      <c r="X35" s="1069"/>
      <c r="Y35" s="3335"/>
      <c r="Z35" s="1058" t="str">
        <f t="shared" si="13"/>
        <v>宗地形状</v>
      </c>
      <c r="AA35" s="1058">
        <f t="shared" si="3"/>
        <v>1</v>
      </c>
      <c r="AB35" s="1058">
        <f t="shared" si="4"/>
        <v>1</v>
      </c>
      <c r="AC35" s="1058">
        <f t="shared" si="5"/>
        <v>1</v>
      </c>
    </row>
    <row r="36" spans="1:31" s="855" customFormat="1" ht="15">
      <c r="A36" s="949"/>
      <c r="B36" s="896" t="s">
        <v>989</v>
      </c>
      <c r="C36" s="950"/>
      <c r="D36" s="898">
        <v>100</v>
      </c>
      <c r="E36" s="950"/>
      <c r="F36" s="765">
        <f>SUMIF(112:112,E36,113:113)-SUMIF(112:112,C36,113:113)+100</f>
        <v>100</v>
      </c>
      <c r="G36" s="950"/>
      <c r="H36" s="765">
        <f>SUMIF(112:112,G36,113:113)-SUMIF(112:112,C36,113:113)+100</f>
        <v>100</v>
      </c>
      <c r="I36" s="950"/>
      <c r="J36" s="765">
        <f>SUMIF(112:112,I36,113:113)-SUMIF(112:112,C36,113:113)+100</f>
        <v>100</v>
      </c>
      <c r="K36" s="1044"/>
      <c r="L36" s="1026"/>
      <c r="M36" s="1027"/>
      <c r="N36" s="1027"/>
      <c r="O36" s="1029"/>
      <c r="P36" s="3335"/>
      <c r="Q36" s="641" t="str">
        <f t="shared" si="14"/>
        <v>宗地开发程度</v>
      </c>
      <c r="R36" s="1070" t="s">
        <v>956</v>
      </c>
      <c r="S36" s="1071">
        <f t="shared" si="10"/>
        <v>100</v>
      </c>
      <c r="T36" s="1070" t="s">
        <v>956</v>
      </c>
      <c r="U36" s="1071">
        <f t="shared" si="11"/>
        <v>100</v>
      </c>
      <c r="V36" s="1070" t="s">
        <v>956</v>
      </c>
      <c r="W36" s="1071">
        <f t="shared" si="12"/>
        <v>100</v>
      </c>
      <c r="X36" s="1072"/>
      <c r="Y36" s="3335"/>
      <c r="Z36" s="1082" t="str">
        <f t="shared" si="13"/>
        <v>宗地开发程度</v>
      </c>
      <c r="AA36" s="1082">
        <f t="shared" si="3"/>
        <v>1</v>
      </c>
      <c r="AB36" s="1082">
        <f t="shared" si="4"/>
        <v>1</v>
      </c>
      <c r="AC36" s="1082">
        <f t="shared" si="5"/>
        <v>1</v>
      </c>
    </row>
    <row r="37" spans="1:31" ht="15">
      <c r="A37" s="947"/>
      <c r="B37" s="896" t="s">
        <v>990</v>
      </c>
      <c r="C37" s="948"/>
      <c r="D37" s="765">
        <v>100</v>
      </c>
      <c r="E37" s="948"/>
      <c r="F37" s="765">
        <f>SUMIF(114:114,E37,115:115)-SUMIF(114:114,C37,115:115)+100</f>
        <v>100</v>
      </c>
      <c r="G37" s="948"/>
      <c r="H37" s="765">
        <f>SUMIF(114:114,G37,115:115)-SUMIF(114:114,C37,115:115)+100</f>
        <v>100</v>
      </c>
      <c r="I37" s="948"/>
      <c r="J37" s="765">
        <f>SUMIF(114:114,I37,115:115)-SUMIF(114:114,C37,115:115)+100</f>
        <v>100</v>
      </c>
      <c r="K37" s="1044"/>
      <c r="L37" s="1037"/>
      <c r="M37" s="971"/>
      <c r="N37" s="971"/>
      <c r="O37" s="1036"/>
      <c r="P37" s="3335" t="s">
        <v>982</v>
      </c>
      <c r="Q37" s="641" t="str">
        <f t="shared" si="14"/>
        <v>工程地质条件</v>
      </c>
      <c r="R37" s="1074" t="s">
        <v>956</v>
      </c>
      <c r="S37" s="1075">
        <f t="shared" si="10"/>
        <v>100</v>
      </c>
      <c r="T37" s="1074" t="s">
        <v>956</v>
      </c>
      <c r="U37" s="1075">
        <f t="shared" si="11"/>
        <v>100</v>
      </c>
      <c r="V37" s="1074" t="s">
        <v>956</v>
      </c>
      <c r="W37" s="1075">
        <f t="shared" si="12"/>
        <v>100</v>
      </c>
      <c r="X37" s="1069"/>
      <c r="Y37" s="3335" t="s">
        <v>982</v>
      </c>
      <c r="Z37" s="1058" t="str">
        <f t="shared" si="13"/>
        <v>工程地质条件</v>
      </c>
      <c r="AA37" s="1058">
        <f t="shared" si="3"/>
        <v>1</v>
      </c>
      <c r="AB37" s="1058">
        <f t="shared" si="4"/>
        <v>1</v>
      </c>
      <c r="AC37" s="1058">
        <f t="shared" si="5"/>
        <v>1</v>
      </c>
    </row>
    <row r="38" spans="1:31" ht="15">
      <c r="A38" s="947"/>
      <c r="B38" s="951">
        <v>111</v>
      </c>
      <c r="C38" s="906"/>
      <c r="D38" s="765">
        <v>100</v>
      </c>
      <c r="E38" s="906"/>
      <c r="F38" s="765">
        <f>SUMIF(116:116,E38,117:117)-SUMIF(116:116,C38,117:117)+100</f>
        <v>100</v>
      </c>
      <c r="G38" s="906"/>
      <c r="H38" s="765">
        <f>SUMIF(116:116,G38,117:117)-SUMIF(116:116,C38,117:117)+100</f>
        <v>100</v>
      </c>
      <c r="I38" s="905"/>
      <c r="J38" s="765">
        <f>SUMIF(116:116,I38,117:117)-SUMIF(116:116,C38,117:117)+100</f>
        <v>100</v>
      </c>
      <c r="K38" s="1043"/>
      <c r="L38" s="1037"/>
      <c r="M38" s="971"/>
      <c r="N38" s="971"/>
      <c r="O38" s="1036"/>
      <c r="P38" s="3335"/>
      <c r="Q38" s="641">
        <f t="shared" si="14"/>
        <v>111</v>
      </c>
      <c r="R38" s="1074" t="s">
        <v>956</v>
      </c>
      <c r="S38" s="1075">
        <f t="shared" si="10"/>
        <v>100</v>
      </c>
      <c r="T38" s="1074" t="s">
        <v>956</v>
      </c>
      <c r="U38" s="1075">
        <f t="shared" si="11"/>
        <v>100</v>
      </c>
      <c r="V38" s="1074" t="s">
        <v>956</v>
      </c>
      <c r="W38" s="1075">
        <f t="shared" si="12"/>
        <v>100</v>
      </c>
      <c r="X38" s="1069"/>
      <c r="Y38" s="3335"/>
      <c r="Z38" s="1058">
        <f t="shared" si="13"/>
        <v>111</v>
      </c>
      <c r="AA38" s="1058">
        <f t="shared" si="3"/>
        <v>1</v>
      </c>
      <c r="AB38" s="1058">
        <f t="shared" si="4"/>
        <v>1</v>
      </c>
      <c r="AC38" s="1058">
        <f t="shared" si="5"/>
        <v>1</v>
      </c>
    </row>
    <row r="39" spans="1:31" ht="15">
      <c r="A39" s="947"/>
      <c r="B39" s="951">
        <v>111</v>
      </c>
      <c r="C39" s="906"/>
      <c r="D39" s="765">
        <v>100</v>
      </c>
      <c r="E39" s="906"/>
      <c r="F39" s="765">
        <f>SUMIF(118:118,E39,119:119)-SUMIF(118:118,C39,119:119)+100</f>
        <v>100</v>
      </c>
      <c r="G39" s="906"/>
      <c r="H39" s="765">
        <f>SUMIF(118:118,G39,119:119)-SUMIF(118:118,C39,119:119)+100</f>
        <v>100</v>
      </c>
      <c r="I39" s="905"/>
      <c r="J39" s="765">
        <f>SUMIF(118:118,I39,119:119)-SUMIF(118:118,C39,119:119)+100</f>
        <v>100</v>
      </c>
      <c r="K39" s="1043"/>
      <c r="L39" s="1037"/>
      <c r="M39" s="971"/>
      <c r="N39" s="971"/>
      <c r="O39" s="1036"/>
      <c r="P39" s="3335"/>
      <c r="Q39" s="641">
        <f t="shared" si="14"/>
        <v>111</v>
      </c>
      <c r="R39" s="1074" t="s">
        <v>956</v>
      </c>
      <c r="S39" s="1075">
        <f t="shared" si="10"/>
        <v>100</v>
      </c>
      <c r="T39" s="1074" t="s">
        <v>956</v>
      </c>
      <c r="U39" s="1075">
        <f t="shared" si="11"/>
        <v>100</v>
      </c>
      <c r="V39" s="1074" t="s">
        <v>956</v>
      </c>
      <c r="W39" s="1075">
        <f t="shared" si="12"/>
        <v>100</v>
      </c>
      <c r="X39" s="1069"/>
      <c r="Y39" s="3335"/>
      <c r="Z39" s="1058">
        <f t="shared" si="13"/>
        <v>111</v>
      </c>
      <c r="AA39" s="1058">
        <f t="shared" si="3"/>
        <v>1</v>
      </c>
      <c r="AB39" s="1058">
        <f t="shared" si="4"/>
        <v>1</v>
      </c>
      <c r="AC39" s="1058">
        <f t="shared" si="5"/>
        <v>1</v>
      </c>
    </row>
    <row r="40" spans="1:31" s="857" customFormat="1" ht="15">
      <c r="A40" s="952"/>
      <c r="B40" s="951">
        <v>111</v>
      </c>
      <c r="C40" s="953"/>
      <c r="D40" s="943">
        <v>100</v>
      </c>
      <c r="E40" s="906"/>
      <c r="F40" s="911">
        <f>SUMIF(120:120,E40,121:121)-SUMIF(120:120,C40,121:121)+100</f>
        <v>100</v>
      </c>
      <c r="G40" s="906"/>
      <c r="H40" s="911">
        <f>SUMIF(120:120,G40,121:121)-SUMIF(120:120,C40,121:121)+100</f>
        <v>100</v>
      </c>
      <c r="I40" s="905"/>
      <c r="J40" s="911">
        <f>SUMIF(120:120,I40,121:121)-SUMIF(120:120,C40,121:121)+100</f>
        <v>100</v>
      </c>
      <c r="K40" s="1048"/>
      <c r="L40" s="1035"/>
      <c r="M40" s="1045"/>
      <c r="N40" s="1045"/>
      <c r="O40" s="1046"/>
      <c r="P40" s="3335"/>
      <c r="Q40" s="641">
        <f t="shared" si="14"/>
        <v>111</v>
      </c>
      <c r="R40" s="1076" t="s">
        <v>956</v>
      </c>
      <c r="S40" s="1077">
        <f t="shared" si="10"/>
        <v>100</v>
      </c>
      <c r="T40" s="1076" t="s">
        <v>956</v>
      </c>
      <c r="U40" s="1077">
        <f t="shared" si="11"/>
        <v>100</v>
      </c>
      <c r="V40" s="1076" t="s">
        <v>956</v>
      </c>
      <c r="W40" s="1077">
        <f t="shared" si="12"/>
        <v>100</v>
      </c>
      <c r="X40" s="1078"/>
      <c r="Y40" s="3335"/>
      <c r="Z40" s="1083">
        <f t="shared" si="13"/>
        <v>111</v>
      </c>
      <c r="AA40" s="1058">
        <f t="shared" si="3"/>
        <v>1</v>
      </c>
      <c r="AB40" s="1058">
        <f t="shared" si="4"/>
        <v>1</v>
      </c>
      <c r="AC40" s="1058">
        <f t="shared" si="5"/>
        <v>1</v>
      </c>
    </row>
    <row r="41" spans="1:31" ht="15">
      <c r="A41" s="954" t="s">
        <v>991</v>
      </c>
      <c r="B41" s="955" t="s">
        <v>1978</v>
      </c>
      <c r="C41" s="956" t="s">
        <v>124</v>
      </c>
      <c r="D41" s="957"/>
      <c r="E41" s="958"/>
      <c r="F41" s="959"/>
      <c r="G41" s="960"/>
      <c r="H41" s="961"/>
      <c r="I41" s="958"/>
      <c r="J41" s="961"/>
      <c r="K41" s="1049"/>
      <c r="L41" s="1050"/>
      <c r="M41" s="971"/>
      <c r="N41" s="971"/>
      <c r="O41" s="971"/>
      <c r="P41" s="3330" t="str">
        <f>A41</f>
        <v>成交单价</v>
      </c>
      <c r="Q41" s="3330"/>
      <c r="R41" s="3331">
        <f>E41</f>
        <v>0</v>
      </c>
      <c r="S41" s="3331"/>
      <c r="T41" s="3331">
        <f>G41</f>
        <v>0</v>
      </c>
      <c r="U41" s="3331"/>
      <c r="V41" s="3331">
        <f>I41</f>
        <v>0</v>
      </c>
      <c r="W41" s="3331"/>
      <c r="X41" s="1011"/>
      <c r="Y41" s="1084"/>
      <c r="Z41" s="1011"/>
      <c r="AA41" s="1011"/>
      <c r="AB41" s="1011"/>
      <c r="AC41" s="1011"/>
    </row>
    <row r="42" spans="1:31" ht="15">
      <c r="A42" s="962" t="s">
        <v>993</v>
      </c>
      <c r="B42" s="963"/>
      <c r="C42" s="964" t="e">
        <f>R43</f>
        <v>#DIV/0!</v>
      </c>
      <c r="D42" s="965" t="s">
        <v>994</v>
      </c>
      <c r="E42" s="964" t="e">
        <f>R42</f>
        <v>#DIV/0!</v>
      </c>
      <c r="F42" s="966"/>
      <c r="G42" s="967" t="e">
        <f>T42</f>
        <v>#DIV/0!</v>
      </c>
      <c r="H42" s="966"/>
      <c r="I42" s="964" t="e">
        <f>V42</f>
        <v>#DIV/0!</v>
      </c>
      <c r="J42" s="966"/>
      <c r="K42" s="1051">
        <f>F42+H42+J42</f>
        <v>0</v>
      </c>
      <c r="L42" s="1050"/>
      <c r="M42" s="971"/>
      <c r="N42" s="971"/>
      <c r="O42" s="971"/>
      <c r="P42" s="3330" t="str">
        <f>A42</f>
        <v>比较价值（元/平方米）</v>
      </c>
      <c r="Q42" s="3330"/>
      <c r="R42" s="3353" t="e">
        <f>ROUND(PRODUCT(R41,AA7:AA40),0)</f>
        <v>#DIV/0!</v>
      </c>
      <c r="S42" s="3353"/>
      <c r="T42" s="3353" t="e">
        <f>ROUND(PRODUCT(T41,AB7:AB40),0)</f>
        <v>#DIV/0!</v>
      </c>
      <c r="U42" s="3353"/>
      <c r="V42" s="3353" t="e">
        <f>ROUND(PRODUCT(V41,AC7:AC40),0)</f>
        <v>#DIV/0!</v>
      </c>
      <c r="W42" s="3353"/>
      <c r="X42" s="1011"/>
      <c r="Y42" s="1011"/>
      <c r="Z42" s="1011"/>
      <c r="AA42" s="1011"/>
      <c r="AB42" s="1011"/>
      <c r="AC42" s="1011"/>
    </row>
    <row r="43" spans="1:31" ht="15">
      <c r="A43" s="968" t="s">
        <v>1578</v>
      </c>
      <c r="B43" s="969"/>
      <c r="C43" s="970" t="e">
        <f>R43</f>
        <v>#DIV/0!</v>
      </c>
      <c r="D43" s="970"/>
      <c r="E43" s="970"/>
      <c r="F43" s="970"/>
      <c r="G43" s="970"/>
      <c r="H43" s="970"/>
      <c r="I43" s="970"/>
      <c r="J43" s="970"/>
      <c r="K43" s="1052"/>
      <c r="L43" s="1050"/>
      <c r="M43" s="971"/>
      <c r="N43" s="971"/>
      <c r="O43" s="971"/>
      <c r="P43" s="3354" t="str">
        <f>A43</f>
        <v>估价对象XX用房的比较价值（楼面单价，元/平方米）</v>
      </c>
      <c r="Q43" s="3355"/>
      <c r="R43" s="3356" t="e">
        <f>ROUND(IF(D42="简单平均",AVERAGE(R42:W42),R42*F42+T42*H42+V42*J42),0)</f>
        <v>#DIV/0!</v>
      </c>
      <c r="S43" s="3356"/>
      <c r="T43" s="3356"/>
      <c r="U43" s="3356"/>
      <c r="V43" s="3356"/>
      <c r="W43" s="3356"/>
      <c r="X43" s="1011"/>
      <c r="Y43" s="1011"/>
      <c r="Z43" s="1011"/>
      <c r="AA43" s="1011"/>
      <c r="AB43" s="1011"/>
      <c r="AC43" s="1011"/>
    </row>
    <row r="44" spans="1:31">
      <c r="A44" s="971"/>
      <c r="B44" s="971"/>
      <c r="C44" s="971"/>
      <c r="D44" s="971"/>
      <c r="E44" s="971"/>
      <c r="F44" s="971"/>
      <c r="G44" s="972"/>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c r="AE44" s="971"/>
    </row>
    <row r="45" spans="1:31">
      <c r="A45" s="971"/>
      <c r="B45" s="971"/>
      <c r="C45" s="971"/>
      <c r="D45" s="971"/>
      <c r="E45" s="971"/>
      <c r="F45" s="971"/>
      <c r="G45" s="971"/>
      <c r="H45" s="971"/>
      <c r="I45" s="971"/>
      <c r="J45" s="971"/>
      <c r="K45" s="1054"/>
      <c r="L45" s="1055"/>
      <c r="M45" s="971"/>
      <c r="N45" s="971"/>
      <c r="O45" s="971"/>
      <c r="P45" s="971"/>
      <c r="Q45" s="971"/>
      <c r="R45" s="971"/>
      <c r="S45" s="971"/>
      <c r="T45" s="971"/>
      <c r="U45" s="971"/>
      <c r="V45" s="971"/>
      <c r="W45" s="971"/>
      <c r="X45" s="971"/>
      <c r="Y45" s="971"/>
      <c r="Z45" s="971"/>
      <c r="AA45" s="971"/>
      <c r="AB45" s="971"/>
      <c r="AC45" s="971"/>
      <c r="AD45" s="971"/>
      <c r="AE45" s="971"/>
    </row>
    <row r="46" spans="1:31"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55"/>
      <c r="M46" s="971"/>
      <c r="N46" s="971"/>
      <c r="O46" s="971"/>
      <c r="P46" s="971"/>
      <c r="Q46" s="971"/>
      <c r="R46" s="971"/>
      <c r="S46" s="971"/>
      <c r="T46" s="971"/>
      <c r="U46" s="971"/>
      <c r="V46" s="971"/>
      <c r="W46" s="971"/>
      <c r="X46" s="971"/>
      <c r="Y46" s="971"/>
      <c r="Z46" s="971"/>
      <c r="AA46" s="971"/>
      <c r="AB46" s="971"/>
      <c r="AC46" s="971"/>
      <c r="AD46" s="971"/>
      <c r="AE46" s="971"/>
    </row>
    <row r="47" spans="1:31"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55"/>
      <c r="M47" s="971"/>
      <c r="N47" s="971"/>
      <c r="O47" s="971"/>
      <c r="P47" s="971"/>
      <c r="Q47" s="971"/>
      <c r="R47" s="971"/>
      <c r="S47" s="971"/>
      <c r="T47" s="971"/>
      <c r="U47" s="971"/>
      <c r="V47" s="971"/>
      <c r="W47" s="971"/>
      <c r="X47" s="971"/>
      <c r="Y47" s="971"/>
      <c r="Z47" s="971"/>
      <c r="AA47" s="971"/>
      <c r="AB47" s="971"/>
      <c r="AC47" s="971"/>
      <c r="AD47" s="971"/>
      <c r="AE47" s="971"/>
    </row>
    <row r="48" spans="1:31"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057"/>
      <c r="M48" s="976"/>
      <c r="N48" s="976"/>
      <c r="O48" s="976"/>
      <c r="P48" s="976"/>
      <c r="Q48" s="976"/>
      <c r="R48" s="976"/>
      <c r="S48" s="976"/>
      <c r="T48" s="976"/>
      <c r="U48" s="976"/>
      <c r="V48" s="976"/>
      <c r="W48" s="976"/>
      <c r="X48" s="976"/>
      <c r="Y48" s="976"/>
      <c r="Z48" s="976"/>
      <c r="AA48" s="976"/>
      <c r="AB48" s="976"/>
      <c r="AC48" s="976"/>
      <c r="AD48" s="976"/>
      <c r="AE48" s="976"/>
    </row>
    <row r="49" spans="1:31" s="858" customFormat="1">
      <c r="A49" s="976"/>
      <c r="B49" s="977"/>
      <c r="C49" s="978"/>
      <c r="D49" s="979"/>
      <c r="E49" s="979"/>
      <c r="F49" s="979"/>
      <c r="G49" s="979"/>
      <c r="H49" s="979"/>
      <c r="I49" s="979"/>
      <c r="J49" s="979"/>
      <c r="K49" s="1056"/>
      <c r="L49" s="1057"/>
      <c r="M49" s="976"/>
      <c r="N49" s="976"/>
      <c r="O49" s="976"/>
      <c r="P49" s="976"/>
      <c r="Q49" s="976"/>
      <c r="R49" s="976"/>
      <c r="S49" s="976"/>
      <c r="T49" s="976"/>
      <c r="U49" s="976"/>
      <c r="V49" s="976"/>
      <c r="W49" s="976"/>
      <c r="X49" s="976"/>
      <c r="Y49" s="976"/>
      <c r="Z49" s="976"/>
      <c r="AA49" s="976"/>
      <c r="AB49" s="976"/>
      <c r="AC49" s="976"/>
      <c r="AD49" s="976"/>
      <c r="AE49" s="976"/>
    </row>
    <row r="50" spans="1:31" ht="27">
      <c r="A50" s="980" t="s">
        <v>999</v>
      </c>
      <c r="B50" s="981" t="s">
        <v>1000</v>
      </c>
      <c r="C50" s="982" t="s">
        <v>1001</v>
      </c>
      <c r="D50" s="983" t="s">
        <v>1002</v>
      </c>
      <c r="E50" s="984" t="s">
        <v>1003</v>
      </c>
      <c r="F50" s="985" t="s">
        <v>1004</v>
      </c>
      <c r="G50" s="3315" t="s">
        <v>1005</v>
      </c>
      <c r="H50" s="3339"/>
      <c r="I50" s="1058" t="s">
        <v>1979</v>
      </c>
      <c r="J50" s="1058">
        <f>项目基本情况!F35</f>
        <v>0</v>
      </c>
      <c r="K50" s="1059" t="s">
        <v>1007</v>
      </c>
      <c r="L50" s="1055"/>
      <c r="M50" s="971"/>
      <c r="N50" s="971"/>
      <c r="O50" s="971"/>
      <c r="P50" s="971"/>
      <c r="Q50" s="971"/>
      <c r="R50" s="971"/>
      <c r="S50" s="971"/>
      <c r="T50" s="971"/>
      <c r="U50" s="971"/>
      <c r="V50" s="971"/>
      <c r="W50" s="971"/>
      <c r="X50" s="971"/>
      <c r="Y50" s="971"/>
      <c r="Z50" s="971"/>
      <c r="AA50" s="971"/>
      <c r="AB50" s="971"/>
      <c r="AC50" s="971"/>
      <c r="AD50" s="971"/>
      <c r="AE50" s="971"/>
    </row>
    <row r="51" spans="1:31" s="859" customFormat="1">
      <c r="A51" s="986" t="s">
        <v>1008</v>
      </c>
      <c r="B51" s="987" t="e">
        <f>C43</f>
        <v>#DIV/0!</v>
      </c>
      <c r="C51" s="988">
        <v>1</v>
      </c>
      <c r="D51" s="989">
        <v>1</v>
      </c>
      <c r="E51" s="988">
        <f>'数据-汇总表'!E8+'数据-汇总表'!E9</f>
        <v>58697.66</v>
      </c>
      <c r="F51" s="990" t="e">
        <f t="shared" ref="F51:F60" si="15">ROUND(B51*E51/10000,0)</f>
        <v>#DIV/0!</v>
      </c>
      <c r="G51" s="3340"/>
      <c r="H51" s="3330"/>
      <c r="I51" s="670">
        <v>1</v>
      </c>
      <c r="J51" s="670">
        <v>1</v>
      </c>
      <c r="K51" s="976"/>
      <c r="L51" s="1060"/>
      <c r="M51" s="1060"/>
      <c r="N51" s="1060"/>
      <c r="O51" s="1060"/>
      <c r="P51" s="1060"/>
      <c r="Q51" s="1060"/>
      <c r="R51" s="1060"/>
      <c r="S51" s="1060"/>
      <c r="T51" s="1060"/>
      <c r="U51" s="1060"/>
      <c r="V51" s="1060"/>
      <c r="W51" s="1060"/>
      <c r="X51" s="1060"/>
      <c r="Y51" s="1060"/>
      <c r="Z51" s="1060"/>
      <c r="AA51" s="1060"/>
      <c r="AB51" s="1060"/>
      <c r="AC51" s="1060"/>
      <c r="AD51" s="1060"/>
      <c r="AE51" s="1060"/>
    </row>
    <row r="52" spans="1:31" s="859" customFormat="1">
      <c r="A52" s="991" t="s">
        <v>1009</v>
      </c>
      <c r="B52" s="165" t="e">
        <f>ROUND($C$43*C52*D52,0)</f>
        <v>#DIV/0!</v>
      </c>
      <c r="C52" s="562">
        <f t="shared" ref="C52:C60" si="16">IF($C$50="北京市系数",I52,J52)</f>
        <v>0.5</v>
      </c>
      <c r="D52" s="992">
        <v>0.25</v>
      </c>
      <c r="E52" s="993"/>
      <c r="F52" s="990" t="e">
        <f t="shared" si="15"/>
        <v>#DIV/0!</v>
      </c>
      <c r="G52" s="994" t="s">
        <v>1010</v>
      </c>
      <c r="H52" s="995" t="str">
        <f>项目基本情况!B37</f>
        <v>九级</v>
      </c>
      <c r="I52" s="670">
        <f>SUMIF(修正!A57:A68,H52,修正!B57:B68)</f>
        <v>0.5</v>
      </c>
      <c r="J52" s="1061"/>
      <c r="K52" s="971"/>
      <c r="L52" s="1060"/>
      <c r="M52" s="1060"/>
      <c r="N52" s="1060"/>
      <c r="O52" s="1060"/>
      <c r="P52" s="1060"/>
      <c r="Q52" s="1060"/>
      <c r="R52" s="1060"/>
      <c r="S52" s="1060"/>
      <c r="T52" s="1060"/>
      <c r="U52" s="1060"/>
      <c r="V52" s="1060"/>
      <c r="W52" s="1060"/>
      <c r="X52" s="1060"/>
      <c r="Y52" s="1060"/>
      <c r="Z52" s="1060"/>
      <c r="AA52" s="1060"/>
      <c r="AB52" s="1060"/>
      <c r="AC52" s="1060"/>
      <c r="AD52" s="1060"/>
      <c r="AE52" s="1060"/>
    </row>
    <row r="53" spans="1:31" s="859" customFormat="1">
      <c r="A53" s="991" t="s">
        <v>1011</v>
      </c>
      <c r="B53" s="165" t="e">
        <f t="shared" ref="B53:B60" si="17">ROUND($C$43*C53*D53,0)</f>
        <v>#DIV/0!</v>
      </c>
      <c r="C53" s="562">
        <f t="shared" si="16"/>
        <v>0.2</v>
      </c>
      <c r="D53" s="992">
        <v>0.25</v>
      </c>
      <c r="E53" s="993"/>
      <c r="F53" s="990" t="e">
        <f t="shared" si="15"/>
        <v>#DIV/0!</v>
      </c>
      <c r="G53" s="996"/>
      <c r="H53" s="995" t="str">
        <f>项目基本情况!B37</f>
        <v>九级</v>
      </c>
      <c r="I53" s="670">
        <f>SUMIF(修正!A57:A68,H53,修正!C57:C68)</f>
        <v>0.2</v>
      </c>
      <c r="J53" s="1061"/>
      <c r="K53" s="976"/>
      <c r="L53" s="1060"/>
      <c r="M53" s="1060"/>
      <c r="N53" s="1060"/>
      <c r="O53" s="1060"/>
      <c r="P53" s="1060"/>
      <c r="Q53" s="1060"/>
      <c r="R53" s="1060"/>
      <c r="S53" s="1060"/>
      <c r="T53" s="1060"/>
      <c r="U53" s="1060"/>
      <c r="V53" s="1060"/>
      <c r="W53" s="1060"/>
      <c r="X53" s="1060"/>
      <c r="Y53" s="1060"/>
      <c r="Z53" s="1060"/>
      <c r="AA53" s="1060"/>
      <c r="AB53" s="1060"/>
      <c r="AC53" s="1060"/>
      <c r="AD53" s="1060"/>
      <c r="AE53" s="1060"/>
    </row>
    <row r="54" spans="1:31" s="859" customFormat="1">
      <c r="A54" s="991" t="s">
        <v>1012</v>
      </c>
      <c r="B54" s="165" t="e">
        <f t="shared" si="17"/>
        <v>#DIV/0!</v>
      </c>
      <c r="C54" s="562">
        <f t="shared" si="16"/>
        <v>0.2</v>
      </c>
      <c r="D54" s="992">
        <v>0.25</v>
      </c>
      <c r="E54" s="993"/>
      <c r="F54" s="990" t="e">
        <f t="shared" si="15"/>
        <v>#DIV/0!</v>
      </c>
      <c r="G54" s="996"/>
      <c r="H54" s="995" t="str">
        <f>项目基本情况!B37</f>
        <v>九级</v>
      </c>
      <c r="I54" s="670">
        <f>SUMIF(修正!A57:A68,H54,修正!D57:D68)</f>
        <v>0.2</v>
      </c>
      <c r="J54" s="1061"/>
      <c r="K54" s="971"/>
      <c r="L54" s="1060"/>
      <c r="M54" s="1060"/>
      <c r="N54" s="1060"/>
      <c r="O54" s="1060"/>
      <c r="P54" s="1060"/>
      <c r="Q54" s="1060"/>
      <c r="R54" s="1060"/>
      <c r="S54" s="1060"/>
      <c r="T54" s="1060"/>
      <c r="U54" s="1060"/>
      <c r="V54" s="1060"/>
      <c r="W54" s="1060"/>
      <c r="X54" s="1060"/>
      <c r="Y54" s="1060"/>
      <c r="Z54" s="1060"/>
      <c r="AA54" s="1060"/>
      <c r="AB54" s="1060"/>
      <c r="AC54" s="1060"/>
      <c r="AD54" s="1060"/>
      <c r="AE54" s="1060"/>
    </row>
    <row r="55" spans="1:31" s="859" customFormat="1" hidden="1">
      <c r="A55" s="991"/>
      <c r="B55" s="165"/>
      <c r="C55" s="562"/>
      <c r="D55" s="992"/>
      <c r="E55" s="993"/>
      <c r="F55" s="990"/>
      <c r="G55" s="997"/>
      <c r="H55" s="995"/>
      <c r="I55" s="670"/>
      <c r="J55" s="1061"/>
      <c r="K55" s="976"/>
      <c r="L55" s="1060"/>
      <c r="M55" s="1060"/>
      <c r="N55" s="1060"/>
      <c r="O55" s="1060"/>
      <c r="P55" s="1060"/>
      <c r="Q55" s="1060"/>
      <c r="R55" s="1060"/>
      <c r="S55" s="1060"/>
      <c r="T55" s="1060"/>
      <c r="U55" s="1060"/>
      <c r="V55" s="1060"/>
      <c r="W55" s="1060"/>
      <c r="X55" s="1060"/>
      <c r="Y55" s="1060"/>
      <c r="Z55" s="1060"/>
      <c r="AA55" s="1060"/>
      <c r="AB55" s="1060"/>
      <c r="AC55" s="1060"/>
      <c r="AD55" s="1060"/>
      <c r="AE55" s="1060"/>
    </row>
    <row r="56" spans="1:31" s="859" customFormat="1">
      <c r="A56" s="991" t="s">
        <v>1013</v>
      </c>
      <c r="B56" s="165" t="e">
        <f t="shared" si="17"/>
        <v>#DIV/0!</v>
      </c>
      <c r="C56" s="562">
        <f t="shared" si="16"/>
        <v>0.2</v>
      </c>
      <c r="D56" s="992">
        <v>0.25</v>
      </c>
      <c r="E56" s="164">
        <f>'数据-汇总表'!E11</f>
        <v>0</v>
      </c>
      <c r="F56" s="990" t="e">
        <f t="shared" si="15"/>
        <v>#DIV/0!</v>
      </c>
      <c r="G56" s="998" t="s">
        <v>1014</v>
      </c>
      <c r="H56" s="995" t="str">
        <f>项目基本情况!C37</f>
        <v>九级</v>
      </c>
      <c r="I56" s="670">
        <f>SUMIF(修正!A57:A68,H56,修正!E57:E68)</f>
        <v>0.2</v>
      </c>
      <c r="J56" s="1061"/>
      <c r="K56" s="971"/>
      <c r="L56" s="1060"/>
      <c r="M56" s="1060"/>
      <c r="N56" s="1060"/>
      <c r="O56" s="1060"/>
      <c r="P56" s="1060"/>
      <c r="Q56" s="1060"/>
      <c r="R56" s="1060"/>
      <c r="S56" s="1060"/>
      <c r="T56" s="1060"/>
      <c r="U56" s="1060"/>
      <c r="V56" s="1060"/>
      <c r="W56" s="1060"/>
      <c r="X56" s="1060"/>
      <c r="Y56" s="1060"/>
      <c r="Z56" s="1060"/>
      <c r="AA56" s="1060"/>
      <c r="AB56" s="1060"/>
      <c r="AC56" s="1060"/>
      <c r="AD56" s="1060"/>
      <c r="AE56" s="1060"/>
    </row>
    <row r="57" spans="1:31" s="859" customFormat="1">
      <c r="A57" s="991" t="s">
        <v>1015</v>
      </c>
      <c r="B57" s="165" t="e">
        <f t="shared" si="17"/>
        <v>#DIV/0!</v>
      </c>
      <c r="C57" s="562">
        <f t="shared" si="16"/>
        <v>0.2</v>
      </c>
      <c r="D57" s="992">
        <v>0.25</v>
      </c>
      <c r="E57" s="164">
        <f>'数据-汇总表'!E12</f>
        <v>0</v>
      </c>
      <c r="F57" s="990" t="e">
        <f t="shared" si="15"/>
        <v>#DIV/0!</v>
      </c>
      <c r="G57" s="999" t="s">
        <v>1016</v>
      </c>
      <c r="H57" s="995" t="str">
        <f>IF(G57="商业",项目基本情况!B37,IF(G57="办公",项目基本情况!C37,IF(G57="住宅",项目基本情况!D37,项目基本情况!E37)))</f>
        <v>九级</v>
      </c>
      <c r="I57" s="670">
        <f>SUMIF(修正!A57:A68,H57,修正!F57:F68)</f>
        <v>0.2</v>
      </c>
      <c r="J57" s="1061"/>
      <c r="K57" s="976"/>
      <c r="L57" s="1060"/>
      <c r="M57" s="1060"/>
      <c r="N57" s="1060"/>
      <c r="O57" s="1060"/>
      <c r="P57" s="1060"/>
      <c r="Q57" s="1060"/>
      <c r="R57" s="1060"/>
      <c r="S57" s="1060"/>
      <c r="T57" s="1060"/>
      <c r="U57" s="1060"/>
      <c r="V57" s="1060"/>
      <c r="W57" s="1060"/>
      <c r="X57" s="1060"/>
      <c r="Y57" s="1060"/>
      <c r="Z57" s="1060"/>
      <c r="AA57" s="1060"/>
      <c r="AB57" s="1060"/>
      <c r="AC57" s="1060"/>
      <c r="AD57" s="1060"/>
      <c r="AE57" s="1060"/>
    </row>
    <row r="58" spans="1:31" s="859" customFormat="1">
      <c r="A58" s="991" t="s">
        <v>1017</v>
      </c>
      <c r="B58" s="165" t="e">
        <f t="shared" si="17"/>
        <v>#DIV/0!</v>
      </c>
      <c r="C58" s="562">
        <f t="shared" si="16"/>
        <v>0.1</v>
      </c>
      <c r="D58" s="992">
        <v>0.25</v>
      </c>
      <c r="E58" s="164">
        <f>'数据-汇总表'!E13</f>
        <v>13611.27</v>
      </c>
      <c r="F58" s="990" t="e">
        <f t="shared" si="15"/>
        <v>#DIV/0!</v>
      </c>
      <c r="G58" s="999" t="s">
        <v>1018</v>
      </c>
      <c r="H58" s="995" t="str">
        <f>IF(G58="商业",项目基本情况!B37,IF(G58="办公",项目基本情况!C37,IF(G58="住宅",项目基本情况!D37,项目基本情况!E37)))</f>
        <v>九级</v>
      </c>
      <c r="I58" s="670">
        <f>SUMIF(修正!A57:A68,H58,修正!G57:G68)</f>
        <v>0.1</v>
      </c>
      <c r="J58" s="1061"/>
      <c r="K58" s="971"/>
      <c r="L58" s="1060"/>
      <c r="M58" s="1060"/>
      <c r="N58" s="1060"/>
      <c r="O58" s="1060"/>
      <c r="P58" s="1060"/>
      <c r="Q58" s="1060"/>
      <c r="R58" s="1060"/>
      <c r="S58" s="1060"/>
      <c r="T58" s="1060"/>
      <c r="U58" s="1060"/>
      <c r="V58" s="1060"/>
      <c r="W58" s="1060"/>
      <c r="X58" s="1060"/>
      <c r="Y58" s="1060"/>
      <c r="Z58" s="1060"/>
      <c r="AA58" s="1060"/>
      <c r="AB58" s="1060"/>
      <c r="AC58" s="1060"/>
      <c r="AD58" s="1060"/>
      <c r="AE58" s="1060"/>
    </row>
    <row r="59" spans="1:31" s="859" customFormat="1">
      <c r="A59" s="991" t="s">
        <v>1019</v>
      </c>
      <c r="B59" s="165" t="e">
        <f t="shared" si="17"/>
        <v>#DIV/0!</v>
      </c>
      <c r="C59" s="562">
        <f t="shared" si="16"/>
        <v>0.1</v>
      </c>
      <c r="D59" s="992">
        <v>0.25</v>
      </c>
      <c r="E59" s="164">
        <f>'数据-汇总表'!E14</f>
        <v>0</v>
      </c>
      <c r="F59" s="990" t="e">
        <f t="shared" si="15"/>
        <v>#DIV/0!</v>
      </c>
      <c r="G59" s="998" t="s">
        <v>1010</v>
      </c>
      <c r="H59" s="995" t="str">
        <f>项目基本情况!B37</f>
        <v>九级</v>
      </c>
      <c r="I59" s="670">
        <f>SUMIF(修正!A57:A68,H59,修正!G57:G68)</f>
        <v>0.1</v>
      </c>
      <c r="J59" s="1061"/>
      <c r="K59" s="976"/>
      <c r="L59" s="1060"/>
      <c r="M59" s="1060"/>
      <c r="N59" s="1060"/>
      <c r="O59" s="1060"/>
      <c r="P59" s="1060"/>
      <c r="Q59" s="1060"/>
      <c r="R59" s="1060"/>
      <c r="S59" s="1060"/>
      <c r="T59" s="1060"/>
      <c r="U59" s="1060"/>
      <c r="V59" s="1060"/>
      <c r="W59" s="1060"/>
      <c r="X59" s="1060"/>
      <c r="Y59" s="1060"/>
      <c r="Z59" s="1060"/>
      <c r="AA59" s="1060"/>
      <c r="AB59" s="1060"/>
      <c r="AC59" s="1060"/>
      <c r="AD59" s="1060"/>
      <c r="AE59" s="1060"/>
    </row>
    <row r="60" spans="1:31" s="859" customFormat="1">
      <c r="A60" s="991" t="s">
        <v>1020</v>
      </c>
      <c r="B60" s="165" t="e">
        <f t="shared" si="17"/>
        <v>#DIV/0!</v>
      </c>
      <c r="C60" s="562">
        <f t="shared" si="16"/>
        <v>0.1</v>
      </c>
      <c r="D60" s="992">
        <v>0.25</v>
      </c>
      <c r="E60" s="164">
        <f>'数据-汇总表'!E15</f>
        <v>0</v>
      </c>
      <c r="F60" s="990" t="e">
        <f t="shared" si="15"/>
        <v>#DIV/0!</v>
      </c>
      <c r="G60" s="1000" t="s">
        <v>1014</v>
      </c>
      <c r="H60" s="1001" t="str">
        <f>项目基本情况!C37</f>
        <v>九级</v>
      </c>
      <c r="I60" s="670">
        <f>SUMIF(修正!A57:A68,H60,修正!G57:G68)</f>
        <v>0.1</v>
      </c>
      <c r="J60" s="1061"/>
      <c r="K60" s="971"/>
      <c r="L60" s="1060"/>
      <c r="M60" s="1060"/>
      <c r="N60" s="1060"/>
      <c r="O60" s="1060"/>
      <c r="P60" s="1060"/>
      <c r="Q60" s="1060"/>
      <c r="R60" s="1060"/>
      <c r="S60" s="1060"/>
      <c r="T60" s="1060"/>
      <c r="U60" s="1060"/>
      <c r="V60" s="1060"/>
      <c r="W60" s="1060"/>
      <c r="X60" s="1060"/>
      <c r="Y60" s="1060"/>
      <c r="Z60" s="1060"/>
      <c r="AA60" s="1060"/>
      <c r="AB60" s="1060"/>
      <c r="AC60" s="1060"/>
      <c r="AD60" s="1060"/>
      <c r="AE60" s="1060"/>
    </row>
    <row r="61" spans="1:31" s="859" customFormat="1">
      <c r="A61" s="1002" t="s">
        <v>1021</v>
      </c>
      <c r="B61" s="1003" t="s">
        <v>1022</v>
      </c>
      <c r="C61" s="1003" t="s">
        <v>1022</v>
      </c>
      <c r="D61" s="1003" t="s">
        <v>1022</v>
      </c>
      <c r="E61" s="1003">
        <f>IF(B41="楼面地价",SUM(E51:E60),'数据-汇总表'!D3)</f>
        <v>0</v>
      </c>
      <c r="F61" s="1004" t="e">
        <f>IF(B41="楼面地价",SUM(F51:F60),ROUND(C43*E61/10000,0))</f>
        <v>#DIV/0!</v>
      </c>
      <c r="G61" s="1005"/>
      <c r="H61" s="1005"/>
      <c r="I61" s="1005"/>
      <c r="J61" s="1005"/>
      <c r="K61" s="1054"/>
      <c r="L61" s="1060"/>
      <c r="M61" s="1060"/>
      <c r="N61" s="1060"/>
      <c r="O61" s="1060"/>
      <c r="P61" s="1060"/>
      <c r="Q61" s="1060"/>
      <c r="R61" s="1060"/>
      <c r="S61" s="1060"/>
      <c r="T61" s="1060"/>
      <c r="U61" s="1060"/>
      <c r="V61" s="1060"/>
      <c r="W61" s="1060"/>
      <c r="X61" s="1060"/>
      <c r="Y61" s="1060"/>
      <c r="Z61" s="1060"/>
      <c r="AA61" s="1060"/>
      <c r="AB61" s="1060"/>
      <c r="AC61" s="1060"/>
      <c r="AD61" s="1060"/>
      <c r="AE61" s="1060"/>
    </row>
    <row r="62" spans="1:31">
      <c r="A62" s="1006"/>
      <c r="B62" s="1007"/>
      <c r="C62" s="1008"/>
      <c r="D62" s="1006"/>
      <c r="E62" s="1006"/>
      <c r="F62" s="1006"/>
      <c r="G62" s="1006"/>
      <c r="H62" s="1006"/>
      <c r="I62" s="1006"/>
      <c r="J62" s="1006"/>
      <c r="K62" s="1062"/>
      <c r="L62" s="1063"/>
      <c r="M62" s="1006"/>
      <c r="N62" s="1006"/>
      <c r="O62" s="1006"/>
      <c r="P62" s="971"/>
      <c r="Q62" s="971"/>
      <c r="R62" s="971"/>
      <c r="S62" s="971"/>
      <c r="T62" s="971"/>
      <c r="U62" s="971"/>
      <c r="V62" s="971"/>
      <c r="W62" s="971"/>
      <c r="X62" s="971"/>
      <c r="Y62" s="971"/>
      <c r="Z62" s="971"/>
      <c r="AA62" s="971"/>
      <c r="AB62" s="971"/>
      <c r="AC62" s="971"/>
      <c r="AD62" s="971"/>
      <c r="AE62" s="971"/>
    </row>
    <row r="63" spans="1:31">
      <c r="A63" s="1006"/>
      <c r="B63" s="1007"/>
      <c r="C63" s="1009" t="str">
        <f>YEAR(C7)&amp;"-"&amp;MONTH(C7)&amp;"-1"</f>
        <v>2024-7-1</v>
      </c>
      <c r="D63" s="1009">
        <f>EDATE(C63,-3)</f>
        <v>45383</v>
      </c>
      <c r="E63" s="1009">
        <f>EDATE(D63,-3)</f>
        <v>45292</v>
      </c>
      <c r="F63" s="1009">
        <f t="shared" ref="F63:O63" si="18">EDATE(E63,-3)</f>
        <v>45200</v>
      </c>
      <c r="G63" s="1009">
        <f t="shared" si="18"/>
        <v>45108</v>
      </c>
      <c r="H63" s="1009">
        <f t="shared" si="18"/>
        <v>45017</v>
      </c>
      <c r="I63" s="1009">
        <f t="shared" si="18"/>
        <v>44927</v>
      </c>
      <c r="J63" s="1009">
        <f t="shared" si="18"/>
        <v>44835</v>
      </c>
      <c r="K63" s="1009">
        <f t="shared" si="18"/>
        <v>44743</v>
      </c>
      <c r="L63" s="1009">
        <f t="shared" si="18"/>
        <v>44652</v>
      </c>
      <c r="M63" s="1009">
        <f t="shared" si="18"/>
        <v>44562</v>
      </c>
      <c r="N63" s="1009">
        <f t="shared" si="18"/>
        <v>44470</v>
      </c>
      <c r="O63" s="1009">
        <f t="shared" si="18"/>
        <v>44378</v>
      </c>
      <c r="P63" s="971"/>
      <c r="Q63" s="971"/>
      <c r="R63" s="971"/>
      <c r="S63" s="971"/>
      <c r="T63" s="971"/>
      <c r="U63" s="971"/>
      <c r="V63" s="971"/>
      <c r="W63" s="971"/>
      <c r="X63" s="971"/>
      <c r="Y63" s="971"/>
      <c r="Z63" s="971"/>
      <c r="AA63" s="971"/>
      <c r="AB63" s="971"/>
      <c r="AC63" s="971"/>
      <c r="AD63" s="971"/>
      <c r="AE63" s="971"/>
    </row>
    <row r="64" spans="1:31" ht="21">
      <c r="A64" s="1010" t="s">
        <v>1023</v>
      </c>
      <c r="B64" s="1011"/>
      <c r="C64" s="1012"/>
      <c r="D64" s="1012"/>
      <c r="E64" s="1012"/>
      <c r="F64" s="1013"/>
      <c r="G64" s="1013"/>
      <c r="H64" s="1012"/>
      <c r="I64" s="1012"/>
      <c r="J64" s="1012"/>
      <c r="K64" s="1064"/>
      <c r="L64" s="1065"/>
      <c r="M64" s="1012"/>
      <c r="N64" s="1012"/>
      <c r="O64" s="1066"/>
      <c r="P64" s="1067"/>
      <c r="Q64" s="1079"/>
      <c r="R64" s="971"/>
      <c r="S64" s="971"/>
      <c r="T64" s="971"/>
      <c r="U64" s="971"/>
      <c r="V64" s="971"/>
      <c r="W64" s="971"/>
      <c r="X64" s="971"/>
      <c r="Y64" s="971"/>
      <c r="Z64" s="971"/>
      <c r="AA64" s="971"/>
      <c r="AB64" s="971"/>
      <c r="AC64" s="971"/>
      <c r="AD64" s="971"/>
      <c r="AE64" s="971"/>
    </row>
    <row r="65" spans="1:31" s="860" customFormat="1" ht="15">
      <c r="A65" s="1085" t="s">
        <v>1024</v>
      </c>
      <c r="B65" s="1086"/>
      <c r="C65" s="1087" t="str">
        <f>YEAR(C63)&amp;"-"&amp;ROUNDUP(MONTH(C63)/3,0)</f>
        <v>2024-3</v>
      </c>
      <c r="D65" s="1087" t="str">
        <f t="shared" ref="D65:O65" si="19">YEAR(D63)&amp;"-"&amp;ROUNDUP(MONTH(D63)/3,0)</f>
        <v>2024-2</v>
      </c>
      <c r="E65" s="1087" t="str">
        <f t="shared" si="19"/>
        <v>2024-1</v>
      </c>
      <c r="F65" s="1087" t="str">
        <f t="shared" si="19"/>
        <v>2023-4</v>
      </c>
      <c r="G65" s="1087" t="str">
        <f t="shared" si="19"/>
        <v>2023-3</v>
      </c>
      <c r="H65" s="1087" t="str">
        <f t="shared" si="19"/>
        <v>2023-2</v>
      </c>
      <c r="I65" s="1087" t="str">
        <f t="shared" si="19"/>
        <v>2023-1</v>
      </c>
      <c r="J65" s="1087" t="str">
        <f t="shared" si="19"/>
        <v>2022-4</v>
      </c>
      <c r="K65" s="1087" t="str">
        <f t="shared" si="19"/>
        <v>2022-3</v>
      </c>
      <c r="L65" s="1087" t="str">
        <f t="shared" si="19"/>
        <v>2022-2</v>
      </c>
      <c r="M65" s="1087" t="str">
        <f t="shared" si="19"/>
        <v>2022-1</v>
      </c>
      <c r="N65" s="1087" t="str">
        <f t="shared" si="19"/>
        <v>2021-4</v>
      </c>
      <c r="O65" s="1087" t="str">
        <f t="shared" si="19"/>
        <v>2021-3</v>
      </c>
      <c r="P65" s="1132"/>
      <c r="Q65" s="1132"/>
      <c r="R65" s="1132"/>
      <c r="S65" s="1132"/>
      <c r="T65" s="1132"/>
      <c r="U65" s="1132"/>
      <c r="V65" s="1132"/>
      <c r="W65" s="1132"/>
      <c r="X65" s="1132"/>
      <c r="Y65" s="1132"/>
      <c r="Z65" s="1132"/>
      <c r="AA65" s="1132"/>
      <c r="AB65" s="1132"/>
      <c r="AC65" s="1132"/>
      <c r="AD65" s="1132"/>
      <c r="AE65" s="1132"/>
    </row>
    <row r="66" spans="1:31" s="855" customFormat="1" ht="30.75" customHeight="1">
      <c r="A66" s="1088" t="s">
        <v>1980</v>
      </c>
      <c r="B66" s="1089" t="str">
        <f>"北京市平均增长率"&amp;TEXT(基准地价修正!P24,"0.00%")</f>
        <v>北京市平均增长率0.00%</v>
      </c>
      <c r="C66" s="795">
        <v>100</v>
      </c>
      <c r="D66" s="1090"/>
      <c r="E66" s="1090"/>
      <c r="F66" s="1090"/>
      <c r="G66" s="1090"/>
      <c r="H66" s="1090"/>
      <c r="I66" s="1090"/>
      <c r="J66" s="1090"/>
      <c r="K66" s="1090"/>
      <c r="L66" s="1090"/>
      <c r="M66" s="1133"/>
      <c r="N66" s="1133"/>
      <c r="O66" s="936"/>
      <c r="P66" s="1079"/>
      <c r="Q66" s="1027"/>
      <c r="R66" s="1027"/>
      <c r="S66" s="1027"/>
      <c r="T66" s="1027"/>
      <c r="U66" s="1027"/>
      <c r="V66" s="1027"/>
      <c r="W66" s="1027"/>
      <c r="X66" s="1027"/>
      <c r="Y66" s="1027"/>
      <c r="Z66" s="1027"/>
      <c r="AA66" s="1027"/>
      <c r="AB66" s="1027"/>
      <c r="AC66" s="1027"/>
      <c r="AD66" s="1027"/>
      <c r="AE66" s="1027"/>
    </row>
    <row r="67" spans="1:31" s="855" customFormat="1" ht="15">
      <c r="A67" s="1091" t="s">
        <v>1026</v>
      </c>
      <c r="B67" s="1092"/>
      <c r="C67" s="1093"/>
      <c r="D67" s="1094"/>
      <c r="E67" s="1094"/>
      <c r="F67" s="1094"/>
      <c r="G67" s="1094"/>
      <c r="H67" s="1094"/>
      <c r="I67" s="1094"/>
      <c r="J67" s="1094"/>
      <c r="K67" s="1094"/>
      <c r="L67" s="1094"/>
      <c r="M67" s="1134"/>
      <c r="N67" s="1134"/>
      <c r="O67" s="1135"/>
      <c r="P67" s="1079"/>
      <c r="Q67" s="1079"/>
      <c r="R67" s="1027"/>
      <c r="S67" s="1027"/>
      <c r="T67" s="1027"/>
      <c r="U67" s="1027"/>
      <c r="V67" s="1027"/>
      <c r="W67" s="1027"/>
      <c r="X67" s="1027"/>
      <c r="Y67" s="1027"/>
      <c r="Z67" s="1027"/>
      <c r="AA67" s="1027"/>
      <c r="AB67" s="1027"/>
      <c r="AC67" s="1027"/>
      <c r="AD67" s="1027"/>
      <c r="AE67" s="1027"/>
    </row>
    <row r="68" spans="1:31" s="855" customFormat="1" ht="15">
      <c r="A68" s="1095" t="s">
        <v>957</v>
      </c>
      <c r="B68" s="1096"/>
      <c r="C68" s="1097" t="s">
        <v>958</v>
      </c>
      <c r="D68" s="1098"/>
      <c r="E68" s="1098"/>
      <c r="F68" s="1098"/>
      <c r="G68" s="1098"/>
      <c r="H68" s="1098"/>
      <c r="I68" s="1098"/>
      <c r="J68" s="1098"/>
      <c r="K68" s="1098"/>
      <c r="L68" s="1136"/>
      <c r="M68" s="1137"/>
      <c r="N68" s="1138"/>
      <c r="O68" s="1138"/>
      <c r="P68" s="466"/>
      <c r="Q68" s="1079"/>
      <c r="R68" s="1027"/>
      <c r="S68" s="1027"/>
      <c r="T68" s="1027"/>
      <c r="U68" s="1027"/>
      <c r="V68" s="1027"/>
      <c r="W68" s="1027"/>
      <c r="X68" s="1027"/>
      <c r="Y68" s="1027"/>
      <c r="Z68" s="1027"/>
      <c r="AA68" s="1027"/>
      <c r="AB68" s="1027"/>
      <c r="AC68" s="1027"/>
      <c r="AD68" s="1027"/>
      <c r="AE68" s="1027"/>
    </row>
    <row r="69" spans="1:31" s="855" customFormat="1" ht="15">
      <c r="A69" s="1095"/>
      <c r="B69" s="1096"/>
      <c r="C69" s="1099">
        <v>100</v>
      </c>
      <c r="D69" s="1100"/>
      <c r="E69" s="1100"/>
      <c r="F69" s="1100"/>
      <c r="G69" s="1100"/>
      <c r="H69" s="1100"/>
      <c r="I69" s="1100"/>
      <c r="J69" s="1100"/>
      <c r="K69" s="1100"/>
      <c r="L69" s="1100"/>
      <c r="M69" s="1139"/>
      <c r="N69" s="1138"/>
      <c r="O69" s="1138"/>
      <c r="P69" s="1079"/>
      <c r="Q69" s="1079"/>
      <c r="R69" s="1027"/>
      <c r="S69" s="1027"/>
      <c r="T69" s="1027"/>
      <c r="U69" s="1027"/>
      <c r="V69" s="1027"/>
      <c r="W69" s="1027"/>
      <c r="X69" s="1027"/>
      <c r="Y69" s="1027"/>
      <c r="Z69" s="1027"/>
      <c r="AA69" s="1027"/>
      <c r="AB69" s="1027"/>
      <c r="AC69" s="1027"/>
      <c r="AD69" s="1027"/>
      <c r="AE69" s="1027"/>
    </row>
    <row r="70" spans="1:31">
      <c r="A70" s="912" t="s">
        <v>1027</v>
      </c>
      <c r="B70" s="1101" t="s">
        <v>961</v>
      </c>
      <c r="C70" s="1047"/>
      <c r="D70" s="1047"/>
      <c r="E70" s="1047"/>
      <c r="F70" s="1047"/>
      <c r="G70" s="1047"/>
      <c r="H70" s="1047"/>
      <c r="I70" s="1047"/>
      <c r="J70" s="1047"/>
      <c r="K70" s="1140"/>
      <c r="L70" s="1141"/>
      <c r="M70" s="1142"/>
      <c r="N70" s="1143"/>
      <c r="O70" s="1143"/>
      <c r="P70" s="1138"/>
      <c r="Q70" s="1079"/>
      <c r="R70" s="971"/>
      <c r="S70" s="971"/>
      <c r="T70" s="971"/>
      <c r="U70" s="971"/>
      <c r="V70" s="971"/>
      <c r="W70" s="971"/>
      <c r="X70" s="971"/>
      <c r="Y70" s="971"/>
      <c r="Z70" s="971"/>
      <c r="AA70" s="971"/>
      <c r="AB70" s="971"/>
      <c r="AC70" s="971"/>
      <c r="AD70" s="971"/>
      <c r="AE70" s="971"/>
    </row>
    <row r="71" spans="1:31" ht="15">
      <c r="A71" s="899"/>
      <c r="B71" s="1102"/>
      <c r="C71" s="1103"/>
      <c r="D71" s="1103"/>
      <c r="E71" s="1103"/>
      <c r="F71" s="1103"/>
      <c r="G71" s="1103"/>
      <c r="H71" s="1103"/>
      <c r="I71" s="1103"/>
      <c r="J71" s="1103"/>
      <c r="K71" s="1103"/>
      <c r="L71" s="1103"/>
      <c r="M71" s="1144"/>
      <c r="N71" s="1145"/>
      <c r="O71" s="1145"/>
      <c r="P71" s="1138"/>
      <c r="Q71" s="1079"/>
      <c r="R71" s="971"/>
      <c r="S71" s="971"/>
      <c r="T71" s="971"/>
      <c r="U71" s="971"/>
      <c r="V71" s="971"/>
      <c r="W71" s="971"/>
      <c r="X71" s="971"/>
      <c r="Y71" s="971"/>
      <c r="Z71" s="971"/>
      <c r="AA71" s="971"/>
      <c r="AB71" s="971"/>
      <c r="AC71" s="971"/>
      <c r="AD71" s="971"/>
      <c r="AE71" s="971"/>
    </row>
    <row r="72" spans="1:31" ht="27">
      <c r="A72" s="899"/>
      <c r="B72" s="1104" t="s">
        <v>964</v>
      </c>
      <c r="C72" s="1105"/>
      <c r="D72" s="1105"/>
      <c r="E72" s="1105"/>
      <c r="F72" s="1105"/>
      <c r="G72" s="1105"/>
      <c r="H72" s="1105"/>
      <c r="I72" s="1105"/>
      <c r="J72" s="1105"/>
      <c r="K72" s="1146"/>
      <c r="L72" s="1147"/>
      <c r="M72" s="1148"/>
      <c r="N72" s="1143"/>
      <c r="O72" s="1143"/>
      <c r="P72" s="1138"/>
      <c r="Q72" s="1079"/>
      <c r="R72" s="971"/>
      <c r="S72" s="971"/>
      <c r="T72" s="971"/>
      <c r="U72" s="971"/>
      <c r="V72" s="971"/>
      <c r="W72" s="971"/>
      <c r="X72" s="971"/>
      <c r="Y72" s="971"/>
      <c r="Z72" s="971"/>
      <c r="AA72" s="971"/>
      <c r="AB72" s="971"/>
      <c r="AC72" s="971"/>
      <c r="AD72" s="971"/>
      <c r="AE72" s="971"/>
    </row>
    <row r="73" spans="1:31" ht="15">
      <c r="A73" s="899"/>
      <c r="B73" s="1106"/>
      <c r="C73" s="1107"/>
      <c r="D73" s="1107"/>
      <c r="E73" s="1107"/>
      <c r="F73" s="1107"/>
      <c r="G73" s="1107"/>
      <c r="H73" s="1107"/>
      <c r="I73" s="1107"/>
      <c r="J73" s="1107"/>
      <c r="K73" s="1107"/>
      <c r="L73" s="1107"/>
      <c r="M73" s="1149"/>
      <c r="N73" s="1145"/>
      <c r="O73" s="1145"/>
      <c r="P73" s="1138"/>
      <c r="Q73" s="1079"/>
      <c r="R73" s="971"/>
      <c r="S73" s="971"/>
      <c r="T73" s="971"/>
      <c r="U73" s="971"/>
      <c r="V73" s="971"/>
      <c r="W73" s="971"/>
      <c r="X73" s="971"/>
      <c r="Y73" s="971"/>
      <c r="Z73" s="971"/>
      <c r="AA73" s="971"/>
      <c r="AB73" s="971"/>
      <c r="AC73" s="971"/>
      <c r="AD73" s="971"/>
      <c r="AE73" s="971"/>
    </row>
    <row r="74" spans="1:31" ht="15">
      <c r="A74" s="899"/>
      <c r="B74" s="1108" t="s">
        <v>965</v>
      </c>
      <c r="C74" s="1109" t="str">
        <f>C75&amp;"（含）"&amp;"-"&amp;D75</f>
        <v>（含）-</v>
      </c>
      <c r="D74" s="1109" t="str">
        <f t="shared" ref="D74:L74" si="20">D75&amp;"（含）"&amp;"-"&amp;E75</f>
        <v>（含）-</v>
      </c>
      <c r="E74" s="1109" t="str">
        <f t="shared" si="20"/>
        <v>（含）-</v>
      </c>
      <c r="F74" s="1109" t="str">
        <f t="shared" si="20"/>
        <v>（含）-</v>
      </c>
      <c r="G74" s="1109" t="str">
        <f t="shared" si="20"/>
        <v>（含）-</v>
      </c>
      <c r="H74" s="1109" t="str">
        <f t="shared" si="20"/>
        <v>（含）-</v>
      </c>
      <c r="I74" s="1109" t="str">
        <f t="shared" si="20"/>
        <v>（含）-</v>
      </c>
      <c r="J74" s="1109" t="str">
        <f t="shared" si="20"/>
        <v>（含）-</v>
      </c>
      <c r="K74" s="1109" t="str">
        <f t="shared" si="20"/>
        <v>（含）-</v>
      </c>
      <c r="L74" s="1109" t="str">
        <f t="shared" si="20"/>
        <v>（含）-</v>
      </c>
      <c r="M74" s="919" t="str">
        <f>M75&amp;"（含）"&amp;"-"&amp;P75</f>
        <v>（含）-</v>
      </c>
      <c r="N74" s="1145"/>
      <c r="O74" s="1145"/>
      <c r="P74" s="1138"/>
      <c r="Q74" s="1079"/>
      <c r="R74" s="971"/>
      <c r="S74" s="971"/>
      <c r="T74" s="971"/>
      <c r="U74" s="971"/>
      <c r="V74" s="971"/>
      <c r="W74" s="971"/>
      <c r="X74" s="971"/>
      <c r="Y74" s="971"/>
      <c r="Z74" s="971"/>
      <c r="AA74" s="971"/>
      <c r="AB74" s="971"/>
      <c r="AC74" s="971"/>
      <c r="AD74" s="971"/>
      <c r="AE74" s="971"/>
    </row>
    <row r="75" spans="1:31" ht="15">
      <c r="A75" s="899"/>
      <c r="B75" s="1110"/>
      <c r="C75" s="905"/>
      <c r="D75" s="905"/>
      <c r="E75" s="905"/>
      <c r="F75" s="905"/>
      <c r="G75" s="905"/>
      <c r="H75" s="905"/>
      <c r="I75" s="905"/>
      <c r="J75" s="905"/>
      <c r="K75" s="1150"/>
      <c r="L75" s="1151"/>
      <c r="M75" s="1152"/>
      <c r="N75" s="1143"/>
      <c r="O75" s="1143"/>
      <c r="P75" s="1138"/>
      <c r="Q75" s="1079"/>
      <c r="R75" s="971"/>
      <c r="S75" s="971"/>
      <c r="T75" s="971"/>
      <c r="U75" s="971"/>
      <c r="V75" s="971"/>
      <c r="W75" s="971"/>
      <c r="X75" s="971"/>
      <c r="Y75" s="971"/>
      <c r="Z75" s="971"/>
      <c r="AA75" s="971"/>
      <c r="AB75" s="971"/>
      <c r="AC75" s="971"/>
      <c r="AD75" s="971"/>
      <c r="AE75" s="971"/>
    </row>
    <row r="76" spans="1:31" ht="15">
      <c r="A76" s="899"/>
      <c r="B76" s="1102"/>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145"/>
      <c r="O76" s="1145"/>
      <c r="P76" s="1138"/>
      <c r="Q76" s="1079"/>
      <c r="R76" s="971"/>
      <c r="S76" s="971"/>
      <c r="T76" s="971"/>
      <c r="U76" s="971"/>
      <c r="V76" s="971"/>
      <c r="W76" s="971"/>
      <c r="X76" s="971"/>
      <c r="Y76" s="971"/>
      <c r="Z76" s="971"/>
      <c r="AA76" s="971"/>
      <c r="AB76" s="971"/>
      <c r="AC76" s="971"/>
      <c r="AD76" s="971"/>
      <c r="AE76" s="971"/>
    </row>
    <row r="77" spans="1:31" s="857" customFormat="1" ht="15">
      <c r="A77" s="1111"/>
      <c r="B77" s="1104">
        <f>B12</f>
        <v>111</v>
      </c>
      <c r="C77" s="1112"/>
      <c r="D77" s="1112"/>
      <c r="E77" s="1112"/>
      <c r="F77" s="1112"/>
      <c r="G77" s="1112"/>
      <c r="H77" s="1113"/>
      <c r="I77" s="1113"/>
      <c r="J77" s="1113"/>
      <c r="K77" s="1113"/>
      <c r="L77" s="1153"/>
      <c r="M77" s="1154"/>
      <c r="N77" s="1155"/>
      <c r="O77" s="1155"/>
      <c r="P77" s="1155"/>
      <c r="Q77" s="1183"/>
      <c r="R77" s="1045"/>
      <c r="S77" s="1045"/>
      <c r="T77" s="1045"/>
      <c r="U77" s="1045"/>
      <c r="V77" s="1045"/>
      <c r="W77" s="1045"/>
      <c r="X77" s="1045"/>
      <c r="Y77" s="1045"/>
      <c r="Z77" s="1045"/>
      <c r="AA77" s="1045"/>
      <c r="AB77" s="1045"/>
      <c r="AC77" s="1045"/>
      <c r="AD77" s="1045"/>
      <c r="AE77" s="1045"/>
    </row>
    <row r="78" spans="1:31" s="857" customFormat="1" ht="15">
      <c r="A78" s="1111"/>
      <c r="B78" s="1106"/>
      <c r="C78" s="1114"/>
      <c r="D78" s="1103"/>
      <c r="E78" s="1103"/>
      <c r="F78" s="1103"/>
      <c r="G78" s="1103"/>
      <c r="H78" s="1103"/>
      <c r="I78" s="1103"/>
      <c r="J78" s="1103"/>
      <c r="K78" s="1103"/>
      <c r="L78" s="1103"/>
      <c r="M78" s="1144"/>
      <c r="N78" s="1145"/>
      <c r="O78" s="1145"/>
      <c r="P78" s="1155"/>
      <c r="Q78" s="1183"/>
      <c r="R78" s="1045"/>
      <c r="S78" s="1045"/>
      <c r="T78" s="1045"/>
      <c r="U78" s="1045"/>
      <c r="V78" s="1045"/>
      <c r="W78" s="1045"/>
      <c r="X78" s="1045"/>
      <c r="Y78" s="1045"/>
      <c r="Z78" s="1045"/>
      <c r="AA78" s="1045"/>
      <c r="AB78" s="1045"/>
      <c r="AC78" s="1045"/>
      <c r="AD78" s="1045"/>
      <c r="AE78" s="1045"/>
    </row>
    <row r="79" spans="1:31" s="857" customFormat="1" ht="15">
      <c r="A79" s="1111"/>
      <c r="B79" s="1104">
        <f>B13</f>
        <v>111</v>
      </c>
      <c r="C79" s="1112"/>
      <c r="D79" s="1112"/>
      <c r="E79" s="1112"/>
      <c r="F79" s="1112"/>
      <c r="G79" s="1112"/>
      <c r="H79" s="1113"/>
      <c r="I79" s="1113"/>
      <c r="J79" s="1113"/>
      <c r="K79" s="1113"/>
      <c r="L79" s="1153"/>
      <c r="M79" s="1154"/>
      <c r="N79" s="1155"/>
      <c r="O79" s="1155"/>
      <c r="P79" s="1045"/>
      <c r="Q79" s="1184"/>
      <c r="R79" s="1045"/>
      <c r="S79" s="1045"/>
      <c r="T79" s="1045"/>
      <c r="U79" s="1045"/>
      <c r="V79" s="1045"/>
      <c r="W79" s="1045"/>
      <c r="X79" s="1045"/>
      <c r="Y79" s="1045"/>
      <c r="Z79" s="1045"/>
      <c r="AA79" s="1045"/>
      <c r="AB79" s="1045"/>
      <c r="AC79" s="1045"/>
      <c r="AD79" s="1045"/>
      <c r="AE79" s="1045"/>
    </row>
    <row r="80" spans="1:31" s="857" customFormat="1" ht="15">
      <c r="A80" s="1111"/>
      <c r="B80" s="1106"/>
      <c r="C80" s="1114"/>
      <c r="D80" s="1114"/>
      <c r="E80" s="1114"/>
      <c r="F80" s="1114"/>
      <c r="G80" s="1114"/>
      <c r="H80" s="1115"/>
      <c r="I80" s="1115"/>
      <c r="J80" s="1115"/>
      <c r="K80" s="1115"/>
      <c r="L80" s="1115"/>
      <c r="M80" s="1156"/>
      <c r="N80" s="1155"/>
      <c r="O80" s="1155"/>
      <c r="P80" s="1155"/>
      <c r="Q80" s="1183"/>
      <c r="R80" s="1045"/>
      <c r="S80" s="1045"/>
      <c r="T80" s="1045"/>
      <c r="U80" s="1045"/>
      <c r="V80" s="1045"/>
      <c r="W80" s="1045"/>
      <c r="X80" s="1045"/>
      <c r="Y80" s="1045"/>
      <c r="Z80" s="1045"/>
      <c r="AA80" s="1045"/>
      <c r="AB80" s="1045"/>
      <c r="AC80" s="1045"/>
      <c r="AD80" s="1045"/>
      <c r="AE80" s="1045"/>
    </row>
    <row r="81" spans="1:31" s="857" customFormat="1" ht="15">
      <c r="A81" s="1111"/>
      <c r="B81" s="1108">
        <f>B14</f>
        <v>111</v>
      </c>
      <c r="C81" s="1098"/>
      <c r="D81" s="1098"/>
      <c r="E81" s="1098"/>
      <c r="F81" s="1098"/>
      <c r="G81" s="1098"/>
      <c r="H81" s="1116"/>
      <c r="I81" s="1116"/>
      <c r="J81" s="1116"/>
      <c r="K81" s="1116"/>
      <c r="L81" s="1157"/>
      <c r="M81" s="1158"/>
      <c r="N81" s="1155"/>
      <c r="O81" s="1155"/>
      <c r="P81" s="1159"/>
      <c r="Q81" s="1183"/>
      <c r="R81" s="1045"/>
      <c r="S81" s="1045"/>
      <c r="T81" s="1045"/>
      <c r="U81" s="1045"/>
      <c r="V81" s="1045"/>
      <c r="W81" s="1045"/>
      <c r="X81" s="1045"/>
      <c r="Y81" s="1045"/>
      <c r="Z81" s="1045"/>
      <c r="AA81" s="1045"/>
      <c r="AB81" s="1045"/>
      <c r="AC81" s="1045"/>
      <c r="AD81" s="1045"/>
      <c r="AE81" s="1045"/>
    </row>
    <row r="82" spans="1:31" s="857" customFormat="1" ht="15">
      <c r="A82" s="1117"/>
      <c r="B82" s="1118"/>
      <c r="C82" s="1119"/>
      <c r="D82" s="1119"/>
      <c r="E82" s="1119"/>
      <c r="F82" s="1119"/>
      <c r="G82" s="1119"/>
      <c r="H82" s="1120"/>
      <c r="I82" s="1120"/>
      <c r="J82" s="1120"/>
      <c r="K82" s="1120"/>
      <c r="L82" s="1120"/>
      <c r="M82" s="1160"/>
      <c r="N82" s="1155"/>
      <c r="O82" s="1155"/>
      <c r="P82" s="1155"/>
      <c r="Q82" s="1183"/>
      <c r="R82" s="1045"/>
      <c r="S82" s="1045"/>
      <c r="T82" s="1045"/>
      <c r="U82" s="1045"/>
      <c r="V82" s="1045"/>
      <c r="W82" s="1045"/>
      <c r="X82" s="1045"/>
      <c r="Y82" s="1045"/>
      <c r="Z82" s="1045"/>
      <c r="AA82" s="1045"/>
      <c r="AB82" s="1045"/>
      <c r="AC82" s="1045"/>
      <c r="AD82" s="1045"/>
      <c r="AE82" s="1045"/>
    </row>
    <row r="83" spans="1:31">
      <c r="A83" s="912" t="s">
        <v>967</v>
      </c>
      <c r="B83" s="1101" t="s">
        <v>1952</v>
      </c>
      <c r="C83" s="1121" t="s">
        <v>1028</v>
      </c>
      <c r="D83" s="1121" t="s">
        <v>1029</v>
      </c>
      <c r="E83" s="1121" t="s">
        <v>1030</v>
      </c>
      <c r="F83" s="1121" t="s">
        <v>1031</v>
      </c>
      <c r="G83" s="1121" t="s">
        <v>1032</v>
      </c>
      <c r="H83" s="637"/>
      <c r="I83" s="637"/>
      <c r="J83" s="637"/>
      <c r="K83" s="1161"/>
      <c r="L83" s="1162"/>
      <c r="M83" s="1163"/>
      <c r="N83" s="1143"/>
      <c r="O83" s="1143"/>
      <c r="P83" s="1164"/>
      <c r="Q83" s="1079"/>
      <c r="R83" s="971"/>
      <c r="S83" s="971"/>
      <c r="T83" s="971"/>
      <c r="U83" s="971"/>
      <c r="V83" s="971"/>
      <c r="W83" s="971"/>
      <c r="X83" s="971"/>
      <c r="Y83" s="971"/>
      <c r="Z83" s="971"/>
      <c r="AA83" s="971"/>
      <c r="AB83" s="971"/>
      <c r="AC83" s="971"/>
      <c r="AD83" s="971"/>
      <c r="AE83" s="971"/>
    </row>
    <row r="84" spans="1:31" ht="15">
      <c r="A84" s="899"/>
      <c r="B84" s="1106"/>
      <c r="C84" s="1107">
        <v>100</v>
      </c>
      <c r="D84" s="1107">
        <f>C84-$K15</f>
        <v>100</v>
      </c>
      <c r="E84" s="1107">
        <f>D84-$K15</f>
        <v>100</v>
      </c>
      <c r="F84" s="1107">
        <f>E84-$K15</f>
        <v>100</v>
      </c>
      <c r="G84" s="1107">
        <f>F84-$K15</f>
        <v>100</v>
      </c>
      <c r="H84" s="1107"/>
      <c r="I84" s="1107"/>
      <c r="J84" s="1107"/>
      <c r="K84" s="1107"/>
      <c r="L84" s="1107"/>
      <c r="M84" s="1149"/>
      <c r="N84" s="1145"/>
      <c r="O84" s="1145"/>
      <c r="P84" s="1138"/>
      <c r="Q84" s="1079"/>
      <c r="R84" s="971"/>
      <c r="S84" s="971"/>
      <c r="T84" s="971"/>
      <c r="U84" s="971"/>
      <c r="V84" s="971"/>
      <c r="W84" s="971"/>
      <c r="X84" s="971"/>
      <c r="Y84" s="971"/>
      <c r="Z84" s="971"/>
      <c r="AA84" s="971"/>
      <c r="AB84" s="971"/>
      <c r="AC84" s="971"/>
      <c r="AD84" s="971"/>
      <c r="AE84" s="971"/>
    </row>
    <row r="85" spans="1:31" ht="15">
      <c r="A85" s="899"/>
      <c r="B85" s="1104" t="s">
        <v>973</v>
      </c>
      <c r="C85" s="1122" t="s">
        <v>1028</v>
      </c>
      <c r="D85" s="1122" t="s">
        <v>1029</v>
      </c>
      <c r="E85" s="1122" t="s">
        <v>1030</v>
      </c>
      <c r="F85" s="1122" t="s">
        <v>1031</v>
      </c>
      <c r="G85" s="1122" t="s">
        <v>1032</v>
      </c>
      <c r="H85" s="1105"/>
      <c r="I85" s="1105"/>
      <c r="J85" s="1105"/>
      <c r="K85" s="1146"/>
      <c r="L85" s="1147"/>
      <c r="M85" s="1148"/>
      <c r="N85" s="1143"/>
      <c r="O85" s="1143"/>
      <c r="P85" s="1138"/>
      <c r="Q85" s="1079"/>
      <c r="R85" s="971"/>
      <c r="S85" s="971"/>
      <c r="T85" s="971"/>
      <c r="U85" s="971"/>
      <c r="V85" s="971"/>
      <c r="W85" s="971"/>
      <c r="X85" s="971"/>
      <c r="Y85" s="971"/>
      <c r="Z85" s="971"/>
      <c r="AA85" s="971"/>
      <c r="AB85" s="971"/>
      <c r="AC85" s="971"/>
      <c r="AD85" s="971"/>
      <c r="AE85" s="971"/>
    </row>
    <row r="86" spans="1:31" ht="15">
      <c r="A86" s="899"/>
      <c r="B86" s="1106"/>
      <c r="C86" s="1107">
        <v>100</v>
      </c>
      <c r="D86" s="1107">
        <f>C86-$K17</f>
        <v>100</v>
      </c>
      <c r="E86" s="1107">
        <f>D86-$K17</f>
        <v>100</v>
      </c>
      <c r="F86" s="1107">
        <f>E86-$K17</f>
        <v>100</v>
      </c>
      <c r="G86" s="1107">
        <f>F86-$K17</f>
        <v>100</v>
      </c>
      <c r="H86" s="1107"/>
      <c r="I86" s="1107"/>
      <c r="J86" s="1107"/>
      <c r="K86" s="1107"/>
      <c r="L86" s="1107"/>
      <c r="M86" s="1149"/>
      <c r="N86" s="1145"/>
      <c r="O86" s="1145"/>
      <c r="P86" s="1138"/>
      <c r="Q86" s="1079"/>
      <c r="R86" s="971"/>
      <c r="S86" s="971"/>
      <c r="T86" s="971"/>
      <c r="U86" s="971"/>
      <c r="V86" s="971"/>
      <c r="W86" s="971"/>
      <c r="X86" s="971"/>
      <c r="Y86" s="971"/>
      <c r="Z86" s="971"/>
      <c r="AA86" s="971"/>
      <c r="AB86" s="971"/>
      <c r="AC86" s="971"/>
      <c r="AD86" s="971"/>
      <c r="AE86" s="971"/>
    </row>
    <row r="87" spans="1:31" s="855" customFormat="1" ht="15">
      <c r="A87" s="902"/>
      <c r="B87" s="1104" t="s">
        <v>974</v>
      </c>
      <c r="C87" s="1121" t="s">
        <v>1028</v>
      </c>
      <c r="D87" s="1121" t="s">
        <v>1029</v>
      </c>
      <c r="E87" s="1121" t="s">
        <v>1030</v>
      </c>
      <c r="F87" s="1121" t="s">
        <v>1031</v>
      </c>
      <c r="G87" s="1121" t="s">
        <v>1032</v>
      </c>
      <c r="H87" s="1122"/>
      <c r="I87" s="1122"/>
      <c r="J87" s="1122"/>
      <c r="K87" s="1122"/>
      <c r="L87" s="1165"/>
      <c r="M87" s="1166"/>
      <c r="N87" s="1138"/>
      <c r="O87" s="1138"/>
      <c r="P87" s="1138"/>
      <c r="Q87" s="1079"/>
      <c r="R87" s="1027"/>
      <c r="S87" s="1027"/>
      <c r="T87" s="1027"/>
      <c r="U87" s="1027"/>
      <c r="V87" s="1027"/>
      <c r="W87" s="1027"/>
      <c r="X87" s="1027"/>
      <c r="Y87" s="1027"/>
      <c r="Z87" s="1027"/>
      <c r="AA87" s="1027"/>
      <c r="AB87" s="1027"/>
      <c r="AC87" s="1027"/>
      <c r="AD87" s="1027"/>
      <c r="AE87" s="1027"/>
    </row>
    <row r="88" spans="1:31" s="855" customFormat="1" ht="15">
      <c r="A88" s="902"/>
      <c r="B88" s="1106"/>
      <c r="C88" s="1123">
        <v>100</v>
      </c>
      <c r="D88" s="1107">
        <f>C88-$K19</f>
        <v>100</v>
      </c>
      <c r="E88" s="1107">
        <f>D88-$K19</f>
        <v>100</v>
      </c>
      <c r="F88" s="1107">
        <f>E88-$K19</f>
        <v>100</v>
      </c>
      <c r="G88" s="1107">
        <f>F88-$K19</f>
        <v>100</v>
      </c>
      <c r="H88" s="1107"/>
      <c r="I88" s="1107"/>
      <c r="J88" s="1107"/>
      <c r="K88" s="1107"/>
      <c r="L88" s="1107"/>
      <c r="M88" s="1149"/>
      <c r="N88" s="1145"/>
      <c r="O88" s="1145"/>
      <c r="P88" s="1138"/>
      <c r="Q88" s="1079"/>
      <c r="R88" s="1027"/>
      <c r="S88" s="1027"/>
      <c r="T88" s="1027"/>
      <c r="U88" s="1027"/>
      <c r="V88" s="1027"/>
      <c r="W88" s="1027"/>
      <c r="X88" s="1027"/>
      <c r="Y88" s="1027"/>
      <c r="Z88" s="1027"/>
      <c r="AA88" s="1027"/>
      <c r="AB88" s="1027"/>
      <c r="AC88" s="1027"/>
      <c r="AD88" s="1027"/>
      <c r="AE88" s="1027"/>
    </row>
    <row r="89" spans="1:31" s="855" customFormat="1" ht="27">
      <c r="A89" s="902"/>
      <c r="B89" s="1104" t="s">
        <v>975</v>
      </c>
      <c r="C89" s="1121" t="s">
        <v>1028</v>
      </c>
      <c r="D89" s="1121" t="s">
        <v>1029</v>
      </c>
      <c r="E89" s="1121" t="s">
        <v>1030</v>
      </c>
      <c r="F89" s="1121" t="s">
        <v>1031</v>
      </c>
      <c r="G89" s="1121" t="s">
        <v>1032</v>
      </c>
      <c r="H89" s="1122"/>
      <c r="I89" s="1122"/>
      <c r="J89" s="1122"/>
      <c r="K89" s="1122"/>
      <c r="L89" s="1122"/>
      <c r="M89" s="1166"/>
      <c r="N89" s="1138"/>
      <c r="O89" s="1138"/>
      <c r="P89" s="1138"/>
      <c r="Q89" s="1079"/>
      <c r="R89" s="1027"/>
      <c r="S89" s="1027"/>
      <c r="T89" s="1027"/>
      <c r="U89" s="1027"/>
      <c r="V89" s="1027"/>
      <c r="W89" s="1027"/>
      <c r="X89" s="1027"/>
      <c r="Y89" s="1027"/>
      <c r="Z89" s="1027"/>
      <c r="AA89" s="1027"/>
      <c r="AB89" s="1027"/>
      <c r="AC89" s="1027"/>
      <c r="AD89" s="1027"/>
      <c r="AE89" s="1027"/>
    </row>
    <row r="90" spans="1:31" s="855" customFormat="1" ht="15">
      <c r="A90" s="902"/>
      <c r="B90" s="1106"/>
      <c r="C90" s="1107">
        <v>100</v>
      </c>
      <c r="D90" s="1107">
        <f>C90-$K21</f>
        <v>100</v>
      </c>
      <c r="E90" s="1107">
        <f>D90-$K21</f>
        <v>100</v>
      </c>
      <c r="F90" s="1107">
        <f>E90-$K21</f>
        <v>100</v>
      </c>
      <c r="G90" s="1107">
        <f>F90-$K21</f>
        <v>100</v>
      </c>
      <c r="H90" s="1107"/>
      <c r="I90" s="1107"/>
      <c r="J90" s="1107"/>
      <c r="K90" s="1107"/>
      <c r="L90" s="1107"/>
      <c r="M90" s="1149"/>
      <c r="N90" s="1145"/>
      <c r="O90" s="1145"/>
      <c r="P90" s="1138"/>
      <c r="Q90" s="1079"/>
      <c r="R90" s="1027"/>
      <c r="S90" s="1027"/>
      <c r="T90" s="1027"/>
      <c r="U90" s="1027"/>
      <c r="V90" s="1027"/>
      <c r="W90" s="1027"/>
      <c r="X90" s="1027"/>
      <c r="Y90" s="1027"/>
      <c r="Z90" s="1027"/>
      <c r="AA90" s="1027"/>
      <c r="AB90" s="1027"/>
      <c r="AC90" s="1027"/>
      <c r="AD90" s="1027"/>
      <c r="AE90" s="1027"/>
    </row>
    <row r="91" spans="1:31" s="857" customFormat="1" ht="15">
      <c r="A91" s="1111"/>
      <c r="B91" s="1104" t="s">
        <v>976</v>
      </c>
      <c r="C91" s="1121" t="s">
        <v>1028</v>
      </c>
      <c r="D91" s="1121" t="s">
        <v>1029</v>
      </c>
      <c r="E91" s="1121" t="s">
        <v>1030</v>
      </c>
      <c r="F91" s="1121" t="s">
        <v>1031</v>
      </c>
      <c r="G91" s="1121" t="s">
        <v>1032</v>
      </c>
      <c r="H91" s="1124"/>
      <c r="I91" s="1124"/>
      <c r="J91" s="1124"/>
      <c r="K91" s="1124"/>
      <c r="L91" s="1167"/>
      <c r="M91" s="1168"/>
      <c r="N91" s="1155"/>
      <c r="O91" s="1155"/>
      <c r="P91" s="1155"/>
      <c r="Q91" s="1183"/>
      <c r="R91" s="1045"/>
      <c r="S91" s="1045"/>
      <c r="T91" s="1045"/>
      <c r="U91" s="1045"/>
      <c r="V91" s="1045"/>
      <c r="W91" s="1045"/>
      <c r="X91" s="1045"/>
      <c r="Y91" s="1045"/>
      <c r="Z91" s="1045"/>
      <c r="AA91" s="1045"/>
      <c r="AB91" s="1045"/>
      <c r="AC91" s="1045"/>
      <c r="AD91" s="1045"/>
      <c r="AE91" s="1045"/>
    </row>
    <row r="92" spans="1:31" s="857" customFormat="1" ht="15">
      <c r="A92" s="1111"/>
      <c r="B92" s="1106"/>
      <c r="C92" s="1107">
        <v>100</v>
      </c>
      <c r="D92" s="1107">
        <f>C92-$K23</f>
        <v>100</v>
      </c>
      <c r="E92" s="1107">
        <f>D92-$K23</f>
        <v>100</v>
      </c>
      <c r="F92" s="1107">
        <f>E92-$K23</f>
        <v>100</v>
      </c>
      <c r="G92" s="1107">
        <f>F92-$K23</f>
        <v>100</v>
      </c>
      <c r="H92" s="1125"/>
      <c r="I92" s="1125"/>
      <c r="J92" s="1125"/>
      <c r="K92" s="1125"/>
      <c r="L92" s="1125"/>
      <c r="M92" s="1169"/>
      <c r="N92" s="1155"/>
      <c r="O92" s="1155"/>
      <c r="P92" s="1155"/>
      <c r="Q92" s="1183"/>
      <c r="R92" s="1045"/>
      <c r="S92" s="1045"/>
      <c r="T92" s="1045"/>
      <c r="U92" s="1045"/>
      <c r="V92" s="1045"/>
      <c r="W92" s="1045"/>
      <c r="X92" s="1045"/>
      <c r="Y92" s="1045"/>
      <c r="Z92" s="1045"/>
      <c r="AA92" s="1045"/>
      <c r="AB92" s="1045"/>
      <c r="AC92" s="1045"/>
      <c r="AD92" s="1045"/>
      <c r="AE92" s="1045"/>
    </row>
    <row r="93" spans="1:31" s="857" customFormat="1" ht="15">
      <c r="A93" s="1111"/>
      <c r="B93" s="1108" t="s">
        <v>977</v>
      </c>
      <c r="C93" s="1039" t="s">
        <v>1033</v>
      </c>
      <c r="D93" s="1039" t="s">
        <v>1034</v>
      </c>
      <c r="E93" s="1039" t="s">
        <v>1035</v>
      </c>
      <c r="F93" s="1039" t="s">
        <v>1036</v>
      </c>
      <c r="G93" s="1039" t="s">
        <v>1037</v>
      </c>
      <c r="H93" s="1124"/>
      <c r="I93" s="1124"/>
      <c r="J93" s="1124"/>
      <c r="K93" s="1124"/>
      <c r="L93" s="1124"/>
      <c r="M93" s="1168"/>
      <c r="N93" s="1155"/>
      <c r="O93" s="1155"/>
      <c r="P93" s="1155"/>
      <c r="Q93" s="1183"/>
      <c r="R93" s="1045"/>
      <c r="S93" s="1045"/>
      <c r="T93" s="1045"/>
      <c r="U93" s="1045"/>
      <c r="V93" s="1045"/>
      <c r="W93" s="1045"/>
      <c r="X93" s="1045"/>
      <c r="Y93" s="1045"/>
      <c r="Z93" s="1045"/>
      <c r="AA93" s="1045"/>
      <c r="AB93" s="1045"/>
      <c r="AC93" s="1045"/>
      <c r="AD93" s="1045"/>
      <c r="AE93" s="1045"/>
    </row>
    <row r="94" spans="1:31" s="857" customFormat="1" ht="15">
      <c r="A94" s="1111"/>
      <c r="B94" s="1108"/>
      <c r="C94" s="1107">
        <v>100</v>
      </c>
      <c r="D94" s="1107">
        <f>C94-$K25</f>
        <v>100</v>
      </c>
      <c r="E94" s="1107">
        <f>D94-$K25</f>
        <v>100</v>
      </c>
      <c r="F94" s="1107">
        <f>E94-$K25</f>
        <v>100</v>
      </c>
      <c r="G94" s="1107">
        <f>F94-$K25</f>
        <v>100</v>
      </c>
      <c r="H94" s="1110"/>
      <c r="I94" s="1110"/>
      <c r="J94" s="1110"/>
      <c r="K94" s="1110"/>
      <c r="L94" s="1110"/>
      <c r="M94" s="1170"/>
      <c r="N94" s="1155"/>
      <c r="O94" s="1155"/>
      <c r="P94" s="1155"/>
      <c r="Q94" s="1183"/>
      <c r="R94" s="1045"/>
      <c r="S94" s="1045"/>
      <c r="T94" s="1045"/>
      <c r="U94" s="1045"/>
      <c r="V94" s="1045"/>
      <c r="W94" s="1045"/>
      <c r="X94" s="1045"/>
      <c r="Y94" s="1045"/>
      <c r="Z94" s="1045"/>
      <c r="AA94" s="1045"/>
      <c r="AB94" s="1045"/>
      <c r="AC94" s="1045"/>
      <c r="AD94" s="1045"/>
      <c r="AE94" s="1045"/>
    </row>
    <row r="95" spans="1:31" ht="15">
      <c r="A95" s="899"/>
      <c r="B95" s="1104" t="str">
        <f>B27</f>
        <v>临街状况</v>
      </c>
      <c r="C95" s="1105" t="s">
        <v>1038</v>
      </c>
      <c r="D95" s="1105" t="s">
        <v>1039</v>
      </c>
      <c r="E95" s="1105" t="s">
        <v>1040</v>
      </c>
      <c r="F95" s="1105" t="s">
        <v>1041</v>
      </c>
      <c r="G95" s="1105"/>
      <c r="H95" s="1105"/>
      <c r="I95" s="1105"/>
      <c r="J95" s="1105"/>
      <c r="K95" s="1146"/>
      <c r="L95" s="1147"/>
      <c r="M95" s="1148"/>
      <c r="N95" s="1143"/>
      <c r="O95" s="1143"/>
      <c r="P95" s="1138"/>
      <c r="Q95" s="1079"/>
      <c r="R95" s="971"/>
      <c r="S95" s="971"/>
      <c r="T95" s="971"/>
      <c r="U95" s="971"/>
      <c r="V95" s="971"/>
      <c r="W95" s="971"/>
      <c r="X95" s="971"/>
      <c r="Y95" s="971"/>
      <c r="Z95" s="971"/>
      <c r="AA95" s="971"/>
      <c r="AB95" s="971"/>
      <c r="AC95" s="971"/>
      <c r="AD95" s="971"/>
      <c r="AE95" s="971"/>
    </row>
    <row r="96" spans="1:31" ht="15">
      <c r="A96" s="899"/>
      <c r="B96" s="1106"/>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145"/>
      <c r="O96" s="1145"/>
      <c r="P96" s="1138"/>
      <c r="Q96" s="1079"/>
      <c r="R96" s="971"/>
      <c r="S96" s="971"/>
      <c r="T96" s="971"/>
      <c r="U96" s="971"/>
      <c r="V96" s="971"/>
      <c r="W96" s="971"/>
      <c r="X96" s="971"/>
      <c r="Y96" s="971"/>
      <c r="Z96" s="971"/>
      <c r="AA96" s="971"/>
      <c r="AB96" s="971"/>
      <c r="AC96" s="971"/>
      <c r="AD96" s="971"/>
      <c r="AE96" s="971"/>
    </row>
    <row r="97" spans="1:31" ht="27">
      <c r="A97" s="899"/>
      <c r="B97" s="1104" t="s">
        <v>980</v>
      </c>
      <c r="C97" s="1112"/>
      <c r="D97" s="1112"/>
      <c r="E97" s="1112"/>
      <c r="F97" s="1112"/>
      <c r="G97" s="1112"/>
      <c r="H97" s="1126"/>
      <c r="I97" s="1126"/>
      <c r="J97" s="1126"/>
      <c r="K97" s="1171"/>
      <c r="L97" s="1172"/>
      <c r="M97" s="1173"/>
      <c r="N97" s="1143"/>
      <c r="O97" s="1143"/>
      <c r="P97" s="1138"/>
      <c r="Q97" s="1079"/>
      <c r="R97" s="971"/>
      <c r="S97" s="971"/>
      <c r="T97" s="971"/>
      <c r="U97" s="971"/>
      <c r="V97" s="971"/>
      <c r="W97" s="971"/>
      <c r="X97" s="971"/>
      <c r="Y97" s="971"/>
      <c r="Z97" s="971"/>
      <c r="AA97" s="971"/>
      <c r="AB97" s="971"/>
      <c r="AC97" s="971"/>
      <c r="AD97" s="971"/>
      <c r="AE97" s="971"/>
    </row>
    <row r="98" spans="1:31" ht="15">
      <c r="A98" s="899"/>
      <c r="B98" s="1106"/>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145"/>
      <c r="O98" s="1145"/>
      <c r="P98" s="1138"/>
      <c r="Q98" s="1079"/>
      <c r="R98" s="971"/>
      <c r="S98" s="971"/>
      <c r="T98" s="971"/>
      <c r="U98" s="971"/>
      <c r="V98" s="971"/>
      <c r="W98" s="971"/>
      <c r="X98" s="971"/>
      <c r="Y98" s="971"/>
      <c r="Z98" s="971"/>
      <c r="AA98" s="971"/>
      <c r="AB98" s="971"/>
      <c r="AC98" s="971"/>
      <c r="AD98" s="971"/>
      <c r="AE98" s="971"/>
    </row>
    <row r="99" spans="1:31" ht="15">
      <c r="A99" s="899"/>
      <c r="B99" s="1104" t="s">
        <v>981</v>
      </c>
      <c r="C99" s="1126"/>
      <c r="D99" s="1126"/>
      <c r="E99" s="1126"/>
      <c r="F99" s="1126"/>
      <c r="G99" s="1126"/>
      <c r="H99" s="1126"/>
      <c r="I99" s="1126"/>
      <c r="J99" s="1126"/>
      <c r="K99" s="1171"/>
      <c r="L99" s="1172"/>
      <c r="M99" s="1173"/>
      <c r="N99" s="1143"/>
      <c r="O99" s="1143"/>
      <c r="P99" s="1138"/>
      <c r="Q99" s="1079"/>
      <c r="R99" s="971"/>
      <c r="S99" s="971"/>
      <c r="T99" s="971"/>
      <c r="U99" s="971"/>
      <c r="V99" s="971"/>
      <c r="W99" s="971"/>
      <c r="X99" s="971"/>
      <c r="Y99" s="971"/>
      <c r="Z99" s="971"/>
      <c r="AA99" s="971"/>
      <c r="AB99" s="971"/>
      <c r="AC99" s="971"/>
      <c r="AD99" s="971"/>
      <c r="AE99" s="971"/>
    </row>
    <row r="100" spans="1:31" ht="15">
      <c r="A100" s="899"/>
      <c r="B100" s="1106"/>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145"/>
      <c r="O100" s="1145"/>
      <c r="P100" s="1138"/>
      <c r="Q100" s="1079"/>
      <c r="R100" s="971"/>
      <c r="S100" s="971"/>
      <c r="T100" s="971"/>
      <c r="U100" s="971"/>
      <c r="V100" s="971"/>
      <c r="W100" s="971"/>
      <c r="X100" s="971"/>
      <c r="Y100" s="971"/>
      <c r="Z100" s="971"/>
      <c r="AA100" s="971"/>
      <c r="AB100" s="971"/>
      <c r="AC100" s="971"/>
      <c r="AD100" s="971"/>
      <c r="AE100" s="971"/>
    </row>
    <row r="101" spans="1:31" ht="15">
      <c r="A101" s="899"/>
      <c r="B101" s="1108">
        <f>B31</f>
        <v>111</v>
      </c>
      <c r="C101" s="1112"/>
      <c r="D101" s="1112"/>
      <c r="E101" s="1112"/>
      <c r="F101" s="1112"/>
      <c r="G101" s="1127"/>
      <c r="H101" s="1127"/>
      <c r="I101" s="1127"/>
      <c r="J101" s="1127"/>
      <c r="K101" s="1174"/>
      <c r="L101" s="1175"/>
      <c r="M101" s="1176"/>
      <c r="N101" s="1143"/>
      <c r="O101" s="1143"/>
      <c r="P101" s="1138"/>
      <c r="Q101" s="1079"/>
      <c r="R101" s="971"/>
      <c r="S101" s="971"/>
      <c r="T101" s="971"/>
      <c r="U101" s="971"/>
      <c r="V101" s="971"/>
      <c r="W101" s="971"/>
      <c r="X101" s="971"/>
      <c r="Y101" s="971"/>
      <c r="Z101" s="971"/>
      <c r="AA101" s="971"/>
      <c r="AB101" s="971"/>
      <c r="AC101" s="971"/>
      <c r="AD101" s="971"/>
      <c r="AE101" s="971"/>
    </row>
    <row r="102" spans="1:31" ht="15">
      <c r="A102" s="899"/>
      <c r="B102" s="1118"/>
      <c r="C102" s="1114"/>
      <c r="D102" s="1103"/>
      <c r="E102" s="1103"/>
      <c r="F102" s="1103"/>
      <c r="G102" s="1128"/>
      <c r="H102" s="1128"/>
      <c r="I102" s="1128"/>
      <c r="J102" s="1128"/>
      <c r="K102" s="1128"/>
      <c r="L102" s="1128"/>
      <c r="M102" s="1177"/>
      <c r="N102" s="1145"/>
      <c r="O102" s="1145"/>
      <c r="P102" s="1138"/>
      <c r="Q102" s="1079"/>
      <c r="R102" s="971"/>
      <c r="S102" s="971"/>
      <c r="T102" s="971"/>
      <c r="U102" s="971"/>
      <c r="V102" s="971"/>
      <c r="W102" s="971"/>
      <c r="X102" s="971"/>
      <c r="Y102" s="971"/>
      <c r="Z102" s="971"/>
      <c r="AA102" s="971"/>
      <c r="AB102" s="971"/>
      <c r="AC102" s="971"/>
      <c r="AD102" s="971"/>
      <c r="AE102" s="971"/>
    </row>
    <row r="103" spans="1:31">
      <c r="A103" s="938"/>
      <c r="B103" s="1104">
        <f>B32</f>
        <v>111</v>
      </c>
      <c r="C103" s="1112"/>
      <c r="D103" s="1112"/>
      <c r="E103" s="1112"/>
      <c r="F103" s="1112"/>
      <c r="G103" s="1126"/>
      <c r="H103" s="1126"/>
      <c r="I103" s="1126"/>
      <c r="J103" s="1126"/>
      <c r="K103" s="1171"/>
      <c r="L103" s="1172"/>
      <c r="M103" s="1173"/>
      <c r="N103" s="1143"/>
      <c r="O103" s="1143"/>
      <c r="P103" s="1138"/>
      <c r="Q103" s="1079"/>
      <c r="R103" s="971"/>
      <c r="S103" s="971"/>
      <c r="T103" s="971"/>
      <c r="U103" s="971"/>
      <c r="V103" s="971"/>
      <c r="W103" s="971"/>
      <c r="X103" s="971"/>
      <c r="Y103" s="971"/>
      <c r="Z103" s="971"/>
      <c r="AA103" s="971"/>
      <c r="AB103" s="971"/>
      <c r="AC103" s="971"/>
      <c r="AD103" s="971"/>
      <c r="AE103" s="971"/>
    </row>
    <row r="104" spans="1:31" ht="15">
      <c r="A104" s="899"/>
      <c r="B104" s="1106"/>
      <c r="C104" s="1114"/>
      <c r="D104" s="1114"/>
      <c r="E104" s="1114"/>
      <c r="F104" s="1114"/>
      <c r="G104" s="1103"/>
      <c r="H104" s="1103"/>
      <c r="I104" s="1103"/>
      <c r="J104" s="1103"/>
      <c r="K104" s="1103"/>
      <c r="L104" s="1103"/>
      <c r="M104" s="1144"/>
      <c r="N104" s="1145"/>
      <c r="O104" s="1145"/>
      <c r="P104" s="1138"/>
      <c r="Q104" s="1079"/>
      <c r="R104" s="971"/>
      <c r="S104" s="971"/>
      <c r="T104" s="971"/>
      <c r="U104" s="971"/>
      <c r="V104" s="971"/>
      <c r="W104" s="971"/>
      <c r="X104" s="971"/>
      <c r="Y104" s="971"/>
      <c r="Z104" s="971"/>
      <c r="AA104" s="971"/>
      <c r="AB104" s="971"/>
      <c r="AC104" s="971"/>
      <c r="AD104" s="971"/>
      <c r="AE104" s="971"/>
    </row>
    <row r="105" spans="1:31" s="857" customFormat="1">
      <c r="A105" s="952"/>
      <c r="B105" s="1129">
        <f>B33</f>
        <v>111</v>
      </c>
      <c r="C105" s="1098"/>
      <c r="D105" s="1098"/>
      <c r="E105" s="1098"/>
      <c r="F105" s="1098"/>
      <c r="G105" s="1090"/>
      <c r="H105" s="1090"/>
      <c r="I105" s="1090"/>
      <c r="J105" s="1178"/>
      <c r="K105" s="1178"/>
      <c r="L105" s="1179"/>
      <c r="M105" s="1180"/>
      <c r="N105" s="1155"/>
      <c r="O105" s="1155"/>
      <c r="P105" s="1155"/>
      <c r="Q105" s="1183"/>
      <c r="R105" s="1045"/>
      <c r="S105" s="1045"/>
      <c r="T105" s="1045"/>
      <c r="U105" s="1045"/>
      <c r="V105" s="1045"/>
      <c r="W105" s="1045"/>
      <c r="X105" s="1045"/>
      <c r="Y105" s="1045"/>
      <c r="Z105" s="1045"/>
      <c r="AA105" s="1045"/>
      <c r="AB105" s="1045"/>
      <c r="AC105" s="1045"/>
      <c r="AD105" s="1045"/>
      <c r="AE105" s="1045"/>
    </row>
    <row r="106" spans="1:31" s="857" customFormat="1" ht="15">
      <c r="A106" s="1111"/>
      <c r="B106" s="1108"/>
      <c r="C106" s="1119"/>
      <c r="D106" s="1119"/>
      <c r="E106" s="1119"/>
      <c r="F106" s="1119"/>
      <c r="G106" s="1130"/>
      <c r="H106" s="1130"/>
      <c r="I106" s="1130"/>
      <c r="J106" s="1130"/>
      <c r="K106" s="1130"/>
      <c r="L106" s="1130"/>
      <c r="M106" s="882"/>
      <c r="N106" s="1145"/>
      <c r="O106" s="1145"/>
      <c r="P106" s="1155"/>
      <c r="Q106" s="1183"/>
      <c r="R106" s="1045"/>
      <c r="S106" s="1045"/>
      <c r="T106" s="1045"/>
      <c r="U106" s="1045"/>
      <c r="V106" s="1045"/>
      <c r="W106" s="1045"/>
      <c r="X106" s="1045"/>
      <c r="Y106" s="1045"/>
      <c r="Z106" s="1045"/>
      <c r="AA106" s="1045"/>
      <c r="AB106" s="1045"/>
      <c r="AC106" s="1045"/>
      <c r="AD106" s="1045"/>
      <c r="AE106" s="1045"/>
    </row>
    <row r="107" spans="1:31">
      <c r="A107" s="912" t="s">
        <v>983</v>
      </c>
      <c r="B107" s="1101" t="s">
        <v>984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1181" t="str">
        <f t="shared" si="25"/>
        <v>(含)-</v>
      </c>
      <c r="L107" s="1181" t="str">
        <f t="shared" si="25"/>
        <v>(含)-</v>
      </c>
      <c r="M107" s="1182" t="str">
        <f>M108&amp;"(含)"&amp;"-"&amp;P108</f>
        <v>(含)-</v>
      </c>
      <c r="N107" s="1143"/>
      <c r="O107" s="1143"/>
      <c r="P107" s="1138"/>
      <c r="Q107" s="1079"/>
      <c r="R107" s="971"/>
      <c r="S107" s="971"/>
      <c r="T107" s="971"/>
      <c r="U107" s="971"/>
      <c r="V107" s="971"/>
      <c r="W107" s="971"/>
      <c r="X107" s="971"/>
      <c r="Y107" s="971"/>
      <c r="Z107" s="971"/>
      <c r="AA107" s="971"/>
      <c r="AB107" s="971"/>
      <c r="AC107" s="971"/>
      <c r="AD107" s="971"/>
      <c r="AE107" s="971"/>
    </row>
    <row r="108" spans="1:31" ht="15">
      <c r="A108" s="899"/>
      <c r="B108" s="1108"/>
      <c r="C108" s="1090"/>
      <c r="D108" s="1090"/>
      <c r="E108" s="1090"/>
      <c r="F108" s="1090"/>
      <c r="G108" s="1090"/>
      <c r="H108" s="1090"/>
      <c r="I108" s="1090"/>
      <c r="J108" s="1178"/>
      <c r="K108" s="1178"/>
      <c r="L108" s="1179"/>
      <c r="M108" s="1180"/>
      <c r="N108" s="1143"/>
      <c r="O108" s="1143"/>
      <c r="P108" s="1138"/>
      <c r="Q108" s="1079"/>
      <c r="R108" s="971"/>
      <c r="S108" s="971"/>
      <c r="T108" s="971"/>
      <c r="U108" s="971"/>
      <c r="V108" s="971"/>
      <c r="W108" s="971"/>
      <c r="X108" s="971"/>
      <c r="Y108" s="971"/>
      <c r="Z108" s="971"/>
      <c r="AA108" s="971"/>
      <c r="AB108" s="971"/>
      <c r="AC108" s="971"/>
      <c r="AD108" s="971"/>
      <c r="AE108" s="971"/>
    </row>
    <row r="109" spans="1:31" ht="15">
      <c r="A109" s="899"/>
      <c r="B109" s="1106"/>
      <c r="C109" s="1119"/>
      <c r="D109" s="1128"/>
      <c r="E109" s="1128"/>
      <c r="F109" s="1128"/>
      <c r="G109" s="1128"/>
      <c r="H109" s="1128"/>
      <c r="I109" s="1128"/>
      <c r="J109" s="1128"/>
      <c r="K109" s="1128"/>
      <c r="L109" s="1128"/>
      <c r="M109" s="1177"/>
      <c r="N109" s="1145"/>
      <c r="O109" s="1145"/>
      <c r="P109" s="1138"/>
      <c r="Q109" s="1079"/>
      <c r="R109" s="971"/>
      <c r="S109" s="971"/>
      <c r="T109" s="971"/>
      <c r="U109" s="971"/>
      <c r="V109" s="971"/>
      <c r="W109" s="971"/>
      <c r="X109" s="971"/>
      <c r="Y109" s="971"/>
      <c r="Z109" s="971"/>
      <c r="AA109" s="971"/>
      <c r="AB109" s="971"/>
      <c r="AC109" s="971"/>
      <c r="AD109" s="971"/>
      <c r="AE109" s="971"/>
    </row>
    <row r="110" spans="1:31">
      <c r="A110" s="947"/>
      <c r="B110" s="1104" t="s">
        <v>985</v>
      </c>
      <c r="C110" s="1126"/>
      <c r="D110" s="1126"/>
      <c r="E110" s="1126"/>
      <c r="F110" s="1126"/>
      <c r="G110" s="1126"/>
      <c r="H110" s="1126"/>
      <c r="I110" s="1126"/>
      <c r="J110" s="1126"/>
      <c r="K110" s="1171"/>
      <c r="L110" s="1172"/>
      <c r="M110" s="1173"/>
      <c r="N110" s="1143"/>
      <c r="O110" s="1143"/>
      <c r="P110" s="1138"/>
      <c r="Q110" s="1079"/>
      <c r="R110" s="971"/>
      <c r="S110" s="971"/>
      <c r="T110" s="971"/>
      <c r="U110" s="971"/>
      <c r="V110" s="971"/>
      <c r="W110" s="971"/>
      <c r="X110" s="971"/>
      <c r="Y110" s="971"/>
      <c r="Z110" s="971"/>
      <c r="AA110" s="971"/>
      <c r="AB110" s="971"/>
      <c r="AC110" s="971"/>
      <c r="AD110" s="971"/>
      <c r="AE110" s="971"/>
    </row>
    <row r="111" spans="1:31" ht="15">
      <c r="A111" s="899"/>
      <c r="B111" s="1106"/>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49">
        <f t="shared" si="26"/>
        <v>100</v>
      </c>
      <c r="N111" s="1145"/>
      <c r="O111" s="1145"/>
      <c r="P111" s="1138"/>
      <c r="Q111" s="1079"/>
      <c r="R111" s="971"/>
      <c r="S111" s="971"/>
      <c r="T111" s="971"/>
      <c r="U111" s="971"/>
      <c r="V111" s="971"/>
      <c r="W111" s="971"/>
      <c r="X111" s="971"/>
      <c r="Y111" s="971"/>
      <c r="Z111" s="971"/>
      <c r="AA111" s="971"/>
      <c r="AB111" s="971"/>
      <c r="AC111" s="971"/>
      <c r="AD111" s="971"/>
      <c r="AE111" s="971"/>
    </row>
    <row r="112" spans="1:31" s="857" customFormat="1">
      <c r="A112" s="952"/>
      <c r="B112" s="1104" t="s">
        <v>989</v>
      </c>
      <c r="C112" s="1112"/>
      <c r="D112" s="1112"/>
      <c r="E112" s="1112"/>
      <c r="F112" s="1112"/>
      <c r="G112" s="1112"/>
      <c r="H112" s="1126"/>
      <c r="I112" s="1126"/>
      <c r="J112" s="1126"/>
      <c r="K112" s="1171"/>
      <c r="L112" s="1172"/>
      <c r="M112" s="1173"/>
      <c r="N112" s="1155"/>
      <c r="O112" s="1155"/>
      <c r="P112" s="1155"/>
      <c r="Q112" s="1183"/>
      <c r="R112" s="1045"/>
      <c r="S112" s="1045"/>
      <c r="T112" s="1045"/>
      <c r="U112" s="1045"/>
      <c r="V112" s="1045"/>
      <c r="W112" s="1045"/>
      <c r="X112" s="1045"/>
      <c r="Y112" s="1045"/>
      <c r="Z112" s="1045"/>
      <c r="AA112" s="1045"/>
      <c r="AB112" s="1045"/>
      <c r="AC112" s="1045"/>
      <c r="AD112" s="1045"/>
      <c r="AE112" s="1045"/>
    </row>
    <row r="113" spans="1:31" s="857" customFormat="1" ht="15">
      <c r="A113" s="1111"/>
      <c r="B113" s="1106"/>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49">
        <f t="shared" si="27"/>
        <v>100</v>
      </c>
      <c r="N113" s="1155"/>
      <c r="O113" s="1155"/>
      <c r="P113" s="1155"/>
      <c r="Q113" s="1183"/>
      <c r="R113" s="1045"/>
      <c r="S113" s="1045"/>
      <c r="T113" s="1045"/>
      <c r="U113" s="1045"/>
      <c r="V113" s="1045"/>
      <c r="W113" s="1045"/>
      <c r="X113" s="1045"/>
      <c r="Y113" s="1045"/>
      <c r="Z113" s="1045"/>
      <c r="AA113" s="1045"/>
      <c r="AB113" s="1045"/>
      <c r="AC113" s="1045"/>
      <c r="AD113" s="1045"/>
      <c r="AE113" s="1045"/>
    </row>
    <row r="114" spans="1:31">
      <c r="A114" s="947"/>
      <c r="B114" s="1104" t="s">
        <v>990</v>
      </c>
      <c r="C114" s="1112"/>
      <c r="D114" s="1112"/>
      <c r="E114" s="1126"/>
      <c r="F114" s="1126"/>
      <c r="G114" s="1126"/>
      <c r="H114" s="1126"/>
      <c r="I114" s="1126"/>
      <c r="J114" s="1126"/>
      <c r="K114" s="1171"/>
      <c r="L114" s="1172"/>
      <c r="M114" s="1173"/>
      <c r="N114" s="1143"/>
      <c r="O114" s="1143"/>
      <c r="P114" s="1138"/>
      <c r="Q114" s="1079"/>
      <c r="R114" s="971"/>
      <c r="S114" s="971"/>
      <c r="T114" s="971"/>
      <c r="U114" s="971"/>
      <c r="V114" s="971"/>
      <c r="W114" s="971"/>
      <c r="X114" s="971"/>
      <c r="Y114" s="971"/>
      <c r="Z114" s="971"/>
      <c r="AA114" s="971"/>
      <c r="AB114" s="971"/>
      <c r="AC114" s="971"/>
      <c r="AD114" s="971"/>
      <c r="AE114" s="971"/>
    </row>
    <row r="115" spans="1:31" ht="15">
      <c r="A115" s="899"/>
      <c r="B115" s="1106"/>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138"/>
      <c r="Q115" s="1079"/>
      <c r="R115" s="971"/>
      <c r="S115" s="971"/>
      <c r="T115" s="971"/>
      <c r="U115" s="971"/>
      <c r="V115" s="971"/>
      <c r="W115" s="971"/>
      <c r="X115" s="971"/>
      <c r="Y115" s="971"/>
      <c r="Z115" s="971"/>
      <c r="AA115" s="971"/>
      <c r="AB115" s="971"/>
      <c r="AC115" s="971"/>
      <c r="AD115" s="971"/>
      <c r="AE115" s="971"/>
    </row>
    <row r="116" spans="1:31">
      <c r="A116" s="947"/>
      <c r="B116" s="1104">
        <f>B38</f>
        <v>111</v>
      </c>
      <c r="C116" s="1112"/>
      <c r="D116" s="1112"/>
      <c r="E116" s="1112"/>
      <c r="F116" s="1112"/>
      <c r="G116" s="1112"/>
      <c r="H116" s="1126"/>
      <c r="I116" s="1126"/>
      <c r="J116" s="1126"/>
      <c r="K116" s="1171"/>
      <c r="L116" s="1172"/>
      <c r="M116" s="1173"/>
      <c r="N116" s="1143"/>
      <c r="O116" s="1143"/>
      <c r="P116" s="1138"/>
      <c r="Q116" s="1079"/>
      <c r="R116" s="971"/>
      <c r="S116" s="971"/>
      <c r="T116" s="971"/>
      <c r="U116" s="971"/>
      <c r="V116" s="971"/>
      <c r="W116" s="971"/>
      <c r="X116" s="971"/>
      <c r="Y116" s="971"/>
      <c r="Z116" s="971"/>
      <c r="AA116" s="971"/>
      <c r="AB116" s="971"/>
      <c r="AC116" s="971"/>
      <c r="AD116" s="971"/>
      <c r="AE116" s="971"/>
    </row>
    <row r="117" spans="1:31" ht="15">
      <c r="A117" s="899"/>
      <c r="B117" s="1106"/>
      <c r="C117" s="1114"/>
      <c r="D117" s="1103"/>
      <c r="E117" s="1103"/>
      <c r="F117" s="1103"/>
      <c r="G117" s="1103"/>
      <c r="H117" s="1103"/>
      <c r="I117" s="1103"/>
      <c r="J117" s="1103"/>
      <c r="K117" s="1103"/>
      <c r="L117" s="1103"/>
      <c r="M117" s="1144"/>
      <c r="N117" s="1145"/>
      <c r="O117" s="1145"/>
      <c r="P117" s="1138"/>
      <c r="Q117" s="1079"/>
      <c r="R117" s="971"/>
      <c r="S117" s="971"/>
      <c r="T117" s="971"/>
      <c r="U117" s="971"/>
      <c r="V117" s="971"/>
      <c r="W117" s="971"/>
      <c r="X117" s="971"/>
      <c r="Y117" s="971"/>
      <c r="Z117" s="971"/>
      <c r="AA117" s="971"/>
      <c r="AB117" s="971"/>
      <c r="AC117" s="971"/>
      <c r="AD117" s="971"/>
      <c r="AE117" s="971"/>
    </row>
    <row r="118" spans="1:31">
      <c r="A118" s="947"/>
      <c r="B118" s="1104">
        <f>B39</f>
        <v>111</v>
      </c>
      <c r="C118" s="1112"/>
      <c r="D118" s="1112"/>
      <c r="E118" s="1112"/>
      <c r="F118" s="1112"/>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c r="AD118" s="971"/>
      <c r="AE118" s="971"/>
    </row>
    <row r="119" spans="1:31" ht="15">
      <c r="A119" s="899"/>
      <c r="B119" s="1106"/>
      <c r="C119" s="1114"/>
      <c r="D119" s="1114"/>
      <c r="E119" s="1114"/>
      <c r="F119" s="1114"/>
      <c r="G119" s="1103"/>
      <c r="H119" s="1103"/>
      <c r="I119" s="1103"/>
      <c r="J119" s="1103"/>
      <c r="K119" s="1103"/>
      <c r="L119" s="1103"/>
      <c r="M119" s="1144"/>
      <c r="N119" s="1145"/>
      <c r="O119" s="1145"/>
      <c r="P119" s="1138"/>
      <c r="Q119" s="1079"/>
      <c r="R119" s="971"/>
      <c r="S119" s="971"/>
      <c r="T119" s="971"/>
      <c r="U119" s="971"/>
      <c r="V119" s="971"/>
      <c r="W119" s="971"/>
      <c r="X119" s="971"/>
      <c r="Y119" s="971"/>
      <c r="Z119" s="971"/>
      <c r="AA119" s="971"/>
      <c r="AB119" s="971"/>
      <c r="AC119" s="971"/>
      <c r="AD119" s="971"/>
      <c r="AE119" s="971"/>
    </row>
    <row r="120" spans="1:31" s="857" customFormat="1">
      <c r="A120" s="952"/>
      <c r="B120" s="1104">
        <f>B40</f>
        <v>111</v>
      </c>
      <c r="C120" s="1098"/>
      <c r="D120" s="1098"/>
      <c r="E120" s="1098"/>
      <c r="F120" s="1098"/>
      <c r="G120" s="1113"/>
      <c r="H120" s="1113"/>
      <c r="I120" s="1113"/>
      <c r="J120" s="1113"/>
      <c r="K120" s="1113"/>
      <c r="L120" s="1153"/>
      <c r="M120" s="1154"/>
      <c r="N120" s="1155"/>
      <c r="O120" s="1155"/>
      <c r="P120" s="1155"/>
      <c r="Q120" s="1183"/>
      <c r="R120" s="1045"/>
      <c r="S120" s="1045"/>
      <c r="T120" s="1045"/>
      <c r="U120" s="1045"/>
      <c r="V120" s="1045"/>
      <c r="W120" s="1045"/>
      <c r="X120" s="1045"/>
      <c r="Y120" s="1045"/>
      <c r="Z120" s="1045"/>
      <c r="AA120" s="1045"/>
      <c r="AB120" s="1045"/>
      <c r="AC120" s="1045"/>
      <c r="AD120" s="1045"/>
      <c r="AE120" s="1045"/>
    </row>
    <row r="121" spans="1:31" s="857" customFormat="1" ht="15">
      <c r="A121" s="1117"/>
      <c r="B121" s="1131"/>
      <c r="C121" s="1119"/>
      <c r="D121" s="1119"/>
      <c r="E121" s="1119"/>
      <c r="F121" s="1119"/>
      <c r="G121" s="1128"/>
      <c r="H121" s="1128"/>
      <c r="I121" s="1128"/>
      <c r="J121" s="1128"/>
      <c r="K121" s="1128"/>
      <c r="L121" s="1128"/>
      <c r="M121" s="1177"/>
      <c r="N121" s="1155"/>
      <c r="O121" s="1155"/>
      <c r="P121" s="1155"/>
      <c r="Q121" s="1183"/>
      <c r="R121" s="1045"/>
      <c r="S121" s="1045"/>
      <c r="T121" s="1045"/>
      <c r="U121" s="1045"/>
      <c r="V121" s="1045"/>
      <c r="W121" s="1045"/>
      <c r="X121" s="1045"/>
      <c r="Y121" s="1045"/>
      <c r="Z121" s="1045"/>
      <c r="AA121" s="1045"/>
      <c r="AB121" s="1045"/>
      <c r="AC121" s="1045"/>
      <c r="AD121" s="1045"/>
      <c r="AE121" s="1045"/>
    </row>
    <row r="122" spans="1:31">
      <c r="N122" s="971"/>
      <c r="O122" s="971"/>
      <c r="P122" s="971"/>
      <c r="Q122" s="971"/>
      <c r="R122" s="971"/>
      <c r="S122" s="971"/>
      <c r="T122" s="971"/>
      <c r="U122" s="971"/>
      <c r="V122" s="971"/>
      <c r="W122" s="971"/>
      <c r="X122" s="971"/>
      <c r="Y122" s="971"/>
      <c r="Z122" s="971"/>
      <c r="AA122" s="971"/>
      <c r="AB122" s="971"/>
      <c r="AC122" s="971"/>
      <c r="AD122" s="971"/>
      <c r="AE122" s="971"/>
    </row>
    <row r="123" spans="1:31">
      <c r="P123" s="971"/>
      <c r="Q123" s="971"/>
      <c r="R123" s="971"/>
      <c r="S123" s="971"/>
      <c r="T123" s="971"/>
      <c r="U123" s="971"/>
      <c r="V123" s="971"/>
      <c r="W123" s="971"/>
      <c r="X123" s="971"/>
      <c r="Y123" s="971"/>
      <c r="Z123" s="971"/>
      <c r="AA123" s="971"/>
      <c r="AB123" s="971"/>
      <c r="AC123" s="971"/>
      <c r="AD123" s="971"/>
      <c r="AE123" s="9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2" customWidth="1"/>
    <col min="2" max="2" width="19.25" style="553" customWidth="1"/>
    <col min="3" max="4" width="12" style="554"/>
    <col min="5" max="5" width="14.625" style="554" customWidth="1"/>
    <col min="6" max="8" width="12" style="554"/>
    <col min="9" max="9" width="12.25" style="554" customWidth="1"/>
    <col min="10" max="10" width="12" style="554"/>
    <col min="11" max="11" width="8.125" style="555" customWidth="1"/>
    <col min="12" max="12" width="12" style="554"/>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144" t="s">
        <v>1981</v>
      </c>
      <c r="B1" s="145"/>
      <c r="C1" s="148" t="s">
        <v>943</v>
      </c>
      <c r="D1" s="557">
        <f>SUM(D29:D30,D33:D39)</f>
        <v>0</v>
      </c>
      <c r="E1" s="558"/>
      <c r="F1" s="558"/>
      <c r="G1" s="558"/>
      <c r="H1" s="558"/>
      <c r="I1" s="558"/>
      <c r="J1" s="558"/>
      <c r="K1" s="550"/>
      <c r="L1" s="721" t="s">
        <v>1982</v>
      </c>
      <c r="M1" s="722">
        <f>SUMPRODUCT((区片价!B5:B9=I2)*(区片价!C3:F3=E2)*(区片价!C5:F9))</f>
        <v>0</v>
      </c>
      <c r="N1" s="723">
        <f>SUMPRODUCT((因素修正幅度!B5:B9=I2)*(因素修正幅度!C3:F3=E2)*(因素修正幅度!C5:F9))</f>
        <v>0</v>
      </c>
      <c r="O1" s="551"/>
      <c r="P1" s="551"/>
      <c r="Q1" s="550"/>
      <c r="R1" s="799" t="s">
        <v>1983</v>
      </c>
      <c r="S1" s="799" t="s">
        <v>1984</v>
      </c>
      <c r="T1" s="799" t="s">
        <v>1985</v>
      </c>
      <c r="U1" s="799" t="s">
        <v>1986</v>
      </c>
      <c r="V1" s="799" t="s">
        <v>1987</v>
      </c>
      <c r="W1" s="800"/>
      <c r="X1" s="800"/>
      <c r="Y1" s="800"/>
      <c r="Z1" s="800"/>
      <c r="AA1" s="800"/>
      <c r="AB1" s="800"/>
      <c r="AC1" s="808"/>
      <c r="AD1" s="809"/>
      <c r="AE1" s="809"/>
      <c r="AF1" s="809"/>
      <c r="AG1" s="809"/>
      <c r="AH1" s="809"/>
      <c r="AI1" s="809"/>
      <c r="AJ1" s="818"/>
    </row>
    <row r="2" spans="1:36" ht="15.75">
      <c r="A2" s="148" t="s">
        <v>941</v>
      </c>
      <c r="B2" s="152" t="e">
        <f>C26</f>
        <v>#DIV/0!</v>
      </c>
      <c r="C2" s="559" t="s">
        <v>1397</v>
      </c>
      <c r="D2" s="560" t="s">
        <v>1988</v>
      </c>
      <c r="E2" s="561"/>
      <c r="F2" s="560" t="s">
        <v>1989</v>
      </c>
      <c r="G2" s="562">
        <f>IF(E2="商业",项目基本情况!B37,IF(E2="办公",项目基本情况!C37,IF(E2="住宅",项目基本情况!D37,项目基本情况!E37)))</f>
        <v>0</v>
      </c>
      <c r="H2" s="560" t="s">
        <v>1990</v>
      </c>
      <c r="I2" s="562">
        <f>IF(E2="商业",项目基本情况!B38,IF(E2="办公",项目基本情况!C38,IF(E2="住宅",项目基本情况!D38,项目基本情况!E38)))</f>
        <v>0</v>
      </c>
      <c r="J2" s="558"/>
      <c r="K2" s="550"/>
      <c r="L2" s="724" t="s">
        <v>1991</v>
      </c>
      <c r="M2" s="725">
        <f>SUMPRODUCT((区片价!B10:B28=I2)*(区片价!C3:F3=E2)*(区片价!C10:F28))</f>
        <v>0</v>
      </c>
      <c r="N2" s="723">
        <f>SUMPRODUCT((因素修正幅度!B10:B28=I2)*(因素修正幅度!C3:F3=E2)*(因素修正幅度!C10:F28))</f>
        <v>0</v>
      </c>
      <c r="O2" s="550"/>
      <c r="P2" s="550"/>
      <c r="Q2" s="550"/>
      <c r="R2" s="799">
        <v>1</v>
      </c>
      <c r="S2" s="799" t="e">
        <f>ROUND(IF(G3&gt;1,IF(R2&lt;7,SUMPRODUCT((B93:B98=R2)*(C92:N92=G2)*(C93:N98)),SUMIF(C92:N92,G2,C100:N100)),IF(R2&lt;7,SUMPRODUCT((B102:B107=R2)*(C92:N92=G2)*(C102:N107)),SUMIF(C92:N92,G2,C109:N109))),4)</f>
        <v>#DIV/0!</v>
      </c>
      <c r="T2" s="799" t="e">
        <f>ROUND($C$5*$C$18*$C$19*$C$20*S2*$C$24,0)</f>
        <v>#DIV/0!</v>
      </c>
      <c r="U2" s="801"/>
      <c r="V2" s="799" t="e">
        <f>ROUND(T2*U2/10000,0)</f>
        <v>#DIV/0!</v>
      </c>
      <c r="W2" s="800"/>
      <c r="X2" s="800"/>
      <c r="Y2" s="800"/>
      <c r="Z2" s="800"/>
      <c r="AA2" s="800"/>
      <c r="AB2" s="800"/>
      <c r="AC2" s="808"/>
      <c r="AD2" s="809"/>
      <c r="AE2" s="809"/>
      <c r="AF2" s="809"/>
      <c r="AG2" s="809"/>
      <c r="AH2" s="809"/>
      <c r="AI2" s="809"/>
      <c r="AJ2" s="818"/>
    </row>
    <row r="3" spans="1:36" ht="15.75">
      <c r="A3" s="151" t="s">
        <v>942</v>
      </c>
      <c r="B3" s="152" t="e">
        <f>ROUND(B2*10000/D1,0)</f>
        <v>#DIV/0!</v>
      </c>
      <c r="C3" s="559" t="s">
        <v>1398</v>
      </c>
      <c r="D3" s="560" t="s">
        <v>1992</v>
      </c>
      <c r="E3" s="563"/>
      <c r="F3" s="564" t="s">
        <v>1993</v>
      </c>
      <c r="G3" s="565" t="e">
        <f>IF(F3="宗地容积率",'数据-汇总表'!I4,IF(F3="估价对象容积率",'数据-汇总表'!I6,'数据-汇总表'!I7))</f>
        <v>#DIV/0!</v>
      </c>
      <c r="H3" s="560" t="s">
        <v>1994</v>
      </c>
      <c r="I3" s="726"/>
      <c r="J3" s="558" t="s">
        <v>1995</v>
      </c>
      <c r="K3" s="550"/>
      <c r="L3" s="724" t="s">
        <v>1996</v>
      </c>
      <c r="M3" s="725">
        <f>SUMPRODUCT((区片价!B29:B48=I2)*(区片价!C3:F3=E2)*(区片价!C29:F48))</f>
        <v>0</v>
      </c>
      <c r="N3" s="723">
        <f>SUMPRODUCT((因素修正幅度!B29:B48=I2)*(因素修正幅度!C3:F3=E2)*(因素修正幅度!C29:F48))</f>
        <v>0</v>
      </c>
      <c r="O3" s="550"/>
      <c r="P3" s="550"/>
      <c r="Q3" s="550"/>
      <c r="R3" s="799">
        <v>2</v>
      </c>
      <c r="S3" s="799" t="e">
        <f>ROUND(IF(G3&gt;1,IF(R3&lt;7,SUMPRODUCT((B93:B98=R3)*(C92:N92=G2)*(C93:N98)),SUMIF(C92:N92,G2,C100:N100)),IF(R3&lt;7,SUMPRODUCT((B102:B107=R3)*(C92:N92=G2)*(C102:N107)),SUMIF(C92:N92,G2,C109:N109))),4)</f>
        <v>#DIV/0!</v>
      </c>
      <c r="T3" s="799" t="e">
        <f t="shared" ref="T3:T16" si="0">ROUND($C$5*$C$18*$C$19*$C$20*S3*$C$24,0)</f>
        <v>#DIV/0!</v>
      </c>
      <c r="U3" s="801"/>
      <c r="V3" s="799" t="e">
        <f t="shared" ref="V3:V16" si="1">ROUND(T3*U3/10000,0)</f>
        <v>#DIV/0!</v>
      </c>
      <c r="W3" s="800"/>
      <c r="X3" s="800"/>
      <c r="Y3" s="800"/>
      <c r="Z3" s="800"/>
      <c r="AA3" s="800"/>
      <c r="AB3" s="800"/>
      <c r="AC3" s="808"/>
      <c r="AD3" s="809"/>
      <c r="AE3" s="809"/>
      <c r="AF3" s="809"/>
      <c r="AG3" s="809"/>
      <c r="AH3" s="809"/>
      <c r="AI3" s="809"/>
      <c r="AJ3" s="818"/>
    </row>
    <row r="4" spans="1:36" ht="15.75">
      <c r="A4" s="3432"/>
      <c r="B4" s="3433"/>
      <c r="C4" s="3433"/>
      <c r="D4" s="3434"/>
      <c r="E4" s="3434"/>
      <c r="F4" s="3434"/>
      <c r="G4" s="3434"/>
      <c r="H4" s="3434"/>
      <c r="I4" s="3434"/>
      <c r="J4" s="3435"/>
      <c r="K4" s="550"/>
      <c r="L4" s="724" t="s">
        <v>1997</v>
      </c>
      <c r="M4" s="725">
        <f>SUMPRODUCT((区片价!B49:B75=I2)*(区片价!C3:F3=E2)*(区片价!C49:F75))</f>
        <v>0</v>
      </c>
      <c r="N4" s="723">
        <f>SUMPRODUCT((因素修正幅度!B49:B75=I2)*(因素修正幅度!C3:F3=E2)*(因素修正幅度!C49:F75))</f>
        <v>0</v>
      </c>
      <c r="O4" s="550"/>
      <c r="P4" s="550"/>
      <c r="Q4" s="550"/>
      <c r="R4" s="799">
        <v>3</v>
      </c>
      <c r="S4" s="799" t="e">
        <f>ROUND(IF(G3&gt;1,IF(R4&lt;7,SUMPRODUCT((B93:B98=R4)*(C92:N92=G2)*(C93:N98)),SUMIF(C92:N92,G2,C100:N100)),IF(R4&lt;7,SUMPRODUCT((B102:B107=R4)*(C92:N92=G2)*(C102:N107)),SUMIF(C92:N92,G2,C109:N109))),4)</f>
        <v>#DIV/0!</v>
      </c>
      <c r="T4" s="799" t="e">
        <f t="shared" si="0"/>
        <v>#DIV/0!</v>
      </c>
      <c r="U4" s="801"/>
      <c r="V4" s="799" t="e">
        <f t="shared" si="1"/>
        <v>#DIV/0!</v>
      </c>
      <c r="W4" s="800"/>
      <c r="X4" s="800"/>
      <c r="Y4" s="800"/>
      <c r="Z4" s="800"/>
      <c r="AA4" s="800"/>
      <c r="AB4" s="800"/>
      <c r="AC4" s="808"/>
      <c r="AD4" s="809"/>
      <c r="AE4" s="809"/>
      <c r="AF4" s="809"/>
      <c r="AG4" s="809"/>
      <c r="AH4" s="809"/>
      <c r="AI4" s="809"/>
      <c r="AJ4" s="818"/>
    </row>
    <row r="5" spans="1:36" s="549" customFormat="1" ht="15">
      <c r="A5" s="566" t="s">
        <v>842</v>
      </c>
      <c r="B5" s="567" t="s">
        <v>1998</v>
      </c>
      <c r="C5" s="568" t="e">
        <f>ROUND(IF(E2="商业",C6*C7+C16,(IF(E2="住宅",C6*C12+C16,C6+C16))),0)</f>
        <v>#DIV/0!</v>
      </c>
      <c r="D5" s="569" t="e">
        <f>ROUND(C6+C16,0)</f>
        <v>#DIV/0!</v>
      </c>
      <c r="E5" s="569"/>
      <c r="F5" s="570"/>
      <c r="G5" s="571"/>
      <c r="H5" s="571"/>
      <c r="I5" s="571"/>
      <c r="J5" s="727"/>
      <c r="K5" s="728"/>
      <c r="L5" s="724" t="s">
        <v>1999</v>
      </c>
      <c r="M5" s="725">
        <f>SUMPRODUCT((区片价!B76:B109=I2)*(区片价!C3:F3=E2)*(区片价!C76:F109))</f>
        <v>0</v>
      </c>
      <c r="N5" s="723">
        <f>SUMPRODUCT((因素修正幅度!B76:B109=I2)*(因素修正幅度!C3:F3=E2)*(因素修正幅度!C76:F109))</f>
        <v>0</v>
      </c>
      <c r="O5" s="550"/>
      <c r="P5" s="550"/>
      <c r="Q5" s="550"/>
      <c r="R5" s="799">
        <v>4</v>
      </c>
      <c r="S5" s="799" t="e">
        <f>ROUND(IF(G3&gt;1,IF(R5&lt;7,SUMPRODUCT((B93:B98=R5)*(C92:N92=G2)*(C93:N98)),SUMIF(C92:N92,G2,C100:N100)),IF(R5&lt;7,SUMPRODUCT((B102:B107=R5)*(C92:N92=G2)*(C102:N107)),SUMIF(C92:N92,G2,C109:N109))),4)</f>
        <v>#DIV/0!</v>
      </c>
      <c r="T5" s="799" t="e">
        <f t="shared" si="0"/>
        <v>#DIV/0!</v>
      </c>
      <c r="U5" s="801"/>
      <c r="V5" s="799" t="e">
        <f t="shared" si="1"/>
        <v>#DIV/0!</v>
      </c>
      <c r="W5" s="800"/>
      <c r="X5" s="800"/>
      <c r="Y5" s="800"/>
      <c r="Z5" s="800"/>
      <c r="AA5" s="800"/>
      <c r="AB5" s="800"/>
      <c r="AC5" s="810"/>
      <c r="AD5" s="811"/>
      <c r="AE5" s="811"/>
      <c r="AF5" s="811"/>
      <c r="AG5" s="811"/>
      <c r="AH5" s="811"/>
      <c r="AI5" s="811"/>
      <c r="AJ5" s="819"/>
    </row>
    <row r="6" spans="1:36" ht="15">
      <c r="A6" s="572" t="s">
        <v>1400</v>
      </c>
      <c r="B6" s="573" t="s">
        <v>2000</v>
      </c>
      <c r="C6" s="574">
        <f>SUMIF(L1:L12,G2,M1:M12)</f>
        <v>0</v>
      </c>
      <c r="D6" s="575" t="s">
        <v>2001</v>
      </c>
      <c r="E6" s="576"/>
      <c r="F6" s="576"/>
      <c r="G6" s="577"/>
      <c r="H6" s="577"/>
      <c r="I6" s="577"/>
      <c r="J6" s="729"/>
      <c r="K6" s="730"/>
      <c r="L6" s="724" t="s">
        <v>2002</v>
      </c>
      <c r="M6" s="725">
        <f>SUMPRODUCT((区片价!B110:B157=I2)*(区片价!C3:F3=E2)*(区片价!C110:F157))</f>
        <v>0</v>
      </c>
      <c r="N6" s="723">
        <f>SUMPRODUCT((因素修正幅度!B110:B157=I2)*(因素修正幅度!C3:F3=E2)*(因素修正幅度!C110:F157))</f>
        <v>0</v>
      </c>
      <c r="O6" s="550"/>
      <c r="P6" s="550"/>
      <c r="Q6" s="550"/>
      <c r="R6" s="799">
        <v>5</v>
      </c>
      <c r="S6" s="799" t="e">
        <f>ROUND(IF(G3&gt;1,IF(R6&lt;7,SUMPRODUCT((B93:B98=R6)*(C92:N92=G2)*(C93:N98)),SUMIF(C92:N92,G2,C100:N100)),IF(R6&lt;7,SUMPRODUCT((B102:B107=R6)*(C92:N92=G2)*(C102:N107)),SUMIF(C92:N92,G2,C109:N109))),4)</f>
        <v>#DIV/0!</v>
      </c>
      <c r="T6" s="799" t="e">
        <f t="shared" si="0"/>
        <v>#DIV/0!</v>
      </c>
      <c r="U6" s="801"/>
      <c r="V6" s="799" t="e">
        <f t="shared" si="1"/>
        <v>#DIV/0!</v>
      </c>
      <c r="W6" s="800"/>
      <c r="X6" s="800"/>
      <c r="Y6" s="800"/>
      <c r="Z6" s="800"/>
      <c r="AA6" s="800"/>
      <c r="AB6" s="800"/>
      <c r="AC6" s="810"/>
      <c r="AD6" s="811"/>
      <c r="AE6" s="811"/>
      <c r="AF6" s="811"/>
      <c r="AG6" s="811"/>
      <c r="AH6" s="811"/>
      <c r="AI6" s="811"/>
      <c r="AJ6" s="819"/>
    </row>
    <row r="7" spans="1:36" ht="24">
      <c r="A7" s="3443" t="str">
        <f>IF(E2="商业",IF(C8="不临58条商业街","",2),"")</f>
        <v/>
      </c>
      <c r="B7" s="578" t="s">
        <v>2003</v>
      </c>
      <c r="C7" s="579" t="e">
        <f>IF(C8="不临58条商业街",1,ROUND(1+(1.6*E8+1.2*E9+0.8*E10+0.4*E11)*C9,4))</f>
        <v>#DIV/0!</v>
      </c>
      <c r="D7" s="580" t="s">
        <v>2004</v>
      </c>
      <c r="E7" s="581"/>
      <c r="F7" s="582"/>
      <c r="G7" s="583"/>
      <c r="H7" s="583"/>
      <c r="I7" s="583"/>
      <c r="J7" s="731"/>
      <c r="K7" s="730"/>
      <c r="L7" s="724" t="s">
        <v>2005</v>
      </c>
      <c r="M7" s="725">
        <f>SUMPRODUCT((区片价!B158:B205=I2)*(区片价!C3:F3=E2)*(区片价!C158:F205))</f>
        <v>0</v>
      </c>
      <c r="N7" s="723">
        <f>SUMPRODUCT((因素修正幅度!B158:B205=I2)*(因素修正幅度!C3:F3=E2)*(因素修正幅度!C158:F205))</f>
        <v>0</v>
      </c>
      <c r="O7" s="550"/>
      <c r="P7" s="550"/>
      <c r="Q7" s="550"/>
      <c r="R7" s="799">
        <v>6</v>
      </c>
      <c r="S7" s="799" t="e">
        <f>ROUND(IF(G3&gt;1,IF(R7&lt;7,SUMPRODUCT((B93:B98=R7)*(C92:N92=G2)*(C93:N98)),SUMIF(C92:N92,G2,C100:N100)),IF(R7&lt;7,SUMPRODUCT((B102:B107=R7)*(C92:N92=G2)*(C102:N107)),SUMIF(C92:N92,G2,C109:N109))),4)</f>
        <v>#DIV/0!</v>
      </c>
      <c r="T7" s="799" t="e">
        <f t="shared" si="0"/>
        <v>#DIV/0!</v>
      </c>
      <c r="U7" s="801"/>
      <c r="V7" s="799" t="e">
        <f t="shared" si="1"/>
        <v>#DIV/0!</v>
      </c>
      <c r="W7" s="802" t="s">
        <v>2006</v>
      </c>
      <c r="X7" s="803">
        <f>G2</f>
        <v>0</v>
      </c>
      <c r="Y7" s="803" t="s">
        <v>2007</v>
      </c>
      <c r="Z7" s="812" t="e">
        <f>G3</f>
        <v>#DIV/0!</v>
      </c>
      <c r="AA7" s="800"/>
      <c r="AB7" s="800"/>
      <c r="AC7" s="808"/>
      <c r="AD7" s="809"/>
      <c r="AE7" s="809"/>
      <c r="AF7" s="809"/>
      <c r="AG7" s="809"/>
      <c r="AH7" s="809"/>
      <c r="AI7" s="809"/>
      <c r="AJ7" s="818"/>
    </row>
    <row r="8" spans="1:36" ht="15">
      <c r="A8" s="3444"/>
      <c r="B8" s="560" t="s">
        <v>2008</v>
      </c>
      <c r="C8" s="561"/>
      <c r="D8" s="584" t="s">
        <v>2009</v>
      </c>
      <c r="E8" s="585" t="e">
        <f>ROUND(C11/E7,4)</f>
        <v>#DIV/0!</v>
      </c>
      <c r="F8" s="586" t="s">
        <v>2010</v>
      </c>
      <c r="G8" s="587"/>
      <c r="H8" s="587"/>
      <c r="I8" s="587"/>
      <c r="J8" s="732"/>
      <c r="K8" s="550"/>
      <c r="L8" s="724" t="s">
        <v>2011</v>
      </c>
      <c r="M8" s="725">
        <f>SUMPRODUCT((区片价!B206:B244=I2)*(区片价!C3:F3=E2)*(区片价!C206:F244))</f>
        <v>0</v>
      </c>
      <c r="N8" s="723">
        <f>SUMPRODUCT((因素修正幅度!B206:B244=I2)*(因素修正幅度!C3:F3=E2)*(因素修正幅度!C206:F244))</f>
        <v>0</v>
      </c>
      <c r="O8" s="550"/>
      <c r="P8" s="550"/>
      <c r="Q8" s="550"/>
      <c r="R8" s="799">
        <v>7</v>
      </c>
      <c r="S8" s="801"/>
      <c r="T8" s="799" t="e">
        <f t="shared" si="0"/>
        <v>#DIV/0!</v>
      </c>
      <c r="U8" s="801"/>
      <c r="V8" s="799" t="e">
        <f t="shared" si="1"/>
        <v>#DIV/0!</v>
      </c>
      <c r="W8" s="3436" t="s">
        <v>2012</v>
      </c>
      <c r="X8" s="3437"/>
      <c r="Y8" s="813" t="s">
        <v>2013</v>
      </c>
      <c r="Z8" s="813" t="s">
        <v>2014</v>
      </c>
      <c r="AA8" s="813" t="s">
        <v>2015</v>
      </c>
      <c r="AB8" s="813" t="s">
        <v>2016</v>
      </c>
      <c r="AC8" s="813" t="s">
        <v>2017</v>
      </c>
      <c r="AD8" s="813" t="s">
        <v>2018</v>
      </c>
      <c r="AE8" s="813" t="s">
        <v>2019</v>
      </c>
      <c r="AF8" s="813" t="s">
        <v>2020</v>
      </c>
      <c r="AG8" s="813" t="s">
        <v>2021</v>
      </c>
      <c r="AH8" s="813" t="s">
        <v>2022</v>
      </c>
      <c r="AI8" s="813" t="s">
        <v>2023</v>
      </c>
      <c r="AJ8" s="813" t="s">
        <v>2024</v>
      </c>
    </row>
    <row r="9" spans="1:36" ht="15">
      <c r="A9" s="3444"/>
      <c r="B9" s="560" t="s">
        <v>2025</v>
      </c>
      <c r="C9" s="588">
        <f>SUMIF(修正!C71:C138,C8,修正!E71:E138)</f>
        <v>0</v>
      </c>
      <c r="D9" s="562" t="s">
        <v>2026</v>
      </c>
      <c r="E9" s="562" t="e">
        <f>ROUND(C11/E7,4)</f>
        <v>#DIV/0!</v>
      </c>
      <c r="F9" s="586" t="s">
        <v>2027</v>
      </c>
      <c r="G9" s="587"/>
      <c r="H9" s="587"/>
      <c r="I9" s="587"/>
      <c r="J9" s="732"/>
      <c r="K9" s="550"/>
      <c r="L9" s="724" t="s">
        <v>2028</v>
      </c>
      <c r="M9" s="725">
        <f>SUMPRODUCT((区片价!B245:B289=I2)*(区片价!C3:F3=E2)*(区片价!C245:F289))</f>
        <v>0</v>
      </c>
      <c r="N9" s="723">
        <f>SUMPRODUCT((因素修正幅度!B245:B289=I2)*(因素修正幅度!C3:F3=E2)*(因素修正幅度!C245:F289))</f>
        <v>0</v>
      </c>
      <c r="O9" s="550"/>
      <c r="P9" s="550"/>
      <c r="Q9" s="550"/>
      <c r="R9" s="799">
        <v>8</v>
      </c>
      <c r="S9" s="801"/>
      <c r="T9" s="799" t="e">
        <f t="shared" si="0"/>
        <v>#DIV/0!</v>
      </c>
      <c r="U9" s="801"/>
      <c r="V9" s="799" t="e">
        <f t="shared" si="1"/>
        <v>#DIV/0!</v>
      </c>
      <c r="W9" s="3441" t="s">
        <v>2029</v>
      </c>
      <c r="X9" s="804" t="s">
        <v>2030</v>
      </c>
      <c r="Y9" s="814"/>
      <c r="Z9" s="815">
        <f>$Y$9</f>
        <v>0</v>
      </c>
      <c r="AA9" s="815">
        <f t="shared" ref="AA9:AJ9" si="2">$Y$9</f>
        <v>0</v>
      </c>
      <c r="AB9" s="815">
        <f t="shared" si="2"/>
        <v>0</v>
      </c>
      <c r="AC9" s="815">
        <f t="shared" si="2"/>
        <v>0</v>
      </c>
      <c r="AD9" s="815">
        <f t="shared" si="2"/>
        <v>0</v>
      </c>
      <c r="AE9" s="815">
        <f t="shared" si="2"/>
        <v>0</v>
      </c>
      <c r="AF9" s="815">
        <f t="shared" si="2"/>
        <v>0</v>
      </c>
      <c r="AG9" s="815">
        <f t="shared" si="2"/>
        <v>0</v>
      </c>
      <c r="AH9" s="815">
        <f t="shared" si="2"/>
        <v>0</v>
      </c>
      <c r="AI9" s="815">
        <f t="shared" si="2"/>
        <v>0</v>
      </c>
      <c r="AJ9" s="815">
        <f t="shared" si="2"/>
        <v>0</v>
      </c>
    </row>
    <row r="10" spans="1:36" ht="15">
      <c r="A10" s="3444"/>
      <c r="B10" s="560" t="s">
        <v>2031</v>
      </c>
      <c r="C10" s="562">
        <f>SUMIF(修正!C71:C138,C8,修正!F71:F138)</f>
        <v>0</v>
      </c>
      <c r="D10" s="562" t="s">
        <v>2032</v>
      </c>
      <c r="E10" s="562" t="e">
        <f>ROUND(C11/E7,4)</f>
        <v>#DIV/0!</v>
      </c>
      <c r="F10" s="586" t="s">
        <v>2033</v>
      </c>
      <c r="G10" s="587"/>
      <c r="H10" s="587"/>
      <c r="I10" s="587"/>
      <c r="J10" s="732"/>
      <c r="K10" s="550"/>
      <c r="L10" s="724" t="s">
        <v>2034</v>
      </c>
      <c r="M10" s="725">
        <f>SUMPRODUCT((区片价!B290:B316=I2)*(区片价!C3:F3=E2)*(区片价!C290:F316))</f>
        <v>0</v>
      </c>
      <c r="N10" s="723">
        <f>SUMPRODUCT((因素修正幅度!B290:B316=I2)*(因素修正幅度!C3:F3=E2)*(因素修正幅度!C290:F316))</f>
        <v>0</v>
      </c>
      <c r="O10" s="550"/>
      <c r="P10" s="550"/>
      <c r="Q10" s="550"/>
      <c r="R10" s="799">
        <v>9</v>
      </c>
      <c r="S10" s="801"/>
      <c r="T10" s="799" t="e">
        <f t="shared" si="0"/>
        <v>#DIV/0!</v>
      </c>
      <c r="U10" s="801"/>
      <c r="V10" s="799" t="e">
        <f t="shared" si="1"/>
        <v>#DIV/0!</v>
      </c>
      <c r="W10" s="3441"/>
      <c r="X10" s="804">
        <v>7</v>
      </c>
      <c r="Y10" s="816">
        <f>(-0.163*(Y9^2)-0.59*Y9+7617)*(10^(-4))</f>
        <v>0.76170000000000004</v>
      </c>
      <c r="Z10" s="816">
        <f>(-0.163*(Z9^2)-0.59*Z9+7617)*(10^(-4))</f>
        <v>0.76170000000000004</v>
      </c>
      <c r="AA10" s="816">
        <f>(-0.161*(AA9^2)-7.509*AA9+6533)*(10^(-4))</f>
        <v>0.65329999999999999</v>
      </c>
      <c r="AB10" s="816">
        <f>(-0.161*(AB9^2)-7.509*AB9+6533)*(10^(-4))</f>
        <v>0.65329999999999999</v>
      </c>
      <c r="AC10" s="816">
        <f>(-0.161*(AC9^2)-7.509*AC9+6533)*(10^(-4))</f>
        <v>0.65329999999999999</v>
      </c>
      <c r="AD10" s="816">
        <f>(-0.161*(AD9^2)-7.509*AD9+6533)*(10^(-4))</f>
        <v>0.65329999999999999</v>
      </c>
      <c r="AE10" s="816">
        <f>(-0.161*(AE9^2)-7.509*AE9+6533)*(10^(-4))</f>
        <v>0.65329999999999999</v>
      </c>
      <c r="AF10" s="816">
        <f>(-0.214*(AF9^2)-21.991*AF9+4665)*(10^(-4))</f>
        <v>0.46650000000000003</v>
      </c>
      <c r="AG10" s="816">
        <f>(-0.214*(AG9^2)-21.991*AG9+4665)*(10^(-4))</f>
        <v>0.46650000000000003</v>
      </c>
      <c r="AH10" s="816">
        <f>(-0.214*(AH9^2)-21.991*AH9+4665)*(10^(-4))</f>
        <v>0.46650000000000003</v>
      </c>
      <c r="AI10" s="816">
        <f>(-0.214*(AI9^2)-21.991*AI9+4665)*(10^(-4))</f>
        <v>0.46650000000000003</v>
      </c>
      <c r="AJ10" s="816">
        <f>(-0.214*(AJ9^2)-21.991*AJ9+4665)*(10^(-4))</f>
        <v>0.46650000000000003</v>
      </c>
    </row>
    <row r="11" spans="1:36" ht="15">
      <c r="A11" s="3444"/>
      <c r="B11" s="589" t="s">
        <v>2035</v>
      </c>
      <c r="C11" s="262">
        <f>C10/4</f>
        <v>0</v>
      </c>
      <c r="D11" s="262" t="s">
        <v>2036</v>
      </c>
      <c r="E11" s="262" t="e">
        <f>ROUND(C11/E7,4)</f>
        <v>#DIV/0!</v>
      </c>
      <c r="F11" s="590" t="s">
        <v>2037</v>
      </c>
      <c r="G11" s="591"/>
      <c r="H11" s="591"/>
      <c r="I11" s="591"/>
      <c r="J11" s="733"/>
      <c r="K11" s="550"/>
      <c r="L11" s="724" t="s">
        <v>2038</v>
      </c>
      <c r="M11" s="725">
        <f>SUMPRODUCT((区片价!B317:B337=I2)*(区片价!C3:F3=E2)*(区片价!C317:F337))</f>
        <v>0</v>
      </c>
      <c r="N11" s="723">
        <f>SUMPRODUCT((因素修正幅度!B317:B337=I2)*(因素修正幅度!C3:F3=E2)*(因素修正幅度!C317:F337))</f>
        <v>0</v>
      </c>
      <c r="O11" s="550"/>
      <c r="P11" s="550"/>
      <c r="Q11" s="550"/>
      <c r="R11" s="799">
        <v>10</v>
      </c>
      <c r="S11" s="801"/>
      <c r="T11" s="799" t="e">
        <f t="shared" si="0"/>
        <v>#DIV/0!</v>
      </c>
      <c r="U11" s="801"/>
      <c r="V11" s="799" t="e">
        <f t="shared" si="1"/>
        <v>#DIV/0!</v>
      </c>
      <c r="W11" s="3441" t="s">
        <v>2039</v>
      </c>
      <c r="X11" s="805" t="s">
        <v>2007</v>
      </c>
      <c r="Y11" s="805" t="e">
        <f>$G$3</f>
        <v>#DIV/0!</v>
      </c>
      <c r="Z11" s="805" t="e">
        <f t="shared" ref="Z11:AJ11" si="3">$G$3</f>
        <v>#DIV/0!</v>
      </c>
      <c r="AA11" s="805" t="e">
        <f t="shared" si="3"/>
        <v>#DIV/0!</v>
      </c>
      <c r="AB11" s="805" t="e">
        <f t="shared" si="3"/>
        <v>#DIV/0!</v>
      </c>
      <c r="AC11" s="805" t="e">
        <f t="shared" si="3"/>
        <v>#DIV/0!</v>
      </c>
      <c r="AD11" s="805" t="e">
        <f t="shared" si="3"/>
        <v>#DIV/0!</v>
      </c>
      <c r="AE11" s="805" t="e">
        <f t="shared" si="3"/>
        <v>#DIV/0!</v>
      </c>
      <c r="AF11" s="805" t="e">
        <f t="shared" si="3"/>
        <v>#DIV/0!</v>
      </c>
      <c r="AG11" s="805" t="e">
        <f t="shared" si="3"/>
        <v>#DIV/0!</v>
      </c>
      <c r="AH11" s="805" t="e">
        <f t="shared" si="3"/>
        <v>#DIV/0!</v>
      </c>
      <c r="AI11" s="805" t="e">
        <f t="shared" si="3"/>
        <v>#DIV/0!</v>
      </c>
      <c r="AJ11" s="805" t="e">
        <f t="shared" si="3"/>
        <v>#DIV/0!</v>
      </c>
    </row>
    <row r="12" spans="1:36" ht="24.75">
      <c r="A12" s="3443" t="s">
        <v>1862</v>
      </c>
      <c r="B12" s="592" t="s">
        <v>2040</v>
      </c>
      <c r="C12" s="579">
        <f>ROUND(C15*D15*E15*F15*G15*H15*I15*J15,4)</f>
        <v>1</v>
      </c>
      <c r="D12" s="593" t="s">
        <v>2041</v>
      </c>
      <c r="E12" s="594"/>
      <c r="F12" s="594"/>
      <c r="G12" s="595"/>
      <c r="H12" s="595"/>
      <c r="I12" s="595"/>
      <c r="J12" s="734"/>
      <c r="K12" s="550"/>
      <c r="L12" s="735" t="s">
        <v>2042</v>
      </c>
      <c r="M12" s="736">
        <f>SUMPRODUCT((区片价!B338:B344=I2)*(区片价!C3:F3=E2)*(区片价!C338:F344))</f>
        <v>0</v>
      </c>
      <c r="N12" s="723">
        <f>SUMPRODUCT((因素修正幅度!B338:B344=I2)*(因素修正幅度!C3:F3=E2)*(因素修正幅度!C338:F344))</f>
        <v>0</v>
      </c>
      <c r="O12" s="550"/>
      <c r="P12" s="550"/>
      <c r="Q12" s="550"/>
      <c r="R12" s="799">
        <v>11</v>
      </c>
      <c r="S12" s="801"/>
      <c r="T12" s="799" t="e">
        <f t="shared" si="0"/>
        <v>#DIV/0!</v>
      </c>
      <c r="U12" s="801"/>
      <c r="V12" s="799" t="e">
        <f t="shared" si="1"/>
        <v>#DIV/0!</v>
      </c>
      <c r="W12" s="3441"/>
      <c r="X12" s="806" t="s">
        <v>2043</v>
      </c>
      <c r="Y12" s="815">
        <f t="shared" ref="Y12:AJ12" si="4">Y9</f>
        <v>0</v>
      </c>
      <c r="Z12" s="815">
        <f t="shared" si="4"/>
        <v>0</v>
      </c>
      <c r="AA12" s="815">
        <f t="shared" si="4"/>
        <v>0</v>
      </c>
      <c r="AB12" s="815">
        <f t="shared" si="4"/>
        <v>0</v>
      </c>
      <c r="AC12" s="815">
        <f t="shared" si="4"/>
        <v>0</v>
      </c>
      <c r="AD12" s="815">
        <f t="shared" si="4"/>
        <v>0</v>
      </c>
      <c r="AE12" s="815">
        <f t="shared" si="4"/>
        <v>0</v>
      </c>
      <c r="AF12" s="815">
        <f t="shared" si="4"/>
        <v>0</v>
      </c>
      <c r="AG12" s="815">
        <f t="shared" si="4"/>
        <v>0</v>
      </c>
      <c r="AH12" s="815">
        <f t="shared" si="4"/>
        <v>0</v>
      </c>
      <c r="AI12" s="815">
        <f t="shared" si="4"/>
        <v>0</v>
      </c>
      <c r="AJ12" s="815">
        <f t="shared" si="4"/>
        <v>0</v>
      </c>
    </row>
    <row r="13" spans="1:36" ht="24">
      <c r="A13" s="3445"/>
      <c r="B13" s="596" t="s">
        <v>2044</v>
      </c>
      <c r="C13" s="597" t="s">
        <v>2045</v>
      </c>
      <c r="D13" s="598" t="s">
        <v>2046</v>
      </c>
      <c r="E13" s="598" t="s">
        <v>2047</v>
      </c>
      <c r="F13" s="599" t="s">
        <v>2048</v>
      </c>
      <c r="G13" s="600" t="s">
        <v>2049</v>
      </c>
      <c r="H13" s="600" t="s">
        <v>2049</v>
      </c>
      <c r="I13" s="600" t="s">
        <v>2049</v>
      </c>
      <c r="J13" s="737" t="s">
        <v>2049</v>
      </c>
      <c r="K13" s="550"/>
      <c r="L13" s="550"/>
      <c r="M13" s="550"/>
      <c r="N13" s="550"/>
      <c r="O13" s="550"/>
      <c r="P13" s="550"/>
      <c r="Q13" s="550"/>
      <c r="R13" s="799">
        <v>12</v>
      </c>
      <c r="S13" s="801"/>
      <c r="T13" s="799" t="e">
        <f t="shared" si="0"/>
        <v>#DIV/0!</v>
      </c>
      <c r="U13" s="801"/>
      <c r="V13" s="799" t="e">
        <f t="shared" si="1"/>
        <v>#DIV/0!</v>
      </c>
      <c r="W13" s="3441"/>
      <c r="X13" s="806"/>
      <c r="Y13" s="816" t="e">
        <f>(-0.163*(Y12^2)-0.59*Y12+7617)*(10^(-4))/Y11</f>
        <v>#DIV/0!</v>
      </c>
      <c r="Z13" s="816" t="e">
        <f t="shared" ref="Z13:AJ13" si="5">(-0.163*(Z12^2)-0.59*Z12+7617)*(10^(-4))/Z11</f>
        <v>#DIV/0!</v>
      </c>
      <c r="AA13" s="816" t="e">
        <f t="shared" si="5"/>
        <v>#DIV/0!</v>
      </c>
      <c r="AB13" s="816" t="e">
        <f t="shared" si="5"/>
        <v>#DIV/0!</v>
      </c>
      <c r="AC13" s="816" t="e">
        <f t="shared" si="5"/>
        <v>#DIV/0!</v>
      </c>
      <c r="AD13" s="816" t="e">
        <f t="shared" si="5"/>
        <v>#DIV/0!</v>
      </c>
      <c r="AE13" s="816" t="e">
        <f t="shared" si="5"/>
        <v>#DIV/0!</v>
      </c>
      <c r="AF13" s="816" t="e">
        <f t="shared" si="5"/>
        <v>#DIV/0!</v>
      </c>
      <c r="AG13" s="816" t="e">
        <f t="shared" si="5"/>
        <v>#DIV/0!</v>
      </c>
      <c r="AH13" s="816" t="e">
        <f t="shared" si="5"/>
        <v>#DIV/0!</v>
      </c>
      <c r="AI13" s="816" t="e">
        <f t="shared" si="5"/>
        <v>#DIV/0!</v>
      </c>
      <c r="AJ13" s="816" t="e">
        <f t="shared" si="5"/>
        <v>#DIV/0!</v>
      </c>
    </row>
    <row r="14" spans="1:36" ht="15">
      <c r="A14" s="3445"/>
      <c r="B14" s="601"/>
      <c r="C14" s="602"/>
      <c r="D14" s="603"/>
      <c r="E14" s="603"/>
      <c r="F14" s="604"/>
      <c r="G14" s="605" t="s">
        <v>2050</v>
      </c>
      <c r="H14" s="558"/>
      <c r="I14" s="738"/>
      <c r="J14" s="739"/>
      <c r="K14" s="550"/>
      <c r="L14" s="550"/>
      <c r="M14" s="550"/>
      <c r="N14" s="550"/>
      <c r="O14" s="550"/>
      <c r="P14" s="550"/>
      <c r="Q14" s="550"/>
      <c r="R14" s="799">
        <v>13</v>
      </c>
      <c r="S14" s="801"/>
      <c r="T14" s="799" t="e">
        <f t="shared" si="0"/>
        <v>#DIV/0!</v>
      </c>
      <c r="U14" s="801"/>
      <c r="V14" s="799" t="e">
        <f t="shared" si="1"/>
        <v>#DIV/0!</v>
      </c>
      <c r="W14" s="800"/>
      <c r="X14" s="800"/>
      <c r="Y14" s="800"/>
      <c r="Z14" s="800"/>
      <c r="AA14" s="800"/>
      <c r="AB14" s="800"/>
      <c r="AC14" s="808"/>
      <c r="AD14" s="817"/>
      <c r="AE14" s="817"/>
      <c r="AF14" s="817"/>
      <c r="AG14" s="817"/>
      <c r="AH14" s="817"/>
      <c r="AI14" s="817"/>
      <c r="AJ14" s="820"/>
    </row>
    <row r="15" spans="1:36" ht="15">
      <c r="A15" s="3446"/>
      <c r="B15" s="606" t="s">
        <v>2051</v>
      </c>
      <c r="C15" s="607">
        <f>IF(C14="有",1.1,1)</f>
        <v>1</v>
      </c>
      <c r="D15" s="607">
        <f>IF(D14="有",1.1,1)</f>
        <v>1</v>
      </c>
      <c r="E15" s="607">
        <f>IF(E14="有",1.1,1)</f>
        <v>1</v>
      </c>
      <c r="F15" s="607">
        <f>IF(F14="500米范围内",1.2,IF(F14="500-1000米",1.1,1))</f>
        <v>1</v>
      </c>
      <c r="G15" s="608">
        <v>1</v>
      </c>
      <c r="H15" s="608">
        <v>1</v>
      </c>
      <c r="I15" s="608">
        <v>1</v>
      </c>
      <c r="J15" s="740">
        <v>1</v>
      </c>
      <c r="K15" s="550"/>
      <c r="L15" s="551"/>
      <c r="M15" s="551"/>
      <c r="N15" s="551"/>
      <c r="O15" s="551"/>
      <c r="P15" s="551"/>
      <c r="Q15" s="550"/>
      <c r="R15" s="799">
        <v>14</v>
      </c>
      <c r="S15" s="801"/>
      <c r="T15" s="799" t="e">
        <f t="shared" si="0"/>
        <v>#DIV/0!</v>
      </c>
      <c r="U15" s="801"/>
      <c r="V15" s="799" t="e">
        <f t="shared" si="1"/>
        <v>#DIV/0!</v>
      </c>
      <c r="W15" s="800"/>
      <c r="X15" s="800"/>
      <c r="Y15" s="800"/>
      <c r="Z15" s="800"/>
      <c r="AA15" s="800"/>
      <c r="AB15" s="800"/>
      <c r="AC15" s="808"/>
      <c r="AD15" s="817"/>
      <c r="AE15" s="817"/>
      <c r="AF15" s="817"/>
      <c r="AG15" s="817"/>
      <c r="AH15" s="817"/>
      <c r="AI15" s="817"/>
      <c r="AJ15" s="820"/>
    </row>
    <row r="16" spans="1:36" ht="24.6" customHeight="1">
      <c r="A16" s="3443" t="s">
        <v>1866</v>
      </c>
      <c r="B16" s="578" t="s">
        <v>2052</v>
      </c>
      <c r="C16" s="609" t="e">
        <f>ROUND(IF(F17="与级别开发程度一致",0,(G17-E17)/C17),0)</f>
        <v>#DIV/0!</v>
      </c>
      <c r="D16" s="3438" t="s">
        <v>2053</v>
      </c>
      <c r="E16" s="3439"/>
      <c r="F16" s="3438" t="s">
        <v>2054</v>
      </c>
      <c r="G16" s="3439"/>
      <c r="H16" s="611"/>
      <c r="I16" s="611"/>
      <c r="J16" s="741"/>
      <c r="K16" s="611"/>
      <c r="L16" s="611"/>
      <c r="M16" s="611"/>
      <c r="N16" s="611"/>
      <c r="O16" s="742"/>
      <c r="P16" s="551"/>
      <c r="Q16" s="550"/>
      <c r="R16" s="799">
        <v>15</v>
      </c>
      <c r="S16" s="801"/>
      <c r="T16" s="799" t="e">
        <f t="shared" si="0"/>
        <v>#DIV/0!</v>
      </c>
      <c r="U16" s="801"/>
      <c r="V16" s="799" t="e">
        <f t="shared" si="1"/>
        <v>#DIV/0!</v>
      </c>
      <c r="W16" s="800"/>
      <c r="X16" s="800"/>
      <c r="Y16" s="800"/>
      <c r="Z16" s="800"/>
      <c r="AA16" s="800"/>
      <c r="AB16" s="800"/>
      <c r="AC16" s="808"/>
      <c r="AD16" s="817"/>
      <c r="AE16" s="817"/>
      <c r="AF16" s="817"/>
      <c r="AG16" s="817"/>
      <c r="AH16" s="817"/>
      <c r="AI16" s="817"/>
      <c r="AJ16" s="820"/>
    </row>
    <row r="17" spans="1:37">
      <c r="A17" s="3447"/>
      <c r="B17" s="612" t="s">
        <v>2055</v>
      </c>
      <c r="C17" s="613">
        <f>SUMPRODUCT((修正!A2:A7=E2)*(修正!B1:M1=G2)*(修正!B2:M7))</f>
        <v>0</v>
      </c>
      <c r="D17" s="607" t="str">
        <f>IF(OR(G2="八级",G2="九级",G2="十级",G2="十一级",G2="十二级"),"五通一平","七通一平")</f>
        <v>七通一平</v>
      </c>
      <c r="E17" s="614">
        <f>SUMPRODUCT((修正!B1:M1=G2)*(修正!B17:M17))</f>
        <v>0</v>
      </c>
      <c r="F17" s="615"/>
      <c r="G17" s="616">
        <f>SUM(H17:O17)</f>
        <v>0</v>
      </c>
      <c r="H17" s="613">
        <f>SUMPRODUCT((七通一平=H16)*(修正!B1:M1=G2)*(修正!B8:M16))</f>
        <v>0</v>
      </c>
      <c r="I17" s="613">
        <f>SUMPRODUCT((七通一平=I16)*(修正!B1:M1=G2)*(修正!B8:M16))</f>
        <v>0</v>
      </c>
      <c r="J17" s="743">
        <f>SUMPRODUCT((七通一平=J16)*(修正!B1:M1=G2)*(修正!B8:M16))</f>
        <v>0</v>
      </c>
      <c r="K17" s="613">
        <f>SUMPRODUCT((七通一平=K16)*(修正!B1:M1=G2)*(修正!B8:M16))</f>
        <v>0</v>
      </c>
      <c r="L17" s="613">
        <f>SUMPRODUCT((七通一平=L16)*(修正!B1:M1=G2)*(修正!B8:M16))</f>
        <v>0</v>
      </c>
      <c r="M17" s="613">
        <f>SUMPRODUCT((七通一平=M16)*(修正!B1:M1=G2)*(修正!B8:M16))</f>
        <v>0</v>
      </c>
      <c r="N17" s="613">
        <f>SUMPRODUCT((七通一平=N16)*(修正!B1:M1=G2)*(修正!B8:M16))</f>
        <v>0</v>
      </c>
      <c r="O17" s="744">
        <f>SUMPRODUCT((七通一平=O16)*(修正!B1:M1=G2)*(修正!B8:M16))</f>
        <v>0</v>
      </c>
      <c r="P17" s="551"/>
      <c r="Q17" s="550"/>
      <c r="R17" s="550"/>
      <c r="S17" s="550"/>
      <c r="T17" s="550"/>
      <c r="U17" s="550"/>
      <c r="V17" s="550"/>
      <c r="W17" s="550"/>
      <c r="X17" s="550"/>
      <c r="Y17" s="550"/>
      <c r="Z17" s="689"/>
      <c r="AA17" s="689"/>
      <c r="AB17" s="689"/>
      <c r="AC17" s="689"/>
      <c r="AD17" s="689"/>
      <c r="AE17" s="550"/>
      <c r="AF17" s="550"/>
      <c r="AG17" s="551"/>
      <c r="AH17" s="551"/>
      <c r="AI17" s="551"/>
      <c r="AJ17" s="551"/>
    </row>
    <row r="18" spans="1:37" s="549" customFormat="1" ht="15">
      <c r="A18" s="617" t="s">
        <v>853</v>
      </c>
      <c r="B18" s="618" t="s">
        <v>2056</v>
      </c>
      <c r="C18" s="619">
        <f>SUMIF(修正!C20:C51,E3,修正!E20:E51)</f>
        <v>0</v>
      </c>
      <c r="D18" s="620"/>
      <c r="E18" s="621"/>
      <c r="F18" s="621"/>
      <c r="G18" s="621"/>
      <c r="H18" s="621"/>
      <c r="I18" s="621"/>
      <c r="J18" s="745"/>
      <c r="K18" s="746"/>
      <c r="L18" s="747"/>
      <c r="M18" s="747"/>
      <c r="N18" s="747"/>
      <c r="O18" s="748"/>
      <c r="P18" s="748"/>
      <c r="Q18" s="807"/>
      <c r="R18" s="807"/>
      <c r="S18" s="807"/>
      <c r="T18" s="689"/>
      <c r="U18" s="689"/>
      <c r="V18" s="689"/>
      <c r="W18" s="550"/>
      <c r="X18" s="550"/>
      <c r="Y18" s="550"/>
      <c r="Z18" s="746"/>
      <c r="AA18" s="746"/>
      <c r="AB18" s="746"/>
      <c r="AC18" s="746"/>
      <c r="AD18" s="746"/>
      <c r="AE18" s="689"/>
      <c r="AF18" s="689"/>
      <c r="AG18" s="821"/>
      <c r="AH18" s="821"/>
      <c r="AI18" s="821"/>
      <c r="AJ18" s="747"/>
    </row>
    <row r="19" spans="1:37" s="549" customFormat="1" ht="27">
      <c r="A19" s="622" t="s">
        <v>858</v>
      </c>
      <c r="B19" s="623" t="s">
        <v>2057</v>
      </c>
      <c r="C19" s="624" t="e">
        <f>ROUND(IF(H19="按公示增长率计算",SUMPRODUCT((地价!A3:A37=YEAR(G19)&amp;"-"&amp;ROUNDUP(MONTH(G19)/3,0))*(地价!X2:AB2=E2)*(地价!X3:AB37)),IF(H19="地价指数",M20/M19,(1+I19)^O19)),4)</f>
        <v>#VALUE!</v>
      </c>
      <c r="D19" s="625" t="s">
        <v>2058</v>
      </c>
      <c r="E19" s="626">
        <v>41640</v>
      </c>
      <c r="F19" s="625" t="s">
        <v>2059</v>
      </c>
      <c r="G19" s="627">
        <f>'数据-取费表'!B2</f>
        <v>45475</v>
      </c>
      <c r="H19" s="628"/>
      <c r="I19" s="749" t="str">
        <f>IF(H19="季度增幅（自定义）",SUMIF(N21:N24,E2,O21:O24),"")</f>
        <v/>
      </c>
      <c r="J19" s="750"/>
      <c r="K19" s="746"/>
      <c r="L19" s="751" t="s">
        <v>2060</v>
      </c>
      <c r="M19" s="752">
        <f>ROUND(SUMIF(地价!B2:F2,E2,地价!B37:F37),0)</f>
        <v>0</v>
      </c>
      <c r="N19" s="753" t="s">
        <v>2061</v>
      </c>
      <c r="O19" s="754">
        <f>ROUNDDOWN(DATEDIF(E19,G19,"M")/3,0)</f>
        <v>42</v>
      </c>
      <c r="P19" s="689"/>
      <c r="Q19" s="807"/>
      <c r="R19" s="807"/>
      <c r="S19" s="807"/>
      <c r="T19" s="689"/>
      <c r="U19" s="689"/>
      <c r="V19" s="689"/>
      <c r="W19" s="550"/>
      <c r="X19" s="550"/>
      <c r="Y19" s="550"/>
      <c r="Z19" s="746"/>
      <c r="AA19" s="746"/>
      <c r="AB19" s="746"/>
      <c r="AC19" s="746"/>
      <c r="AD19" s="746"/>
      <c r="AE19" s="746"/>
      <c r="AF19" s="807"/>
      <c r="AG19" s="822"/>
      <c r="AH19" s="821"/>
      <c r="AI19" s="823"/>
      <c r="AJ19" s="823"/>
      <c r="AK19" s="824"/>
    </row>
    <row r="20" spans="1:37" s="549" customFormat="1" ht="27">
      <c r="A20" s="629" t="s">
        <v>861</v>
      </c>
      <c r="B20" s="630" t="s">
        <v>2062</v>
      </c>
      <c r="C20" s="631" t="e">
        <f>ROUND(POWER(1+G20,J20-I20)*(POWER(1+G20,I20)-1)/(POWER(1+G20,J20)-1),4)</f>
        <v>#DIV/0!</v>
      </c>
      <c r="D20" s="632" t="s">
        <v>2063</v>
      </c>
      <c r="E20" s="633">
        <f>存贷款利率!E22/100</f>
        <v>4.3499999999999997E-2</v>
      </c>
      <c r="F20" s="632" t="s">
        <v>2064</v>
      </c>
      <c r="G20" s="634">
        <f>SUMIF(M26:P26,E2,M28:P28)</f>
        <v>0</v>
      </c>
      <c r="H20" s="632" t="s">
        <v>2065</v>
      </c>
      <c r="I20" s="610" t="e">
        <f>SUMIF('数据-取费表'!C6:C15,E2,'数据-取费表'!F6:F15)/COUNTIF('数据-取费表'!C6:C15,E2)</f>
        <v>#DIV/0!</v>
      </c>
      <c r="J20" s="755">
        <f>IF(E2="住宅",70,IF(E2="商业",40,50))</f>
        <v>50</v>
      </c>
      <c r="K20" s="746"/>
      <c r="L20" s="756" t="s">
        <v>2066</v>
      </c>
      <c r="M20" s="757">
        <f>ROUND(SUMPRODUCT((地价!A4:A37=YEAR(G19)&amp;"-"&amp;ROUNDUP(MONTH(G19)/3,0))*(地价!B2:F2=E2)*(地价!B4:F37)),0)</f>
        <v>0</v>
      </c>
      <c r="N20" s="758" t="s">
        <v>2067</v>
      </c>
      <c r="O20" s="759" t="s">
        <v>2068</v>
      </c>
      <c r="P20" s="760" t="s">
        <v>2069</v>
      </c>
      <c r="Q20" s="747"/>
      <c r="R20" s="807"/>
      <c r="S20" s="807"/>
      <c r="T20" s="689"/>
      <c r="U20" s="689"/>
      <c r="V20" s="689"/>
      <c r="W20" s="550"/>
      <c r="X20" s="550"/>
      <c r="Y20" s="550"/>
      <c r="Z20" s="746"/>
      <c r="AA20" s="746"/>
      <c r="AB20" s="746"/>
      <c r="AC20" s="746"/>
      <c r="AD20" s="746"/>
      <c r="AE20" s="746"/>
      <c r="AF20" s="746"/>
      <c r="AG20" s="747"/>
      <c r="AH20" s="747"/>
      <c r="AI20" s="747"/>
      <c r="AJ20" s="747"/>
    </row>
    <row r="21" spans="1:37" s="549" customFormat="1" ht="15">
      <c r="A21" s="635" t="s">
        <v>885</v>
      </c>
      <c r="B21" s="636" t="s">
        <v>2070</v>
      </c>
      <c r="C21" s="637" t="e">
        <f>IF(B21="容积率修正",IF(G3&lt;=10,D22,J22),C23)</f>
        <v>#DIV/0!</v>
      </c>
      <c r="D21" s="638"/>
      <c r="E21" s="638"/>
      <c r="F21" s="638"/>
      <c r="G21" s="638"/>
      <c r="H21" s="638"/>
      <c r="I21" s="638"/>
      <c r="J21" s="761"/>
      <c r="K21" s="746"/>
      <c r="L21" s="747"/>
      <c r="M21" s="747"/>
      <c r="N21" s="762" t="s">
        <v>2071</v>
      </c>
      <c r="O21" s="763"/>
      <c r="P21" s="764">
        <f>SUMPRODUCT((地价!A3:A37=YEAR(G19)&amp;"-"&amp;ROUNDUP(MONTH(G19)/3,0))*(地价!AD2:AH2=N21)*(地价!AD3:AH37))</f>
        <v>0</v>
      </c>
      <c r="Q21" s="747"/>
      <c r="R21" s="807"/>
      <c r="S21" s="807"/>
      <c r="T21" s="689"/>
      <c r="U21" s="689"/>
      <c r="V21" s="689"/>
      <c r="W21" s="550"/>
      <c r="X21" s="550"/>
      <c r="Y21" s="550"/>
      <c r="Z21" s="746"/>
      <c r="AA21" s="746"/>
      <c r="AB21" s="746"/>
      <c r="AC21" s="746"/>
      <c r="AD21" s="746"/>
      <c r="AE21" s="746"/>
      <c r="AF21" s="746"/>
      <c r="AG21" s="747"/>
      <c r="AH21" s="747"/>
      <c r="AI21" s="747"/>
      <c r="AJ21" s="747"/>
    </row>
    <row r="22" spans="1:37" s="549" customFormat="1" ht="14.25">
      <c r="A22" s="639" t="s">
        <v>2072</v>
      </c>
      <c r="B22" s="640" t="s">
        <v>2073</v>
      </c>
      <c r="C22" s="641" t="s">
        <v>2074</v>
      </c>
      <c r="D22" s="641" t="e">
        <f>IF(E22=G22,F22,IF(G3&lt;=10,ROUND(F22+(H22-F22)*(G3-E22)/(G22-E22),4),"——"))</f>
        <v>#DIV/0!</v>
      </c>
      <c r="E22" s="565" t="e">
        <f>ROUNDDOWN(G3,1)</f>
        <v>#DIV/0!</v>
      </c>
      <c r="F22" s="64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5" t="e">
        <f>ROUNDUP(G3,1)</f>
        <v>#DIV/0!</v>
      </c>
      <c r="H22" s="64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1" t="s">
        <v>2075</v>
      </c>
      <c r="J22" s="765" t="e">
        <f>IF(G3&gt;10,D113,"——")</f>
        <v>#DIV/0!</v>
      </c>
      <c r="K22" s="746"/>
      <c r="L22" s="747"/>
      <c r="M22" s="747"/>
      <c r="N22" s="762" t="s">
        <v>2076</v>
      </c>
      <c r="O22" s="763"/>
      <c r="P22" s="764">
        <f>SUMPRODUCT((地价!A3:A37=YEAR(G19)&amp;"-"&amp;ROUNDUP(MONTH(G19)/3,0))*(地价!AD2:AH2=N22)*(地价!AD3:AH37))</f>
        <v>0</v>
      </c>
      <c r="Q22" s="747"/>
      <c r="R22" s="807"/>
      <c r="S22" s="807"/>
      <c r="T22" s="689"/>
      <c r="U22" s="689"/>
      <c r="V22" s="689"/>
      <c r="W22" s="550"/>
      <c r="X22" s="550"/>
      <c r="Y22" s="550"/>
      <c r="Z22" s="746"/>
      <c r="AA22" s="746"/>
      <c r="AB22" s="746"/>
      <c r="AC22" s="746"/>
      <c r="AD22" s="746"/>
      <c r="AE22" s="746"/>
      <c r="AF22" s="746"/>
      <c r="AG22" s="747"/>
      <c r="AH22" s="747"/>
      <c r="AI22" s="747"/>
      <c r="AJ22" s="747"/>
    </row>
    <row r="23" spans="1:37" ht="27">
      <c r="A23" s="639" t="s">
        <v>2077</v>
      </c>
      <c r="B23" s="642" t="s">
        <v>2078</v>
      </c>
      <c r="C23" s="643" t="e">
        <f>ROUND(IF(G3&gt;1,IF(I3&lt;7,SUMPRODUCT((B93:B98=I3)*(C92:N92=G2)*(C93:N98)),SUMIF(C92:N92,G2,C100:N100)),IF(I3&lt;7,SUMPRODUCT((B102:B107=I3)*(C92:N92=G2)*(C102:N107)),SUMIF(C92:N92,G2,C109:N109))),4)</f>
        <v>#DIV/0!</v>
      </c>
      <c r="D23" s="558"/>
      <c r="E23" s="558"/>
      <c r="F23" s="644"/>
      <c r="G23" s="645"/>
      <c r="H23" s="646"/>
      <c r="I23" s="766"/>
      <c r="J23" s="767"/>
      <c r="K23" s="550"/>
      <c r="L23" s="551"/>
      <c r="M23" s="551"/>
      <c r="N23" s="762" t="s">
        <v>2079</v>
      </c>
      <c r="O23" s="763"/>
      <c r="P23" s="764">
        <f>SUMPRODUCT((地价!A3:A37=YEAR(G19)&amp;"-"&amp;ROUNDUP(MONTH(G19)/3,0))*(地价!AD2:AH2=N23)*(地价!AD3:AH37))</f>
        <v>0</v>
      </c>
      <c r="Q23" s="551"/>
      <c r="R23" s="807"/>
      <c r="S23" s="807"/>
      <c r="T23" s="689"/>
      <c r="U23" s="689"/>
      <c r="V23" s="689"/>
      <c r="W23" s="550"/>
      <c r="X23" s="550"/>
      <c r="Y23" s="550"/>
      <c r="Z23" s="746"/>
      <c r="AA23" s="746"/>
      <c r="AB23" s="746"/>
      <c r="AC23" s="746"/>
      <c r="AD23" s="746"/>
      <c r="AE23" s="689"/>
      <c r="AF23" s="689"/>
      <c r="AG23" s="821"/>
      <c r="AH23" s="821"/>
      <c r="AI23" s="821"/>
      <c r="AJ23" s="821"/>
      <c r="AK23" s="552"/>
    </row>
    <row r="24" spans="1:37" s="549" customFormat="1" ht="15">
      <c r="A24" s="629" t="s">
        <v>2080</v>
      </c>
      <c r="B24" s="623" t="s">
        <v>2081</v>
      </c>
      <c r="C24" s="624">
        <f>SUMIF(A45:A88,E2,B45:B88)</f>
        <v>0</v>
      </c>
      <c r="D24" s="647"/>
      <c r="E24" s="648"/>
      <c r="F24" s="648"/>
      <c r="G24" s="648"/>
      <c r="H24" s="648"/>
      <c r="I24" s="648"/>
      <c r="J24" s="768"/>
      <c r="K24" s="746"/>
      <c r="L24" s="747"/>
      <c r="M24" s="747"/>
      <c r="N24" s="769" t="s">
        <v>2082</v>
      </c>
      <c r="O24" s="770"/>
      <c r="P24" s="771">
        <f>SUMPRODUCT((地价!A3:A37=YEAR(G19)&amp;"-"&amp;ROUNDUP(MONTH(G19)/3,0))*(地价!AD2:AH2=N24)*(地价!AD3:AH37))</f>
        <v>0</v>
      </c>
      <c r="Q24" s="747"/>
      <c r="R24" s="807"/>
      <c r="S24" s="807"/>
      <c r="T24" s="689"/>
      <c r="U24" s="689"/>
      <c r="V24" s="689"/>
      <c r="W24" s="550"/>
      <c r="X24" s="550"/>
      <c r="Y24" s="550"/>
      <c r="Z24" s="746"/>
      <c r="AA24" s="746"/>
      <c r="AB24" s="746"/>
      <c r="AC24" s="746"/>
      <c r="AD24" s="746"/>
      <c r="AE24" s="746"/>
      <c r="AF24" s="746"/>
      <c r="AG24" s="747"/>
      <c r="AH24" s="747"/>
      <c r="AI24" s="747"/>
      <c r="AJ24" s="747"/>
    </row>
    <row r="25" spans="1:37" ht="15">
      <c r="A25" s="629" t="s">
        <v>2083</v>
      </c>
      <c r="B25" s="649" t="s">
        <v>2084</v>
      </c>
      <c r="C25" s="650"/>
      <c r="D25" s="583"/>
      <c r="E25" s="583"/>
      <c r="F25" s="651"/>
      <c r="G25" s="583"/>
      <c r="H25" s="583"/>
      <c r="I25" s="583"/>
      <c r="J25" s="731"/>
      <c r="K25" s="550"/>
      <c r="L25" s="551"/>
      <c r="M25" s="551"/>
      <c r="N25" s="772" t="s">
        <v>2085</v>
      </c>
      <c r="O25" s="773"/>
      <c r="P25" s="774">
        <f>SUMPRODUCT((地价!A3:A37=YEAR(G19)&amp;"-"&amp;ROUNDUP(MONTH(G19)/3,0))*(地价!AD2:AH2=N25)*(地价!AD3:AH37))</f>
        <v>0</v>
      </c>
      <c r="Q25" s="551"/>
      <c r="R25" s="807"/>
      <c r="S25" s="807"/>
      <c r="T25" s="689"/>
      <c r="U25" s="689"/>
      <c r="V25" s="689"/>
      <c r="W25" s="550"/>
      <c r="X25" s="550"/>
      <c r="Y25" s="550"/>
      <c r="Z25" s="746"/>
      <c r="AA25" s="746"/>
      <c r="AB25" s="746"/>
      <c r="AC25" s="746"/>
      <c r="AD25" s="746"/>
      <c r="AE25" s="689"/>
      <c r="AF25" s="689"/>
      <c r="AG25" s="821"/>
      <c r="AH25" s="821"/>
      <c r="AI25" s="821"/>
      <c r="AJ25" s="821"/>
    </row>
    <row r="26" spans="1:37" ht="15">
      <c r="A26" s="652"/>
      <c r="B26" s="640" t="s">
        <v>2086</v>
      </c>
      <c r="C26" s="653" t="e">
        <f>IF(B21="容积率修正",E29+SUM(E33:E39),SUM(V2:V16)+SUM(E33:E39))</f>
        <v>#DIV/0!</v>
      </c>
      <c r="D26" s="654"/>
      <c r="E26" s="558"/>
      <c r="F26" s="655"/>
      <c r="G26" s="558"/>
      <c r="H26" s="558"/>
      <c r="I26" s="558"/>
      <c r="J26" s="775"/>
      <c r="K26" s="550"/>
      <c r="L26" s="776" t="s">
        <v>1988</v>
      </c>
      <c r="M26" s="580" t="s">
        <v>2087</v>
      </c>
      <c r="N26" s="580" t="s">
        <v>2088</v>
      </c>
      <c r="O26" s="580" t="s">
        <v>2089</v>
      </c>
      <c r="P26" s="777" t="s">
        <v>2090</v>
      </c>
      <c r="Q26" s="551"/>
      <c r="R26" s="807"/>
      <c r="S26" s="807"/>
      <c r="T26" s="689"/>
      <c r="U26" s="689"/>
      <c r="V26" s="689"/>
      <c r="W26" s="550"/>
      <c r="X26" s="550"/>
      <c r="Y26" s="550"/>
      <c r="Z26" s="746"/>
      <c r="AA26" s="746"/>
      <c r="AB26" s="746"/>
      <c r="AC26" s="746"/>
      <c r="AD26" s="746"/>
      <c r="AE26" s="689"/>
      <c r="AF26" s="689"/>
      <c r="AG26" s="821"/>
      <c r="AH26" s="821"/>
      <c r="AI26" s="821"/>
      <c r="AJ26" s="821"/>
    </row>
    <row r="27" spans="1:37" ht="15">
      <c r="A27" s="652"/>
      <c r="B27" s="656" t="s">
        <v>2091</v>
      </c>
      <c r="C27" s="657" t="e">
        <f>E30+SUM(I33:I39)</f>
        <v>#DIV/0!</v>
      </c>
      <c r="D27" s="658"/>
      <c r="E27" s="659"/>
      <c r="F27" s="660"/>
      <c r="G27" s="659"/>
      <c r="H27" s="659"/>
      <c r="I27" s="659"/>
      <c r="J27" s="778"/>
      <c r="K27" s="550"/>
      <c r="L27" s="779" t="s">
        <v>2092</v>
      </c>
      <c r="M27" s="588">
        <v>0.25</v>
      </c>
      <c r="N27" s="588">
        <v>0.2</v>
      </c>
      <c r="O27" s="588">
        <v>0.15</v>
      </c>
      <c r="P27" s="780">
        <v>0.1</v>
      </c>
      <c r="Q27" s="807"/>
      <c r="R27" s="807"/>
      <c r="S27" s="807"/>
      <c r="T27" s="689"/>
      <c r="U27" s="689"/>
      <c r="V27" s="689"/>
      <c r="W27" s="550"/>
      <c r="X27" s="550"/>
      <c r="Y27" s="550"/>
      <c r="Z27" s="746"/>
      <c r="AA27" s="746"/>
      <c r="AB27" s="746"/>
      <c r="AC27" s="746"/>
      <c r="AD27" s="746"/>
      <c r="AE27" s="689"/>
      <c r="AF27" s="689"/>
      <c r="AG27" s="821"/>
      <c r="AH27" s="821"/>
      <c r="AI27" s="821"/>
      <c r="AJ27" s="821"/>
    </row>
    <row r="28" spans="1:37" ht="15">
      <c r="A28" s="661"/>
      <c r="B28" s="662" t="s">
        <v>2093</v>
      </c>
      <c r="C28" s="663" t="s">
        <v>2094</v>
      </c>
      <c r="D28" s="663" t="s">
        <v>506</v>
      </c>
      <c r="E28" s="664" t="s">
        <v>2095</v>
      </c>
      <c r="F28" s="665"/>
      <c r="G28" s="595"/>
      <c r="H28" s="595"/>
      <c r="I28" s="595"/>
      <c r="J28" s="734"/>
      <c r="K28" s="550"/>
      <c r="L28" s="781" t="s">
        <v>2064</v>
      </c>
      <c r="M28" s="782">
        <f>ROUND($E$20*(1+M27),3)</f>
        <v>5.3999999999999999E-2</v>
      </c>
      <c r="N28" s="782">
        <f>ROUND($E$20*(1+N27),3)</f>
        <v>5.1999999999999998E-2</v>
      </c>
      <c r="O28" s="782">
        <f>ROUND($E$20*(1+O27),3)</f>
        <v>0.05</v>
      </c>
      <c r="P28" s="783">
        <f>ROUND($E$20*(1+P27),3)</f>
        <v>4.8000000000000001E-2</v>
      </c>
      <c r="Q28" s="807"/>
      <c r="R28" s="807"/>
      <c r="S28" s="807"/>
      <c r="T28" s="689"/>
      <c r="U28" s="689"/>
      <c r="V28" s="689"/>
      <c r="W28" s="550"/>
      <c r="X28" s="550"/>
      <c r="Y28" s="550"/>
      <c r="Z28" s="746"/>
      <c r="AA28" s="746"/>
      <c r="AB28" s="746"/>
      <c r="AC28" s="746"/>
      <c r="AD28" s="746"/>
      <c r="AE28" s="689"/>
      <c r="AF28" s="689"/>
      <c r="AG28" s="821"/>
      <c r="AH28" s="821"/>
      <c r="AI28" s="821"/>
      <c r="AJ28" s="821"/>
    </row>
    <row r="29" spans="1:37" ht="22.5" customHeight="1">
      <c r="A29" s="666"/>
      <c r="B29" s="667" t="s">
        <v>2096</v>
      </c>
      <c r="C29" s="668" t="e">
        <f>ROUND(C5*C18*C19*C20*C21*C24,0)</f>
        <v>#DIV/0!</v>
      </c>
      <c r="D29" s="669"/>
      <c r="E29" s="670" t="e">
        <f>ROUND(C29*D29/10000,0)</f>
        <v>#DIV/0!</v>
      </c>
      <c r="F29" s="671" t="s">
        <v>2097</v>
      </c>
      <c r="G29" s="672"/>
      <c r="H29" s="672"/>
      <c r="I29" s="672"/>
      <c r="J29" s="784"/>
      <c r="K29" s="550"/>
      <c r="L29" s="550"/>
      <c r="M29" s="550"/>
      <c r="N29" s="550"/>
      <c r="O29" s="748"/>
      <c r="P29" s="748"/>
      <c r="Q29" s="807"/>
      <c r="R29" s="807"/>
      <c r="S29" s="807"/>
      <c r="T29" s="689"/>
      <c r="U29" s="689"/>
      <c r="V29" s="689"/>
      <c r="W29" s="550"/>
      <c r="X29" s="550"/>
      <c r="Y29" s="550"/>
      <c r="Z29" s="746"/>
      <c r="AA29" s="746"/>
      <c r="AB29" s="746"/>
      <c r="AC29" s="746"/>
      <c r="AD29" s="746"/>
      <c r="AE29" s="550"/>
      <c r="AF29" s="550"/>
      <c r="AG29" s="551"/>
      <c r="AH29" s="551"/>
      <c r="AI29" s="551"/>
      <c r="AJ29" s="551"/>
    </row>
    <row r="30" spans="1:37" ht="24.75">
      <c r="A30" s="673"/>
      <c r="B30" s="674" t="s">
        <v>2098</v>
      </c>
      <c r="C30" s="607" t="e">
        <f>ROUND(IF(E2="工业",C29*M39,C29*M38),0)</f>
        <v>#DIV/0!</v>
      </c>
      <c r="D30" s="675"/>
      <c r="E30" s="670" t="e">
        <f>ROUND(C30*D30/10000,0)</f>
        <v>#DIV/0!</v>
      </c>
      <c r="F30" s="676" t="s">
        <v>2099</v>
      </c>
      <c r="G30" s="677"/>
      <c r="H30" s="677"/>
      <c r="I30" s="677"/>
      <c r="J30" s="785"/>
      <c r="K30" s="550"/>
      <c r="L30" s="550"/>
      <c r="M30" s="550"/>
      <c r="N30" s="550"/>
      <c r="O30" s="748"/>
      <c r="P30" s="748"/>
      <c r="Q30" s="807"/>
      <c r="R30" s="807"/>
      <c r="S30" s="807"/>
      <c r="T30" s="689"/>
      <c r="U30" s="689"/>
      <c r="V30" s="689"/>
      <c r="W30" s="550"/>
      <c r="X30" s="550"/>
      <c r="Y30" s="550"/>
      <c r="Z30" s="746"/>
      <c r="AA30" s="746"/>
      <c r="AB30" s="746"/>
      <c r="AC30" s="746"/>
      <c r="AD30" s="746"/>
      <c r="AE30" s="550"/>
      <c r="AF30" s="550"/>
      <c r="AG30" s="551"/>
      <c r="AH30" s="551"/>
      <c r="AI30" s="551"/>
      <c r="AJ30" s="551"/>
    </row>
    <row r="31" spans="1:37" ht="14.25">
      <c r="A31" s="678"/>
      <c r="B31" s="679" t="s">
        <v>2100</v>
      </c>
      <c r="C31" s="680" t="s">
        <v>2101</v>
      </c>
      <c r="D31" s="595"/>
      <c r="E31" s="680"/>
      <c r="F31" s="680"/>
      <c r="G31" s="593" t="s">
        <v>2099</v>
      </c>
      <c r="H31" s="595"/>
      <c r="I31" s="786"/>
      <c r="J31" s="734"/>
      <c r="K31" s="550"/>
      <c r="L31" s="550"/>
      <c r="M31" s="550"/>
      <c r="N31" s="550"/>
      <c r="O31" s="748"/>
      <c r="P31" s="748"/>
      <c r="Q31" s="807"/>
      <c r="R31" s="807"/>
      <c r="S31" s="807"/>
      <c r="T31" s="689"/>
      <c r="U31" s="689"/>
      <c r="V31" s="689"/>
      <c r="W31" s="550"/>
      <c r="X31" s="550"/>
      <c r="Y31" s="550"/>
      <c r="Z31" s="746"/>
      <c r="AA31" s="746"/>
      <c r="AB31" s="746"/>
      <c r="AC31" s="746"/>
      <c r="AD31" s="746"/>
      <c r="AE31" s="550"/>
      <c r="AF31" s="550"/>
      <c r="AG31" s="551"/>
      <c r="AH31" s="551"/>
      <c r="AI31" s="551"/>
      <c r="AJ31" s="551"/>
    </row>
    <row r="32" spans="1:37" ht="24">
      <c r="A32" s="666"/>
      <c r="B32" s="681"/>
      <c r="C32" s="682" t="s">
        <v>2094</v>
      </c>
      <c r="D32" s="683" t="s">
        <v>506</v>
      </c>
      <c r="E32" s="683" t="s">
        <v>2095</v>
      </c>
      <c r="F32" s="557" t="s">
        <v>2102</v>
      </c>
      <c r="G32" s="684" t="s">
        <v>2094</v>
      </c>
      <c r="H32" s="684" t="s">
        <v>506</v>
      </c>
      <c r="I32" s="684" t="s">
        <v>2095</v>
      </c>
      <c r="J32" s="196"/>
      <c r="K32" s="550"/>
      <c r="L32" s="550"/>
      <c r="M32" s="550"/>
      <c r="N32" s="550"/>
      <c r="O32" s="748"/>
      <c r="P32" s="748"/>
      <c r="Q32" s="807"/>
      <c r="R32" s="807"/>
      <c r="S32" s="807"/>
      <c r="T32" s="689"/>
      <c r="U32" s="689"/>
      <c r="V32" s="689"/>
      <c r="W32" s="550"/>
      <c r="X32" s="550"/>
      <c r="Y32" s="550"/>
      <c r="Z32" s="746"/>
      <c r="AA32" s="746"/>
      <c r="AB32" s="746"/>
      <c r="AC32" s="746"/>
      <c r="AD32" s="746"/>
      <c r="AE32" s="550"/>
      <c r="AF32" s="550"/>
      <c r="AG32" s="551"/>
      <c r="AH32" s="551"/>
      <c r="AI32" s="551"/>
      <c r="AJ32" s="551"/>
    </row>
    <row r="33" spans="1:37" ht="36" customHeight="1">
      <c r="A33" s="3448"/>
      <c r="B33" s="685" t="s">
        <v>2103</v>
      </c>
      <c r="C33" s="668" t="e">
        <f>ROUND(D5*C19*C20*C24*F33,0)</f>
        <v>#DIV/0!</v>
      </c>
      <c r="D33" s="669"/>
      <c r="E33" s="562" t="e">
        <f>ROUND(C33*D33/10000,0)</f>
        <v>#DIV/0!</v>
      </c>
      <c r="F33" s="562">
        <f>SUMIF(修正!A57:A68,G2,修正!B57:B68)</f>
        <v>0</v>
      </c>
      <c r="G33" s="562" t="e">
        <f t="shared" ref="G33" si="6">ROUND(IF(E2="工业",C33*$M$39,C33*$M$38),0)</f>
        <v>#DIV/0!</v>
      </c>
      <c r="H33" s="562">
        <f>D33</f>
        <v>0</v>
      </c>
      <c r="I33" s="562" t="e">
        <f>ROUND(G33*H33/10000,0)</f>
        <v>#DIV/0!</v>
      </c>
      <c r="J33" s="3457" t="s">
        <v>2104</v>
      </c>
      <c r="K33" s="550"/>
      <c r="L33" s="550"/>
      <c r="M33" s="550"/>
      <c r="N33" s="550"/>
      <c r="O33" s="748"/>
      <c r="P33" s="748"/>
      <c r="Q33" s="807"/>
      <c r="R33" s="807"/>
      <c r="S33" s="807"/>
      <c r="T33" s="689"/>
      <c r="U33" s="689"/>
      <c r="V33" s="689"/>
      <c r="W33" s="550"/>
      <c r="X33" s="550"/>
      <c r="Y33" s="550"/>
      <c r="Z33" s="746"/>
      <c r="AA33" s="746"/>
      <c r="AB33" s="746"/>
      <c r="AC33" s="746"/>
      <c r="AD33" s="746"/>
      <c r="AE33" s="689"/>
      <c r="AF33" s="689"/>
      <c r="AG33" s="821"/>
      <c r="AH33" s="821"/>
      <c r="AI33" s="821"/>
      <c r="AJ33" s="821"/>
    </row>
    <row r="34" spans="1:37" ht="14.25">
      <c r="A34" s="3449"/>
      <c r="B34" s="597" t="s">
        <v>2105</v>
      </c>
      <c r="C34" s="668" t="e">
        <f>ROUND(D5*C19*C20*C24*F34,0)</f>
        <v>#DIV/0!</v>
      </c>
      <c r="D34" s="669"/>
      <c r="E34" s="562" t="e">
        <f t="shared" ref="E34:E39" si="7">ROUND(C34*D34/10000,0)</f>
        <v>#DIV/0!</v>
      </c>
      <c r="F34" s="562">
        <f>SUMIF(修正!A57:A68,G2,修正!C57:C68)</f>
        <v>0</v>
      </c>
      <c r="G34" s="562" t="e">
        <f>ROUND(IF(E2="工业",C34*$M$39,C34*$M$38),0)</f>
        <v>#DIV/0!</v>
      </c>
      <c r="H34" s="562">
        <f t="shared" ref="H34:H39" si="8">D34</f>
        <v>0</v>
      </c>
      <c r="I34" s="562" t="e">
        <f t="shared" ref="I34:I39" si="9">ROUND(G34*H34/10000,0)</f>
        <v>#DIV/0!</v>
      </c>
      <c r="J34" s="3449"/>
      <c r="K34" s="550"/>
      <c r="L34" s="550"/>
      <c r="M34" s="550"/>
      <c r="N34" s="550"/>
      <c r="O34" s="748"/>
      <c r="P34" s="748"/>
      <c r="Q34" s="807"/>
      <c r="R34" s="807"/>
      <c r="S34" s="807"/>
      <c r="T34" s="689"/>
      <c r="U34" s="689"/>
      <c r="V34" s="689"/>
      <c r="W34" s="550"/>
      <c r="X34" s="550"/>
      <c r="Y34" s="550"/>
      <c r="Z34" s="746"/>
      <c r="AA34" s="746"/>
      <c r="AB34" s="746"/>
      <c r="AC34" s="746"/>
      <c r="AD34" s="746"/>
      <c r="AE34" s="689"/>
      <c r="AF34" s="689"/>
      <c r="AG34" s="821"/>
      <c r="AH34" s="821"/>
      <c r="AI34" s="821"/>
      <c r="AJ34" s="821"/>
    </row>
    <row r="35" spans="1:37">
      <c r="A35" s="3449"/>
      <c r="B35" s="597" t="s">
        <v>2106</v>
      </c>
      <c r="C35" s="668" t="e">
        <f>ROUND(D5*C19*C20*C24*F35,0)</f>
        <v>#DIV/0!</v>
      </c>
      <c r="D35" s="669"/>
      <c r="E35" s="562" t="e">
        <f t="shared" si="7"/>
        <v>#DIV/0!</v>
      </c>
      <c r="F35" s="562">
        <f>SUMIF(修正!A57:A68,G2,修正!D57:D68)</f>
        <v>0</v>
      </c>
      <c r="G35" s="562" t="e">
        <f>ROUND(IF(E2="工业",C35*$M$39,C35*$M$38),0)</f>
        <v>#DIV/0!</v>
      </c>
      <c r="H35" s="562">
        <f t="shared" si="8"/>
        <v>0</v>
      </c>
      <c r="I35" s="562" t="e">
        <f t="shared" si="9"/>
        <v>#DIV/0!</v>
      </c>
      <c r="J35" s="3449"/>
      <c r="K35" s="550"/>
      <c r="L35" s="550"/>
      <c r="M35" s="550"/>
      <c r="N35" s="550"/>
      <c r="O35" s="550"/>
      <c r="P35" s="550"/>
      <c r="Q35" s="550"/>
      <c r="R35" s="550"/>
      <c r="S35" s="550"/>
      <c r="T35" s="550"/>
      <c r="U35" s="550"/>
      <c r="V35" s="550"/>
      <c r="W35" s="550"/>
      <c r="X35" s="550"/>
      <c r="Y35" s="550"/>
      <c r="Z35" s="689"/>
      <c r="AA35" s="689"/>
      <c r="AB35" s="689"/>
      <c r="AC35" s="689"/>
      <c r="AD35" s="689"/>
      <c r="AE35" s="689"/>
      <c r="AF35" s="689"/>
      <c r="AG35" s="821"/>
      <c r="AH35" s="821"/>
      <c r="AI35" s="821"/>
      <c r="AJ35" s="821"/>
    </row>
    <row r="36" spans="1:37">
      <c r="A36" s="3450"/>
      <c r="B36" s="597" t="s">
        <v>2107</v>
      </c>
      <c r="C36" s="668" t="e">
        <f>ROUND(D5*C19*C20*C24*F36,0)</f>
        <v>#DIV/0!</v>
      </c>
      <c r="D36" s="669"/>
      <c r="E36" s="562" t="e">
        <f t="shared" si="7"/>
        <v>#DIV/0!</v>
      </c>
      <c r="F36" s="562" t="e">
        <f>SUMIF(修正!A57:A68,G2,修正!#REF!)</f>
        <v>#REF!</v>
      </c>
      <c r="G36" s="562" t="e">
        <f>ROUND(IF(E2="工业",C36*$M$39,C36*$M$38),0)</f>
        <v>#DIV/0!</v>
      </c>
      <c r="H36" s="562">
        <f t="shared" si="8"/>
        <v>0</v>
      </c>
      <c r="I36" s="562" t="e">
        <f t="shared" si="9"/>
        <v>#DIV/0!</v>
      </c>
      <c r="J36" s="3450"/>
      <c r="K36" s="550"/>
      <c r="L36" s="551"/>
      <c r="M36" s="551"/>
      <c r="N36" s="550"/>
      <c r="O36" s="550"/>
      <c r="P36" s="550"/>
      <c r="Q36" s="550"/>
      <c r="R36" s="550"/>
      <c r="S36" s="550"/>
      <c r="T36" s="550"/>
      <c r="U36" s="550"/>
      <c r="V36" s="550"/>
      <c r="W36" s="550"/>
      <c r="X36" s="550"/>
      <c r="Y36" s="550"/>
      <c r="Z36" s="689"/>
      <c r="AA36" s="689"/>
      <c r="AB36" s="689"/>
      <c r="AC36" s="689"/>
      <c r="AD36" s="689"/>
      <c r="AE36" s="689"/>
      <c r="AF36" s="689"/>
      <c r="AG36" s="821"/>
      <c r="AH36" s="821"/>
      <c r="AI36" s="821"/>
      <c r="AJ36" s="821"/>
    </row>
    <row r="37" spans="1:37">
      <c r="A37" s="686"/>
      <c r="B37" s="597" t="s">
        <v>2108</v>
      </c>
      <c r="C37" s="562" t="e">
        <f>ROUND(D5*C19*C20*C24*F37,0)</f>
        <v>#DIV/0!</v>
      </c>
      <c r="D37" s="669"/>
      <c r="E37" s="562" t="e">
        <f t="shared" si="7"/>
        <v>#DIV/0!</v>
      </c>
      <c r="F37" s="668">
        <f>SUMIF(修正!A57:A68,G2,修正!E57:E68)</f>
        <v>0</v>
      </c>
      <c r="G37" s="562" t="e">
        <f>ROUND(IF(E2="工业",C37*$M$39,C37*$M$38),0)</f>
        <v>#DIV/0!</v>
      </c>
      <c r="H37" s="562">
        <f t="shared" si="8"/>
        <v>0</v>
      </c>
      <c r="I37" s="562" t="e">
        <f t="shared" si="9"/>
        <v>#DIV/0!</v>
      </c>
      <c r="J37" s="320"/>
      <c r="K37" s="550"/>
      <c r="L37" s="787" t="s">
        <v>2109</v>
      </c>
      <c r="M37" s="788"/>
      <c r="N37" s="550"/>
      <c r="O37" s="550"/>
      <c r="P37" s="550"/>
      <c r="Q37" s="550"/>
      <c r="R37" s="550"/>
      <c r="S37" s="550"/>
      <c r="T37" s="550"/>
      <c r="U37" s="550"/>
      <c r="V37" s="550"/>
      <c r="W37" s="550"/>
      <c r="X37" s="550"/>
      <c r="Y37" s="550"/>
      <c r="Z37" s="689"/>
      <c r="AA37" s="689"/>
      <c r="AB37" s="689"/>
      <c r="AC37" s="689"/>
      <c r="AD37" s="689"/>
      <c r="AE37" s="689"/>
      <c r="AF37" s="689"/>
      <c r="AG37" s="821"/>
      <c r="AH37" s="821"/>
      <c r="AI37" s="821"/>
      <c r="AJ37" s="821"/>
    </row>
    <row r="38" spans="1:37">
      <c r="A38" s="686"/>
      <c r="B38" s="597" t="s">
        <v>2110</v>
      </c>
      <c r="C38" s="562" t="e">
        <f>ROUND(D5*C19*C41*C24*F38,0)</f>
        <v>#DIV/0!</v>
      </c>
      <c r="D38" s="669"/>
      <c r="E38" s="562" t="e">
        <f t="shared" si="7"/>
        <v>#DIV/0!</v>
      </c>
      <c r="F38" s="668">
        <f>SUMIF(修正!A57:A68,G2,修正!F57:F68)</f>
        <v>0</v>
      </c>
      <c r="G38" s="562" t="e">
        <f>ROUND(IF(E2="工业",C38*$M$39,C38*$M$38),0)</f>
        <v>#DIV/0!</v>
      </c>
      <c r="H38" s="562">
        <f t="shared" si="8"/>
        <v>0</v>
      </c>
      <c r="I38" s="562" t="e">
        <f t="shared" si="9"/>
        <v>#DIV/0!</v>
      </c>
      <c r="J38" s="320"/>
      <c r="K38" s="550"/>
      <c r="L38" s="789" t="s">
        <v>2111</v>
      </c>
      <c r="M38" s="790">
        <v>0.25</v>
      </c>
      <c r="N38" s="550"/>
      <c r="O38" s="550"/>
      <c r="P38" s="550"/>
      <c r="Q38" s="550"/>
      <c r="R38" s="550"/>
      <c r="S38" s="550"/>
      <c r="T38" s="550"/>
      <c r="U38" s="550"/>
      <c r="V38" s="550"/>
      <c r="W38" s="550"/>
      <c r="X38" s="550"/>
      <c r="Y38" s="550"/>
      <c r="Z38" s="689"/>
      <c r="AA38" s="689"/>
      <c r="AB38" s="689"/>
      <c r="AC38" s="689"/>
      <c r="AD38" s="689"/>
    </row>
    <row r="39" spans="1:37">
      <c r="A39" s="673"/>
      <c r="B39" s="687" t="s">
        <v>2112</v>
      </c>
      <c r="C39" s="607" t="e">
        <f>ROUND(D5*C19*C41*C24*F39,0)</f>
        <v>#DIV/0!</v>
      </c>
      <c r="D39" s="675"/>
      <c r="E39" s="607" t="e">
        <f t="shared" si="7"/>
        <v>#DIV/0!</v>
      </c>
      <c r="F39" s="688">
        <f>SUMIF(修正!A57:A68,G2,修正!G57:G68)</f>
        <v>0</v>
      </c>
      <c r="G39" s="607" t="e">
        <f>ROUND(IF(E2="工业",C39*$M$39,C39*$M$38),0)</f>
        <v>#DIV/0!</v>
      </c>
      <c r="H39" s="607">
        <f t="shared" si="8"/>
        <v>0</v>
      </c>
      <c r="I39" s="607" t="e">
        <f t="shared" si="9"/>
        <v>#DIV/0!</v>
      </c>
      <c r="J39" s="791"/>
      <c r="K39" s="550"/>
      <c r="L39" s="792" t="s">
        <v>2090</v>
      </c>
      <c r="M39" s="793">
        <v>0.15</v>
      </c>
      <c r="N39" s="550"/>
      <c r="O39" s="550"/>
      <c r="P39" s="550"/>
      <c r="Q39" s="550"/>
      <c r="R39" s="550"/>
      <c r="S39" s="550"/>
      <c r="T39" s="550"/>
      <c r="U39" s="550"/>
      <c r="V39" s="550"/>
      <c r="W39" s="550"/>
      <c r="X39" s="550"/>
      <c r="Y39" s="550"/>
      <c r="Z39" s="689"/>
      <c r="AA39" s="689"/>
      <c r="AB39" s="689"/>
      <c r="AC39" s="689"/>
      <c r="AD39" s="689"/>
    </row>
    <row r="40" spans="1:37" s="550" customFormat="1">
      <c r="Z40" s="689"/>
      <c r="AA40" s="689"/>
      <c r="AB40" s="689"/>
      <c r="AC40" s="689"/>
      <c r="AD40" s="689"/>
      <c r="AE40" s="689"/>
      <c r="AF40" s="689"/>
      <c r="AG40" s="689"/>
      <c r="AH40" s="689"/>
      <c r="AI40" s="689"/>
      <c r="AJ40" s="689"/>
    </row>
    <row r="41" spans="1:37" s="550" customFormat="1">
      <c r="A41" s="689"/>
      <c r="B41" s="690" t="s">
        <v>2113</v>
      </c>
      <c r="C41" s="557" t="e">
        <f>ROUND(POWER(1+E41,H41-G41)*(POWER(1+E41,G41)-1)/(POWER(1+E41,H41)-1),4)</f>
        <v>#DIV/0!</v>
      </c>
      <c r="D41" s="562" t="s">
        <v>2064</v>
      </c>
      <c r="E41" s="691">
        <f>G20</f>
        <v>0</v>
      </c>
      <c r="F41" s="562" t="s">
        <v>2065</v>
      </c>
      <c r="G41" s="692"/>
      <c r="H41" s="562">
        <v>50</v>
      </c>
      <c r="Z41" s="689"/>
      <c r="AA41" s="689"/>
      <c r="AB41" s="689"/>
      <c r="AC41" s="689"/>
      <c r="AD41" s="689"/>
      <c r="AE41" s="689"/>
      <c r="AF41" s="689"/>
      <c r="AG41" s="689"/>
      <c r="AH41" s="689"/>
      <c r="AI41" s="689"/>
      <c r="AJ41" s="689"/>
    </row>
    <row r="42" spans="1:37" s="550" customFormat="1">
      <c r="A42" s="689"/>
      <c r="B42" s="693"/>
      <c r="Z42" s="689"/>
      <c r="AA42" s="689"/>
      <c r="AB42" s="689"/>
      <c r="AC42" s="689"/>
      <c r="AD42" s="689"/>
      <c r="AE42" s="689"/>
      <c r="AF42" s="689"/>
      <c r="AG42" s="689"/>
      <c r="AH42" s="689"/>
      <c r="AI42" s="689"/>
      <c r="AJ42" s="689"/>
    </row>
    <row r="43" spans="1:37" s="550" customFormat="1">
      <c r="A43" s="689"/>
      <c r="B43" s="693"/>
      <c r="Z43" s="689"/>
      <c r="AA43" s="689"/>
      <c r="AB43" s="689"/>
      <c r="AC43" s="689"/>
      <c r="AD43" s="689"/>
      <c r="AE43" s="689"/>
      <c r="AF43" s="689"/>
      <c r="AG43" s="689"/>
      <c r="AH43" s="689"/>
      <c r="AI43" s="689"/>
      <c r="AJ43" s="689"/>
    </row>
    <row r="44" spans="1:37" s="550" customFormat="1">
      <c r="A44" s="689"/>
      <c r="B44" s="693"/>
      <c r="Z44" s="689"/>
      <c r="AA44" s="689"/>
      <c r="AB44" s="689"/>
      <c r="AC44" s="689"/>
      <c r="AD44" s="689"/>
      <c r="AE44" s="689"/>
      <c r="AF44" s="689"/>
      <c r="AG44" s="689"/>
      <c r="AH44" s="689"/>
      <c r="AI44" s="689"/>
      <c r="AJ44" s="689"/>
    </row>
    <row r="45" spans="1:37" s="550" customFormat="1" ht="15">
      <c r="A45" s="694" t="s">
        <v>2114</v>
      </c>
      <c r="B45" s="695"/>
      <c r="C45" s="465"/>
      <c r="D45" s="465"/>
      <c r="E45" s="465"/>
      <c r="F45" s="696"/>
      <c r="G45" s="696"/>
      <c r="H45" s="696"/>
      <c r="I45" s="794"/>
      <c r="J45" s="794"/>
      <c r="K45" s="794"/>
      <c r="L45" s="794"/>
      <c r="M45" s="794"/>
      <c r="Z45" s="689"/>
      <c r="AA45" s="689"/>
      <c r="AB45" s="689"/>
      <c r="AC45" s="689"/>
      <c r="AD45" s="689"/>
      <c r="AE45" s="689"/>
      <c r="AF45" s="689"/>
      <c r="AG45" s="689"/>
      <c r="AH45" s="689"/>
      <c r="AI45" s="689"/>
      <c r="AJ45" s="689"/>
    </row>
    <row r="46" spans="1:37" s="550" customFormat="1" ht="15">
      <c r="A46" s="697" t="s">
        <v>2115</v>
      </c>
      <c r="B46" s="698">
        <f>1+E48</f>
        <v>1</v>
      </c>
      <c r="C46" s="699"/>
      <c r="D46" s="700"/>
      <c r="E46" s="701"/>
      <c r="F46" s="702"/>
      <c r="G46" s="696"/>
      <c r="H46" s="465"/>
      <c r="I46" s="794"/>
      <c r="J46" s="794"/>
      <c r="K46" s="794"/>
      <c r="L46" s="794"/>
      <c r="M46" s="794"/>
      <c r="Z46" s="689"/>
      <c r="AA46" s="689"/>
      <c r="AB46" s="689"/>
      <c r="AC46" s="689"/>
      <c r="AD46" s="689"/>
      <c r="AE46" s="689"/>
      <c r="AF46" s="689"/>
      <c r="AG46" s="689"/>
      <c r="AH46" s="689"/>
      <c r="AI46" s="689"/>
      <c r="AJ46" s="689"/>
    </row>
    <row r="47" spans="1:37" s="550" customFormat="1" ht="24.75">
      <c r="A47" s="703" t="s">
        <v>2116</v>
      </c>
      <c r="B47" s="704" t="s">
        <v>2117</v>
      </c>
      <c r="C47" s="704" t="s">
        <v>2118</v>
      </c>
      <c r="D47" s="704" t="s">
        <v>2119</v>
      </c>
      <c r="E47" s="705" t="s">
        <v>2120</v>
      </c>
      <c r="F47" s="706" t="s">
        <v>2121</v>
      </c>
      <c r="G47" s="704" t="s">
        <v>2051</v>
      </c>
      <c r="H47" s="707" t="s">
        <v>2122</v>
      </c>
      <c r="I47" s="704" t="s">
        <v>2123</v>
      </c>
      <c r="J47" s="795" t="s">
        <v>1028</v>
      </c>
      <c r="K47" s="795" t="s">
        <v>1029</v>
      </c>
      <c r="L47" s="795" t="s">
        <v>1030</v>
      </c>
      <c r="M47" s="795" t="s">
        <v>1031</v>
      </c>
      <c r="N47" s="795" t="s">
        <v>1032</v>
      </c>
      <c r="AA47" s="689"/>
      <c r="AB47" s="689"/>
      <c r="AC47" s="689"/>
      <c r="AD47" s="689"/>
      <c r="AE47" s="689"/>
      <c r="AF47" s="689"/>
      <c r="AG47" s="689"/>
      <c r="AH47" s="689"/>
      <c r="AI47" s="689"/>
      <c r="AJ47" s="689"/>
      <c r="AK47" s="689"/>
    </row>
    <row r="48" spans="1:37" s="550" customFormat="1" ht="24.75">
      <c r="A48" s="703" t="s">
        <v>2124</v>
      </c>
      <c r="B48" s="708" t="str">
        <f>估价对象房地状况!C4</f>
        <v>较差</v>
      </c>
      <c r="C48" s="603"/>
      <c r="D48" s="709">
        <f t="shared" ref="D48:D56" si="10">SUMIF($J$47:$N$47,C48,J48:N48)</f>
        <v>0</v>
      </c>
      <c r="E48" s="710">
        <f>ROUND(SUM(D48:D56),4)</f>
        <v>0</v>
      </c>
      <c r="F48" s="711" t="str">
        <f>IF(E2="商业",SUMIF(L1:L12,G2,N1:N12),"——")</f>
        <v>——</v>
      </c>
      <c r="G48" s="712"/>
      <c r="H48" s="713" t="str">
        <f t="shared" ref="H48:H56" si="11">IFERROR(ROUNDDOWN($F$48*I48/2,4),"——")</f>
        <v>——</v>
      </c>
      <c r="I48" s="796">
        <v>0.33</v>
      </c>
      <c r="J48" s="797">
        <f t="shared" ref="J48:J56" si="12">K48+$G48</f>
        <v>0</v>
      </c>
      <c r="K48" s="797">
        <f t="shared" ref="K48:K56" si="13">$L48+$G48</f>
        <v>0</v>
      </c>
      <c r="L48" s="797">
        <v>0</v>
      </c>
      <c r="M48" s="797">
        <f t="shared" ref="M48:N56" si="14">L48-$G48</f>
        <v>0</v>
      </c>
      <c r="N48" s="797">
        <f t="shared" si="14"/>
        <v>0</v>
      </c>
      <c r="AA48" s="689"/>
      <c r="AB48" s="689"/>
      <c r="AC48" s="689"/>
      <c r="AD48" s="689"/>
      <c r="AE48" s="689"/>
      <c r="AF48" s="689"/>
      <c r="AG48" s="689"/>
      <c r="AH48" s="689"/>
      <c r="AI48" s="689"/>
      <c r="AJ48" s="689"/>
      <c r="AK48" s="689"/>
    </row>
    <row r="49" spans="1:37" s="550" customFormat="1" ht="14.25">
      <c r="A49" s="703" t="s">
        <v>2125</v>
      </c>
      <c r="B49" s="704" t="str">
        <f>估价对象房地状况!C18</f>
        <v>一般</v>
      </c>
      <c r="C49" s="603"/>
      <c r="D49" s="709">
        <f t="shared" si="10"/>
        <v>0</v>
      </c>
      <c r="E49" s="714"/>
      <c r="F49" s="711"/>
      <c r="G49" s="712"/>
      <c r="H49" s="713" t="str">
        <f t="shared" si="11"/>
        <v>——</v>
      </c>
      <c r="I49" s="796">
        <v>0.25</v>
      </c>
      <c r="J49" s="797">
        <f t="shared" si="12"/>
        <v>0</v>
      </c>
      <c r="K49" s="797">
        <f t="shared" si="13"/>
        <v>0</v>
      </c>
      <c r="L49" s="797">
        <v>0</v>
      </c>
      <c r="M49" s="797">
        <f t="shared" si="14"/>
        <v>0</v>
      </c>
      <c r="N49" s="797">
        <f t="shared" si="14"/>
        <v>0</v>
      </c>
      <c r="AA49" s="689"/>
      <c r="AB49" s="689"/>
      <c r="AC49" s="689"/>
      <c r="AD49" s="689"/>
      <c r="AE49" s="689"/>
      <c r="AF49" s="689"/>
      <c r="AG49" s="689"/>
      <c r="AH49" s="689"/>
      <c r="AI49" s="689"/>
      <c r="AJ49" s="689"/>
      <c r="AK49" s="689"/>
    </row>
    <row r="50" spans="1:37" s="550" customFormat="1" ht="24">
      <c r="A50" s="703" t="s">
        <v>2126</v>
      </c>
      <c r="B50" s="704">
        <f>估价对象房地状况!C19</f>
        <v>0</v>
      </c>
      <c r="C50" s="603"/>
      <c r="D50" s="709">
        <f t="shared" si="10"/>
        <v>0</v>
      </c>
      <c r="E50" s="714"/>
      <c r="F50" s="711"/>
      <c r="G50" s="712"/>
      <c r="H50" s="713" t="str">
        <f t="shared" si="11"/>
        <v>——</v>
      </c>
      <c r="I50" s="796">
        <v>0.05</v>
      </c>
      <c r="J50" s="797">
        <f t="shared" si="12"/>
        <v>0</v>
      </c>
      <c r="K50" s="797">
        <f t="shared" si="13"/>
        <v>0</v>
      </c>
      <c r="L50" s="797">
        <v>0</v>
      </c>
      <c r="M50" s="797">
        <f t="shared" si="14"/>
        <v>0</v>
      </c>
      <c r="N50" s="797">
        <f t="shared" si="14"/>
        <v>0</v>
      </c>
      <c r="AA50" s="689"/>
      <c r="AB50" s="689"/>
      <c r="AC50" s="689"/>
      <c r="AD50" s="689"/>
      <c r="AE50" s="689"/>
      <c r="AF50" s="689"/>
      <c r="AG50" s="689"/>
      <c r="AH50" s="689"/>
      <c r="AI50" s="689"/>
      <c r="AJ50" s="689"/>
      <c r="AK50" s="689"/>
    </row>
    <row r="51" spans="1:37" s="550" customFormat="1" ht="36.75">
      <c r="A51" s="703" t="s">
        <v>2127</v>
      </c>
      <c r="B51" s="715" t="s">
        <v>2128</v>
      </c>
      <c r="C51" s="603"/>
      <c r="D51" s="709">
        <f t="shared" si="10"/>
        <v>0</v>
      </c>
      <c r="E51" s="714"/>
      <c r="F51" s="711"/>
      <c r="G51" s="712"/>
      <c r="H51" s="713" t="str">
        <f t="shared" si="11"/>
        <v>——</v>
      </c>
      <c r="I51" s="796">
        <v>0.05</v>
      </c>
      <c r="J51" s="797">
        <f t="shared" si="12"/>
        <v>0</v>
      </c>
      <c r="K51" s="797">
        <f t="shared" si="13"/>
        <v>0</v>
      </c>
      <c r="L51" s="797">
        <v>0</v>
      </c>
      <c r="M51" s="797">
        <f t="shared" si="14"/>
        <v>0</v>
      </c>
      <c r="N51" s="797">
        <f t="shared" si="14"/>
        <v>0</v>
      </c>
      <c r="AA51" s="689"/>
      <c r="AB51" s="689"/>
      <c r="AC51" s="689"/>
      <c r="AD51" s="689"/>
      <c r="AE51" s="689"/>
      <c r="AF51" s="689"/>
      <c r="AG51" s="689"/>
      <c r="AH51" s="689"/>
      <c r="AI51" s="689"/>
      <c r="AJ51" s="689"/>
      <c r="AK51" s="689"/>
    </row>
    <row r="52" spans="1:37" s="550" customFormat="1" ht="24">
      <c r="A52" s="703" t="s">
        <v>2129</v>
      </c>
      <c r="B52" s="704" t="str">
        <f>估价对象房地状况!C24</f>
        <v>次干道</v>
      </c>
      <c r="C52" s="603"/>
      <c r="D52" s="709">
        <f t="shared" si="10"/>
        <v>0</v>
      </c>
      <c r="E52" s="714"/>
      <c r="F52" s="711"/>
      <c r="G52" s="712"/>
      <c r="H52" s="713" t="str">
        <f t="shared" si="11"/>
        <v>——</v>
      </c>
      <c r="I52" s="796">
        <v>0.08</v>
      </c>
      <c r="J52" s="797">
        <f t="shared" si="12"/>
        <v>0</v>
      </c>
      <c r="K52" s="797">
        <f t="shared" si="13"/>
        <v>0</v>
      </c>
      <c r="L52" s="797">
        <v>0</v>
      </c>
      <c r="M52" s="797">
        <f t="shared" si="14"/>
        <v>0</v>
      </c>
      <c r="N52" s="797">
        <f t="shared" si="14"/>
        <v>0</v>
      </c>
      <c r="AA52" s="689"/>
      <c r="AB52" s="689"/>
      <c r="AC52" s="689"/>
      <c r="AD52" s="689"/>
      <c r="AE52" s="689"/>
      <c r="AF52" s="689"/>
      <c r="AG52" s="689"/>
      <c r="AH52" s="689"/>
      <c r="AI52" s="689"/>
      <c r="AJ52" s="689"/>
      <c r="AK52" s="689"/>
    </row>
    <row r="53" spans="1:37" s="550" customFormat="1" ht="24">
      <c r="A53" s="703" t="s">
        <v>2130</v>
      </c>
      <c r="B53" s="716" t="s">
        <v>2131</v>
      </c>
      <c r="C53" s="603"/>
      <c r="D53" s="709">
        <f t="shared" si="10"/>
        <v>0</v>
      </c>
      <c r="E53" s="714"/>
      <c r="F53" s="711"/>
      <c r="G53" s="712"/>
      <c r="H53" s="713" t="str">
        <f t="shared" si="11"/>
        <v>——</v>
      </c>
      <c r="I53" s="796">
        <v>0.03</v>
      </c>
      <c r="J53" s="797">
        <f t="shared" si="12"/>
        <v>0</v>
      </c>
      <c r="K53" s="797">
        <f t="shared" si="13"/>
        <v>0</v>
      </c>
      <c r="L53" s="797">
        <v>0</v>
      </c>
      <c r="M53" s="797">
        <f t="shared" si="14"/>
        <v>0</v>
      </c>
      <c r="N53" s="797">
        <f t="shared" si="14"/>
        <v>0</v>
      </c>
      <c r="AA53" s="689"/>
      <c r="AB53" s="689"/>
      <c r="AC53" s="689"/>
      <c r="AD53" s="689"/>
      <c r="AE53" s="689"/>
      <c r="AF53" s="689"/>
      <c r="AG53" s="689"/>
      <c r="AH53" s="689"/>
      <c r="AI53" s="689"/>
      <c r="AJ53" s="689"/>
      <c r="AK53" s="689"/>
    </row>
    <row r="54" spans="1:37" s="550" customFormat="1" ht="24">
      <c r="A54" s="717" t="s">
        <v>2132</v>
      </c>
      <c r="B54" s="263" t="str">
        <f>估价对象房地状况!C21</f>
        <v>一般</v>
      </c>
      <c r="C54" s="603"/>
      <c r="D54" s="709">
        <f t="shared" si="10"/>
        <v>0</v>
      </c>
      <c r="E54" s="714"/>
      <c r="F54" s="711"/>
      <c r="G54" s="712"/>
      <c r="H54" s="713" t="str">
        <f t="shared" si="11"/>
        <v>——</v>
      </c>
      <c r="I54" s="796">
        <v>0.05</v>
      </c>
      <c r="J54" s="797">
        <f t="shared" si="12"/>
        <v>0</v>
      </c>
      <c r="K54" s="797">
        <f t="shared" si="13"/>
        <v>0</v>
      </c>
      <c r="L54" s="797">
        <v>0</v>
      </c>
      <c r="M54" s="797">
        <f t="shared" si="14"/>
        <v>0</v>
      </c>
      <c r="N54" s="797">
        <f t="shared" si="14"/>
        <v>0</v>
      </c>
      <c r="AA54" s="689"/>
      <c r="AB54" s="689"/>
      <c r="AC54" s="689"/>
      <c r="AD54" s="689"/>
      <c r="AE54" s="689"/>
      <c r="AF54" s="689"/>
      <c r="AG54" s="689"/>
      <c r="AH54" s="689"/>
      <c r="AI54" s="689"/>
      <c r="AJ54" s="689"/>
      <c r="AK54" s="689"/>
    </row>
    <row r="55" spans="1:37" s="550" customFormat="1" ht="24">
      <c r="A55" s="717" t="s">
        <v>2133</v>
      </c>
      <c r="B55" s="704" t="str">
        <f>估价对象房地状况!C22</f>
        <v>七通</v>
      </c>
      <c r="C55" s="603"/>
      <c r="D55" s="709">
        <f t="shared" si="10"/>
        <v>0</v>
      </c>
      <c r="E55" s="714"/>
      <c r="F55" s="711"/>
      <c r="G55" s="712"/>
      <c r="H55" s="713" t="str">
        <f t="shared" si="11"/>
        <v>——</v>
      </c>
      <c r="I55" s="796">
        <v>0.1</v>
      </c>
      <c r="J55" s="797">
        <f t="shared" si="12"/>
        <v>0</v>
      </c>
      <c r="K55" s="797">
        <f t="shared" si="13"/>
        <v>0</v>
      </c>
      <c r="L55" s="797">
        <v>0</v>
      </c>
      <c r="M55" s="797">
        <f t="shared" si="14"/>
        <v>0</v>
      </c>
      <c r="N55" s="797">
        <f t="shared" si="14"/>
        <v>0</v>
      </c>
      <c r="AA55" s="689"/>
      <c r="AB55" s="689"/>
      <c r="AC55" s="689"/>
      <c r="AD55" s="689"/>
      <c r="AE55" s="689"/>
      <c r="AF55" s="689"/>
      <c r="AG55" s="689"/>
      <c r="AH55" s="689"/>
      <c r="AI55" s="689"/>
      <c r="AJ55" s="689"/>
      <c r="AK55" s="689"/>
    </row>
    <row r="56" spans="1:37" s="550" customFormat="1" ht="24">
      <c r="A56" s="718" t="s">
        <v>2134</v>
      </c>
      <c r="B56" s="719" t="str">
        <f>估价对象房地状况!C20</f>
        <v>一般</v>
      </c>
      <c r="C56" s="603"/>
      <c r="D56" s="709">
        <f t="shared" si="10"/>
        <v>0</v>
      </c>
      <c r="E56" s="720"/>
      <c r="F56" s="711"/>
      <c r="G56" s="712"/>
      <c r="H56" s="713" t="str">
        <f t="shared" si="11"/>
        <v>——</v>
      </c>
      <c r="I56" s="798">
        <v>0.06</v>
      </c>
      <c r="J56" s="797">
        <f t="shared" si="12"/>
        <v>0</v>
      </c>
      <c r="K56" s="797">
        <f t="shared" si="13"/>
        <v>0</v>
      </c>
      <c r="L56" s="797">
        <v>0</v>
      </c>
      <c r="M56" s="797">
        <f t="shared" si="14"/>
        <v>0</v>
      </c>
      <c r="N56" s="797">
        <f t="shared" si="14"/>
        <v>0</v>
      </c>
      <c r="AA56" s="689"/>
      <c r="AB56" s="689"/>
      <c r="AC56" s="689"/>
      <c r="AD56" s="689"/>
      <c r="AE56" s="689"/>
      <c r="AF56" s="689"/>
      <c r="AG56" s="689"/>
      <c r="AH56" s="689"/>
      <c r="AI56" s="689"/>
      <c r="AJ56" s="689"/>
      <c r="AK56" s="689"/>
    </row>
    <row r="57" spans="1:37" s="550" customFormat="1" ht="15">
      <c r="A57" s="697" t="s">
        <v>2135</v>
      </c>
      <c r="B57" s="698">
        <f>1+E59</f>
        <v>1</v>
      </c>
      <c r="C57" s="700"/>
      <c r="D57" s="700"/>
      <c r="E57" s="701"/>
      <c r="F57" s="702"/>
      <c r="G57" s="696"/>
      <c r="H57" s="696"/>
      <c r="I57" s="696"/>
      <c r="J57" s="465"/>
      <c r="K57" s="465"/>
      <c r="L57" s="465"/>
      <c r="M57" s="465"/>
      <c r="N57" s="465"/>
      <c r="AA57" s="689"/>
      <c r="AB57" s="689"/>
      <c r="AC57" s="689"/>
      <c r="AD57" s="689"/>
      <c r="AE57" s="689"/>
      <c r="AF57" s="689"/>
      <c r="AG57" s="689"/>
      <c r="AH57" s="689"/>
      <c r="AI57" s="689"/>
      <c r="AJ57" s="689"/>
      <c r="AK57" s="689"/>
    </row>
    <row r="58" spans="1:37" s="550" customFormat="1" ht="24.75">
      <c r="A58" s="703" t="s">
        <v>2116</v>
      </c>
      <c r="B58" s="704"/>
      <c r="C58" s="704" t="s">
        <v>2118</v>
      </c>
      <c r="D58" s="704" t="s">
        <v>2119</v>
      </c>
      <c r="E58" s="705" t="s">
        <v>2120</v>
      </c>
      <c r="F58" s="706" t="s">
        <v>2136</v>
      </c>
      <c r="G58" s="704" t="s">
        <v>2051</v>
      </c>
      <c r="H58" s="707" t="s">
        <v>2122</v>
      </c>
      <c r="I58" s="704" t="s">
        <v>2123</v>
      </c>
      <c r="J58" s="795" t="s">
        <v>1028</v>
      </c>
      <c r="K58" s="795" t="s">
        <v>1029</v>
      </c>
      <c r="L58" s="795" t="s">
        <v>1030</v>
      </c>
      <c r="M58" s="795" t="s">
        <v>1031</v>
      </c>
      <c r="N58" s="795" t="s">
        <v>1032</v>
      </c>
      <c r="AA58" s="689"/>
      <c r="AB58" s="689"/>
      <c r="AC58" s="689"/>
      <c r="AD58" s="689"/>
      <c r="AE58" s="689"/>
      <c r="AF58" s="689"/>
      <c r="AG58" s="689"/>
      <c r="AH58" s="689"/>
      <c r="AI58" s="689"/>
      <c r="AJ58" s="689"/>
      <c r="AK58" s="689"/>
    </row>
    <row r="59" spans="1:37" s="550" customFormat="1" ht="24">
      <c r="A59" s="703" t="s">
        <v>2137</v>
      </c>
      <c r="B59" s="708">
        <f>估价对象房地状况!C17</f>
        <v>0</v>
      </c>
      <c r="C59" s="603"/>
      <c r="D59" s="709">
        <f t="shared" ref="D59:D67" si="15">SUMIF($J$58:$N$58,C59,J59:N59)</f>
        <v>0</v>
      </c>
      <c r="E59" s="710">
        <f>ROUND(SUM(D59:D67),4)</f>
        <v>0</v>
      </c>
      <c r="F59" s="711" t="str">
        <f>IF(E2="办公",SUMIF(L1:L12,G2,N1:N12),"——")</f>
        <v>——</v>
      </c>
      <c r="G59" s="712"/>
      <c r="H59" s="713" t="str">
        <f t="shared" ref="H59:H67" si="16">IFERROR(ROUNDDOWN($F$59*I59/2,4),"——")</f>
        <v>——</v>
      </c>
      <c r="I59" s="796">
        <v>0.24</v>
      </c>
      <c r="J59" s="797">
        <f t="shared" ref="J59:J67" si="17">K59+$G59</f>
        <v>0</v>
      </c>
      <c r="K59" s="797">
        <f t="shared" ref="K59:K67" si="18">$L59+$G59</f>
        <v>0</v>
      </c>
      <c r="L59" s="797">
        <v>0</v>
      </c>
      <c r="M59" s="797">
        <f t="shared" ref="M59:N67" si="19">L59-$G59</f>
        <v>0</v>
      </c>
      <c r="N59" s="797">
        <f t="shared" si="19"/>
        <v>0</v>
      </c>
      <c r="AA59" s="689"/>
      <c r="AB59" s="689"/>
      <c r="AC59" s="689"/>
      <c r="AD59" s="689"/>
      <c r="AE59" s="689"/>
      <c r="AF59" s="689"/>
      <c r="AG59" s="689"/>
      <c r="AH59" s="689"/>
      <c r="AI59" s="689"/>
      <c r="AJ59" s="689"/>
      <c r="AK59" s="689"/>
    </row>
    <row r="60" spans="1:37" s="550" customFormat="1" ht="14.25">
      <c r="A60" s="703" t="s">
        <v>2125</v>
      </c>
      <c r="B60" s="704" t="str">
        <f>估价对象房地状况!C18</f>
        <v>一般</v>
      </c>
      <c r="C60" s="603"/>
      <c r="D60" s="709">
        <f t="shared" si="15"/>
        <v>0</v>
      </c>
      <c r="E60" s="714"/>
      <c r="F60" s="711"/>
      <c r="G60" s="712"/>
      <c r="H60" s="713" t="str">
        <f t="shared" si="16"/>
        <v>——</v>
      </c>
      <c r="I60" s="796">
        <v>0.3</v>
      </c>
      <c r="J60" s="797">
        <f t="shared" si="17"/>
        <v>0</v>
      </c>
      <c r="K60" s="797">
        <f t="shared" si="18"/>
        <v>0</v>
      </c>
      <c r="L60" s="797">
        <v>0</v>
      </c>
      <c r="M60" s="797">
        <f t="shared" si="19"/>
        <v>0</v>
      </c>
      <c r="N60" s="797">
        <f t="shared" si="19"/>
        <v>0</v>
      </c>
      <c r="AA60" s="689"/>
      <c r="AB60" s="689"/>
      <c r="AC60" s="689"/>
      <c r="AD60" s="689"/>
      <c r="AE60" s="689"/>
      <c r="AF60" s="689"/>
      <c r="AG60" s="689"/>
      <c r="AH60" s="689"/>
      <c r="AI60" s="689"/>
      <c r="AJ60" s="689"/>
      <c r="AK60" s="689"/>
    </row>
    <row r="61" spans="1:37" s="550" customFormat="1" ht="24">
      <c r="A61" s="703" t="s">
        <v>2126</v>
      </c>
      <c r="B61" s="704">
        <f>估价对象房地状况!C19</f>
        <v>0</v>
      </c>
      <c r="C61" s="603"/>
      <c r="D61" s="709">
        <f t="shared" si="15"/>
        <v>0</v>
      </c>
      <c r="E61" s="714"/>
      <c r="F61" s="711"/>
      <c r="G61" s="712"/>
      <c r="H61" s="713" t="str">
        <f t="shared" si="16"/>
        <v>——</v>
      </c>
      <c r="I61" s="796">
        <v>0.08</v>
      </c>
      <c r="J61" s="797">
        <f t="shared" si="17"/>
        <v>0</v>
      </c>
      <c r="K61" s="797">
        <f t="shared" si="18"/>
        <v>0</v>
      </c>
      <c r="L61" s="797">
        <v>0</v>
      </c>
      <c r="M61" s="797">
        <f t="shared" si="19"/>
        <v>0</v>
      </c>
      <c r="N61" s="797">
        <f t="shared" si="19"/>
        <v>0</v>
      </c>
      <c r="AA61" s="689"/>
      <c r="AB61" s="689"/>
      <c r="AC61" s="689"/>
      <c r="AD61" s="689"/>
      <c r="AE61" s="689"/>
      <c r="AF61" s="689"/>
      <c r="AG61" s="689"/>
      <c r="AH61" s="689"/>
      <c r="AI61" s="689"/>
      <c r="AJ61" s="689"/>
      <c r="AK61" s="689"/>
    </row>
    <row r="62" spans="1:37" s="550" customFormat="1" ht="36.75">
      <c r="A62" s="703" t="s">
        <v>2127</v>
      </c>
      <c r="B62" s="715" t="s">
        <v>2128</v>
      </c>
      <c r="C62" s="603"/>
      <c r="D62" s="709">
        <f t="shared" si="15"/>
        <v>0</v>
      </c>
      <c r="E62" s="714"/>
      <c r="F62" s="711"/>
      <c r="G62" s="712"/>
      <c r="H62" s="713" t="str">
        <f t="shared" si="16"/>
        <v>——</v>
      </c>
      <c r="I62" s="796">
        <v>0.04</v>
      </c>
      <c r="J62" s="797">
        <f t="shared" si="17"/>
        <v>0</v>
      </c>
      <c r="K62" s="797">
        <f t="shared" si="18"/>
        <v>0</v>
      </c>
      <c r="L62" s="797">
        <v>0</v>
      </c>
      <c r="M62" s="797">
        <f t="shared" si="19"/>
        <v>0</v>
      </c>
      <c r="N62" s="797">
        <f t="shared" si="19"/>
        <v>0</v>
      </c>
      <c r="AA62" s="689"/>
      <c r="AB62" s="689"/>
      <c r="AC62" s="689"/>
      <c r="AD62" s="689"/>
      <c r="AE62" s="689"/>
      <c r="AF62" s="689"/>
      <c r="AG62" s="689"/>
      <c r="AH62" s="689"/>
      <c r="AI62" s="689"/>
      <c r="AJ62" s="689"/>
      <c r="AK62" s="689"/>
    </row>
    <row r="63" spans="1:37" s="550" customFormat="1" ht="24">
      <c r="A63" s="703" t="s">
        <v>2129</v>
      </c>
      <c r="B63" s="704" t="str">
        <f>估价对象房地状况!C24</f>
        <v>次干道</v>
      </c>
      <c r="C63" s="603"/>
      <c r="D63" s="709">
        <f t="shared" si="15"/>
        <v>0</v>
      </c>
      <c r="E63" s="714"/>
      <c r="F63" s="711"/>
      <c r="G63" s="712"/>
      <c r="H63" s="713" t="str">
        <f t="shared" si="16"/>
        <v>——</v>
      </c>
      <c r="I63" s="796">
        <v>0.05</v>
      </c>
      <c r="J63" s="797">
        <f t="shared" si="17"/>
        <v>0</v>
      </c>
      <c r="K63" s="797">
        <f t="shared" si="18"/>
        <v>0</v>
      </c>
      <c r="L63" s="797">
        <v>0</v>
      </c>
      <c r="M63" s="797">
        <f t="shared" si="19"/>
        <v>0</v>
      </c>
      <c r="N63" s="797">
        <f t="shared" si="19"/>
        <v>0</v>
      </c>
      <c r="AA63" s="689"/>
      <c r="AB63" s="689"/>
      <c r="AC63" s="689"/>
      <c r="AD63" s="689"/>
      <c r="AE63" s="689"/>
      <c r="AF63" s="689"/>
      <c r="AG63" s="689"/>
      <c r="AH63" s="689"/>
      <c r="AI63" s="689"/>
      <c r="AJ63" s="689"/>
      <c r="AK63" s="689"/>
    </row>
    <row r="64" spans="1:37" s="550" customFormat="1" ht="24">
      <c r="A64" s="703" t="s">
        <v>2130</v>
      </c>
      <c r="B64" s="716" t="s">
        <v>2131</v>
      </c>
      <c r="C64" s="603"/>
      <c r="D64" s="709">
        <f t="shared" si="15"/>
        <v>0</v>
      </c>
      <c r="E64" s="714"/>
      <c r="F64" s="711"/>
      <c r="G64" s="712"/>
      <c r="H64" s="713" t="str">
        <f t="shared" si="16"/>
        <v>——</v>
      </c>
      <c r="I64" s="796">
        <v>0.05</v>
      </c>
      <c r="J64" s="797">
        <f t="shared" si="17"/>
        <v>0</v>
      </c>
      <c r="K64" s="797">
        <f t="shared" si="18"/>
        <v>0</v>
      </c>
      <c r="L64" s="797">
        <v>0</v>
      </c>
      <c r="M64" s="797">
        <f t="shared" si="19"/>
        <v>0</v>
      </c>
      <c r="N64" s="797">
        <f t="shared" si="19"/>
        <v>0</v>
      </c>
      <c r="AA64" s="689"/>
      <c r="AB64" s="689"/>
      <c r="AC64" s="689"/>
      <c r="AD64" s="689"/>
      <c r="AE64" s="689"/>
      <c r="AF64" s="689"/>
      <c r="AG64" s="689"/>
      <c r="AH64" s="689"/>
      <c r="AI64" s="689"/>
      <c r="AJ64" s="689"/>
      <c r="AK64" s="689"/>
    </row>
    <row r="65" spans="1:37" s="550" customFormat="1" ht="24">
      <c r="A65" s="703" t="s">
        <v>2132</v>
      </c>
      <c r="B65" s="263" t="str">
        <f>估价对象房地状况!C21</f>
        <v>一般</v>
      </c>
      <c r="C65" s="603"/>
      <c r="D65" s="709">
        <f t="shared" si="15"/>
        <v>0</v>
      </c>
      <c r="E65" s="714"/>
      <c r="F65" s="711"/>
      <c r="G65" s="712"/>
      <c r="H65" s="713" t="str">
        <f t="shared" si="16"/>
        <v>——</v>
      </c>
      <c r="I65" s="796">
        <v>0.06</v>
      </c>
      <c r="J65" s="797">
        <f t="shared" si="17"/>
        <v>0</v>
      </c>
      <c r="K65" s="797">
        <f t="shared" si="18"/>
        <v>0</v>
      </c>
      <c r="L65" s="797">
        <v>0</v>
      </c>
      <c r="M65" s="797">
        <f t="shared" si="19"/>
        <v>0</v>
      </c>
      <c r="N65" s="797">
        <f t="shared" si="19"/>
        <v>0</v>
      </c>
      <c r="AA65" s="689"/>
      <c r="AB65" s="689"/>
      <c r="AC65" s="689"/>
      <c r="AD65" s="689"/>
      <c r="AE65" s="689"/>
      <c r="AF65" s="689"/>
      <c r="AG65" s="689"/>
      <c r="AH65" s="689"/>
      <c r="AI65" s="689"/>
      <c r="AJ65" s="689"/>
      <c r="AK65" s="689"/>
    </row>
    <row r="66" spans="1:37" s="550" customFormat="1" ht="24">
      <c r="A66" s="703" t="s">
        <v>2133</v>
      </c>
      <c r="B66" s="263" t="str">
        <f>估价对象房地状况!C22</f>
        <v>七通</v>
      </c>
      <c r="C66" s="603"/>
      <c r="D66" s="709">
        <f t="shared" si="15"/>
        <v>0</v>
      </c>
      <c r="E66" s="714"/>
      <c r="F66" s="711"/>
      <c r="G66" s="712"/>
      <c r="H66" s="713" t="str">
        <f t="shared" si="16"/>
        <v>——</v>
      </c>
      <c r="I66" s="796">
        <v>0.12</v>
      </c>
      <c r="J66" s="797">
        <f t="shared" si="17"/>
        <v>0</v>
      </c>
      <c r="K66" s="797">
        <f t="shared" si="18"/>
        <v>0</v>
      </c>
      <c r="L66" s="797">
        <v>0</v>
      </c>
      <c r="M66" s="797">
        <f t="shared" si="19"/>
        <v>0</v>
      </c>
      <c r="N66" s="797">
        <f t="shared" si="19"/>
        <v>0</v>
      </c>
      <c r="AA66" s="689"/>
      <c r="AB66" s="689"/>
      <c r="AC66" s="689"/>
      <c r="AD66" s="689"/>
      <c r="AE66" s="689"/>
      <c r="AF66" s="689"/>
      <c r="AG66" s="689"/>
      <c r="AH66" s="689"/>
      <c r="AI66" s="689"/>
      <c r="AJ66" s="689"/>
      <c r="AK66" s="689"/>
    </row>
    <row r="67" spans="1:37" s="550" customFormat="1" ht="24">
      <c r="A67" s="718" t="s">
        <v>2134</v>
      </c>
      <c r="B67" s="825" t="str">
        <f>估价对象房地状况!C20</f>
        <v>一般</v>
      </c>
      <c r="C67" s="603"/>
      <c r="D67" s="709">
        <f t="shared" si="15"/>
        <v>0</v>
      </c>
      <c r="E67" s="720"/>
      <c r="F67" s="711"/>
      <c r="G67" s="712"/>
      <c r="H67" s="713" t="str">
        <f t="shared" si="16"/>
        <v>——</v>
      </c>
      <c r="I67" s="798">
        <v>0.06</v>
      </c>
      <c r="J67" s="797">
        <f t="shared" si="17"/>
        <v>0</v>
      </c>
      <c r="K67" s="797">
        <f t="shared" si="18"/>
        <v>0</v>
      </c>
      <c r="L67" s="797">
        <v>0</v>
      </c>
      <c r="M67" s="797">
        <f t="shared" si="19"/>
        <v>0</v>
      </c>
      <c r="N67" s="797">
        <f t="shared" si="19"/>
        <v>0</v>
      </c>
      <c r="AA67" s="689"/>
      <c r="AB67" s="689"/>
      <c r="AC67" s="689"/>
      <c r="AD67" s="689"/>
      <c r="AE67" s="689"/>
      <c r="AF67" s="689"/>
      <c r="AG67" s="689"/>
      <c r="AH67" s="689"/>
      <c r="AI67" s="689"/>
      <c r="AJ67" s="689"/>
      <c r="AK67" s="689"/>
    </row>
    <row r="68" spans="1:37" s="550" customFormat="1" ht="15">
      <c r="A68" s="697" t="s">
        <v>2138</v>
      </c>
      <c r="B68" s="698">
        <f>1+E70</f>
        <v>1</v>
      </c>
      <c r="C68" s="700"/>
      <c r="D68" s="700"/>
      <c r="E68" s="701"/>
      <c r="F68" s="702"/>
      <c r="G68" s="696"/>
      <c r="H68" s="696"/>
      <c r="I68" s="696"/>
      <c r="J68" s="465"/>
      <c r="K68" s="465"/>
      <c r="L68" s="465"/>
      <c r="M68" s="465"/>
      <c r="N68" s="465"/>
      <c r="AA68" s="689"/>
      <c r="AB68" s="689"/>
      <c r="AC68" s="689"/>
      <c r="AD68" s="689"/>
      <c r="AE68" s="689"/>
      <c r="AF68" s="689"/>
      <c r="AG68" s="689"/>
      <c r="AH68" s="689"/>
      <c r="AI68" s="689"/>
      <c r="AJ68" s="689"/>
      <c r="AK68" s="689"/>
    </row>
    <row r="69" spans="1:37" s="550" customFormat="1" ht="24.75">
      <c r="A69" s="703" t="s">
        <v>2116</v>
      </c>
      <c r="B69" s="704"/>
      <c r="C69" s="704" t="s">
        <v>2118</v>
      </c>
      <c r="D69" s="704" t="s">
        <v>2119</v>
      </c>
      <c r="E69" s="705" t="s">
        <v>2120</v>
      </c>
      <c r="F69" s="706" t="s">
        <v>2136</v>
      </c>
      <c r="G69" s="704" t="s">
        <v>2051</v>
      </c>
      <c r="H69" s="707" t="s">
        <v>2122</v>
      </c>
      <c r="I69" s="704" t="s">
        <v>2123</v>
      </c>
      <c r="J69" s="795" t="s">
        <v>1028</v>
      </c>
      <c r="K69" s="795" t="s">
        <v>1029</v>
      </c>
      <c r="L69" s="795" t="s">
        <v>1030</v>
      </c>
      <c r="M69" s="795" t="s">
        <v>1031</v>
      </c>
      <c r="N69" s="795" t="s">
        <v>1032</v>
      </c>
      <c r="AA69" s="689"/>
      <c r="AB69" s="689"/>
      <c r="AC69" s="689"/>
      <c r="AD69" s="689"/>
      <c r="AE69" s="689"/>
      <c r="AF69" s="689"/>
      <c r="AG69" s="689"/>
      <c r="AH69" s="689"/>
      <c r="AI69" s="689"/>
      <c r="AJ69" s="689"/>
      <c r="AK69" s="689"/>
    </row>
    <row r="70" spans="1:37" s="550" customFormat="1" ht="24">
      <c r="A70" s="703" t="s">
        <v>2139</v>
      </c>
      <c r="B70" s="708" t="str">
        <f>估价对象房地状况!C15</f>
        <v>一般</v>
      </c>
      <c r="C70" s="603"/>
      <c r="D70" s="709">
        <f t="shared" ref="D70:D78" si="20">SUMIF($J$69:$N$69,C70,J70:N70)</f>
        <v>0</v>
      </c>
      <c r="E70" s="710">
        <f>ROUND(SUM(D70:D78),4)</f>
        <v>0</v>
      </c>
      <c r="F70" s="711" t="str">
        <f>IF(E2="住宅",SUMIF(L1:L12,G2,N1:N12),"——")</f>
        <v>——</v>
      </c>
      <c r="G70" s="712"/>
      <c r="H70" s="713" t="str">
        <f t="shared" ref="H70:H78" si="21">IFERROR(ROUNDDOWN($F$70*I70/2,4),"——")</f>
        <v>——</v>
      </c>
      <c r="I70" s="796">
        <v>0.14000000000000001</v>
      </c>
      <c r="J70" s="797">
        <f t="shared" ref="J70:J78" si="22">K70+$G70</f>
        <v>0</v>
      </c>
      <c r="K70" s="797">
        <f t="shared" ref="K70:K78" si="23">$L70+$G70</f>
        <v>0</v>
      </c>
      <c r="L70" s="797">
        <v>0</v>
      </c>
      <c r="M70" s="797">
        <f t="shared" ref="M70:N78" si="24">L70-$G70</f>
        <v>0</v>
      </c>
      <c r="N70" s="797">
        <f t="shared" si="24"/>
        <v>0</v>
      </c>
      <c r="AA70" s="689"/>
      <c r="AB70" s="689"/>
      <c r="AC70" s="689"/>
      <c r="AD70" s="689"/>
      <c r="AE70" s="689"/>
      <c r="AF70" s="689"/>
      <c r="AG70" s="689"/>
      <c r="AH70" s="689"/>
      <c r="AI70" s="689"/>
      <c r="AJ70" s="689"/>
      <c r="AK70" s="689"/>
    </row>
    <row r="71" spans="1:37" s="550" customFormat="1" ht="14.25">
      <c r="A71" s="703" t="s">
        <v>2125</v>
      </c>
      <c r="B71" s="704" t="str">
        <f>估价对象房地状况!C18</f>
        <v>一般</v>
      </c>
      <c r="C71" s="603"/>
      <c r="D71" s="709">
        <f t="shared" si="20"/>
        <v>0</v>
      </c>
      <c r="E71" s="826"/>
      <c r="F71" s="711"/>
      <c r="G71" s="712"/>
      <c r="H71" s="713" t="str">
        <f t="shared" si="21"/>
        <v>——</v>
      </c>
      <c r="I71" s="796">
        <v>0.3</v>
      </c>
      <c r="J71" s="797">
        <f t="shared" si="22"/>
        <v>0</v>
      </c>
      <c r="K71" s="797">
        <f t="shared" si="23"/>
        <v>0</v>
      </c>
      <c r="L71" s="797">
        <v>0</v>
      </c>
      <c r="M71" s="797">
        <f t="shared" si="24"/>
        <v>0</v>
      </c>
      <c r="N71" s="797">
        <f t="shared" si="24"/>
        <v>0</v>
      </c>
      <c r="AA71" s="689"/>
      <c r="AB71" s="689"/>
      <c r="AC71" s="689"/>
      <c r="AD71" s="689"/>
      <c r="AE71" s="689"/>
      <c r="AF71" s="689"/>
      <c r="AG71" s="689"/>
      <c r="AH71" s="689"/>
      <c r="AI71" s="689"/>
      <c r="AJ71" s="689"/>
      <c r="AK71" s="689"/>
    </row>
    <row r="72" spans="1:37" s="550" customFormat="1" ht="24">
      <c r="A72" s="703" t="s">
        <v>2126</v>
      </c>
      <c r="B72" s="704">
        <f>估价对象房地状况!C19</f>
        <v>0</v>
      </c>
      <c r="C72" s="603"/>
      <c r="D72" s="709">
        <f t="shared" si="20"/>
        <v>0</v>
      </c>
      <c r="E72" s="826"/>
      <c r="F72" s="711"/>
      <c r="G72" s="712"/>
      <c r="H72" s="713" t="str">
        <f t="shared" si="21"/>
        <v>——</v>
      </c>
      <c r="I72" s="796">
        <v>0.08</v>
      </c>
      <c r="J72" s="797">
        <f t="shared" si="22"/>
        <v>0</v>
      </c>
      <c r="K72" s="797">
        <f t="shared" si="23"/>
        <v>0</v>
      </c>
      <c r="L72" s="797">
        <v>0</v>
      </c>
      <c r="M72" s="797">
        <f t="shared" si="24"/>
        <v>0</v>
      </c>
      <c r="N72" s="797">
        <f t="shared" si="24"/>
        <v>0</v>
      </c>
      <c r="AA72" s="689"/>
      <c r="AB72" s="689"/>
      <c r="AC72" s="689"/>
      <c r="AD72" s="689"/>
      <c r="AE72" s="689"/>
      <c r="AF72" s="689"/>
      <c r="AG72" s="689"/>
      <c r="AH72" s="689"/>
      <c r="AI72" s="689"/>
      <c r="AJ72" s="689"/>
      <c r="AK72" s="689"/>
    </row>
    <row r="73" spans="1:37" s="550" customFormat="1" ht="14.25">
      <c r="A73" s="703" t="s">
        <v>2140</v>
      </c>
      <c r="B73" s="704" t="str">
        <f>估价对象房地状况!C24</f>
        <v>次干道</v>
      </c>
      <c r="C73" s="603"/>
      <c r="D73" s="709">
        <f t="shared" si="20"/>
        <v>0</v>
      </c>
      <c r="E73" s="826"/>
      <c r="F73" s="711"/>
      <c r="G73" s="712"/>
      <c r="H73" s="713" t="str">
        <f t="shared" si="21"/>
        <v>——</v>
      </c>
      <c r="I73" s="796">
        <v>0.04</v>
      </c>
      <c r="J73" s="797">
        <f t="shared" si="22"/>
        <v>0</v>
      </c>
      <c r="K73" s="797">
        <f t="shared" si="23"/>
        <v>0</v>
      </c>
      <c r="L73" s="797">
        <v>0</v>
      </c>
      <c r="M73" s="797">
        <f t="shared" si="24"/>
        <v>0</v>
      </c>
      <c r="N73" s="797">
        <f t="shared" si="24"/>
        <v>0</v>
      </c>
      <c r="AA73" s="689"/>
      <c r="AB73" s="689"/>
      <c r="AC73" s="689"/>
      <c r="AD73" s="689"/>
      <c r="AE73" s="689"/>
      <c r="AF73" s="689"/>
      <c r="AG73" s="689"/>
      <c r="AH73" s="689"/>
      <c r="AI73" s="689"/>
      <c r="AJ73" s="689"/>
      <c r="AK73" s="689"/>
    </row>
    <row r="74" spans="1:37" s="550" customFormat="1" ht="24">
      <c r="A74" s="703" t="s">
        <v>2132</v>
      </c>
      <c r="B74" s="263" t="str">
        <f>估价对象房地状况!C21</f>
        <v>一般</v>
      </c>
      <c r="C74" s="603"/>
      <c r="D74" s="709">
        <f t="shared" si="20"/>
        <v>0</v>
      </c>
      <c r="E74" s="826"/>
      <c r="F74" s="711"/>
      <c r="G74" s="712"/>
      <c r="H74" s="713" t="str">
        <f t="shared" si="21"/>
        <v>——</v>
      </c>
      <c r="I74" s="796">
        <v>0.08</v>
      </c>
      <c r="J74" s="797">
        <f t="shared" si="22"/>
        <v>0</v>
      </c>
      <c r="K74" s="797">
        <f t="shared" si="23"/>
        <v>0</v>
      </c>
      <c r="L74" s="797">
        <v>0</v>
      </c>
      <c r="M74" s="797">
        <f t="shared" si="24"/>
        <v>0</v>
      </c>
      <c r="N74" s="797">
        <f t="shared" si="24"/>
        <v>0</v>
      </c>
      <c r="AA74" s="689"/>
      <c r="AB74" s="689"/>
      <c r="AC74" s="689"/>
      <c r="AD74" s="689"/>
      <c r="AE74" s="689"/>
      <c r="AF74" s="689"/>
      <c r="AG74" s="689"/>
      <c r="AH74" s="689"/>
      <c r="AI74" s="689"/>
      <c r="AJ74" s="689"/>
      <c r="AK74" s="689"/>
    </row>
    <row r="75" spans="1:37" s="550" customFormat="1" ht="24">
      <c r="A75" s="703" t="s">
        <v>2133</v>
      </c>
      <c r="B75" s="263" t="str">
        <f>估价对象房地状况!C22</f>
        <v>七通</v>
      </c>
      <c r="C75" s="603"/>
      <c r="D75" s="709">
        <f t="shared" si="20"/>
        <v>0</v>
      </c>
      <c r="E75" s="826"/>
      <c r="F75" s="711"/>
      <c r="G75" s="712"/>
      <c r="H75" s="713" t="str">
        <f t="shared" si="21"/>
        <v>——</v>
      </c>
      <c r="I75" s="796">
        <v>0.12</v>
      </c>
      <c r="J75" s="797">
        <f t="shared" si="22"/>
        <v>0</v>
      </c>
      <c r="K75" s="797">
        <f t="shared" si="23"/>
        <v>0</v>
      </c>
      <c r="L75" s="797">
        <v>0</v>
      </c>
      <c r="M75" s="797">
        <f t="shared" si="24"/>
        <v>0</v>
      </c>
      <c r="N75" s="797">
        <f t="shared" si="24"/>
        <v>0</v>
      </c>
      <c r="AA75" s="689"/>
      <c r="AB75" s="689"/>
      <c r="AC75" s="689"/>
      <c r="AD75" s="689"/>
      <c r="AE75" s="689"/>
      <c r="AF75" s="689"/>
      <c r="AG75" s="689"/>
      <c r="AH75" s="689"/>
      <c r="AI75" s="689"/>
      <c r="AJ75" s="689"/>
      <c r="AK75" s="689"/>
    </row>
    <row r="76" spans="1:37" s="551" customFormat="1" ht="24">
      <c r="A76" s="703" t="s">
        <v>2130</v>
      </c>
      <c r="B76" s="716" t="s">
        <v>2131</v>
      </c>
      <c r="C76" s="603"/>
      <c r="D76" s="709">
        <f t="shared" si="20"/>
        <v>0</v>
      </c>
      <c r="E76" s="826"/>
      <c r="F76" s="711"/>
      <c r="G76" s="712"/>
      <c r="H76" s="713" t="str">
        <f t="shared" si="21"/>
        <v>——</v>
      </c>
      <c r="I76" s="796">
        <v>0.05</v>
      </c>
      <c r="J76" s="797">
        <f t="shared" si="22"/>
        <v>0</v>
      </c>
      <c r="K76" s="797">
        <f t="shared" si="23"/>
        <v>0</v>
      </c>
      <c r="L76" s="797">
        <v>0</v>
      </c>
      <c r="M76" s="797">
        <f t="shared" si="24"/>
        <v>0</v>
      </c>
      <c r="N76" s="797">
        <f t="shared" si="24"/>
        <v>0</v>
      </c>
      <c r="AA76" s="821"/>
      <c r="AB76" s="689"/>
      <c r="AC76" s="689"/>
      <c r="AD76" s="689"/>
      <c r="AE76" s="689"/>
      <c r="AF76" s="689"/>
      <c r="AG76" s="689"/>
      <c r="AH76" s="821"/>
      <c r="AI76" s="821"/>
      <c r="AJ76" s="821"/>
      <c r="AK76" s="821"/>
    </row>
    <row r="77" spans="1:37" ht="24">
      <c r="A77" s="703" t="s">
        <v>2134</v>
      </c>
      <c r="B77" s="708" t="str">
        <f>估价对象房地状况!C20</f>
        <v>一般</v>
      </c>
      <c r="C77" s="603"/>
      <c r="D77" s="709">
        <f t="shared" si="20"/>
        <v>0</v>
      </c>
      <c r="E77" s="826"/>
      <c r="F77" s="711"/>
      <c r="G77" s="712"/>
      <c r="H77" s="713" t="str">
        <f t="shared" si="21"/>
        <v>——</v>
      </c>
      <c r="I77" s="796">
        <v>0.15</v>
      </c>
      <c r="J77" s="797">
        <f t="shared" si="22"/>
        <v>0</v>
      </c>
      <c r="K77" s="797">
        <f t="shared" si="23"/>
        <v>0</v>
      </c>
      <c r="L77" s="797">
        <v>0</v>
      </c>
      <c r="M77" s="797">
        <f t="shared" si="24"/>
        <v>0</v>
      </c>
      <c r="N77" s="797">
        <f t="shared" si="24"/>
        <v>0</v>
      </c>
      <c r="Z77" s="554"/>
      <c r="AA77" s="552"/>
      <c r="AG77" s="556"/>
      <c r="AK77" s="552"/>
    </row>
    <row r="78" spans="1:37" ht="24">
      <c r="A78" s="718" t="s">
        <v>2141</v>
      </c>
      <c r="B78" s="827"/>
      <c r="C78" s="603"/>
      <c r="D78" s="709">
        <f t="shared" si="20"/>
        <v>0</v>
      </c>
      <c r="E78" s="828"/>
      <c r="F78" s="711"/>
      <c r="G78" s="712"/>
      <c r="H78" s="713" t="str">
        <f t="shared" si="21"/>
        <v>——</v>
      </c>
      <c r="I78" s="798">
        <v>0.04</v>
      </c>
      <c r="J78" s="797">
        <f t="shared" si="22"/>
        <v>0</v>
      </c>
      <c r="K78" s="797">
        <f t="shared" si="23"/>
        <v>0</v>
      </c>
      <c r="L78" s="797">
        <v>0</v>
      </c>
      <c r="M78" s="797">
        <f t="shared" si="24"/>
        <v>0</v>
      </c>
      <c r="N78" s="797">
        <f t="shared" si="24"/>
        <v>0</v>
      </c>
      <c r="Z78" s="554"/>
      <c r="AA78" s="552"/>
      <c r="AG78" s="556"/>
      <c r="AK78" s="552"/>
    </row>
    <row r="79" spans="1:37" ht="15">
      <c r="A79" s="697" t="s">
        <v>2142</v>
      </c>
      <c r="B79" s="698">
        <f>1+E81</f>
        <v>1</v>
      </c>
      <c r="C79" s="700"/>
      <c r="D79" s="700"/>
      <c r="E79" s="701"/>
      <c r="F79" s="702"/>
      <c r="G79" s="696"/>
      <c r="H79" s="696"/>
      <c r="I79" s="696"/>
      <c r="J79" s="465"/>
      <c r="K79" s="465"/>
      <c r="L79" s="465"/>
      <c r="M79" s="465"/>
      <c r="N79" s="465"/>
      <c r="Z79" s="554"/>
      <c r="AA79" s="552"/>
      <c r="AG79" s="556"/>
      <c r="AK79" s="552"/>
    </row>
    <row r="80" spans="1:37" ht="24.75">
      <c r="A80" s="703" t="s">
        <v>2116</v>
      </c>
      <c r="B80" s="704"/>
      <c r="C80" s="704" t="s">
        <v>2118</v>
      </c>
      <c r="D80" s="704" t="s">
        <v>2119</v>
      </c>
      <c r="E80" s="705" t="s">
        <v>2120</v>
      </c>
      <c r="F80" s="706" t="s">
        <v>2136</v>
      </c>
      <c r="G80" s="704" t="s">
        <v>2051</v>
      </c>
      <c r="H80" s="707" t="s">
        <v>2122</v>
      </c>
      <c r="I80" s="704" t="s">
        <v>2123</v>
      </c>
      <c r="J80" s="795" t="s">
        <v>1028</v>
      </c>
      <c r="K80" s="795" t="s">
        <v>1029</v>
      </c>
      <c r="L80" s="795" t="s">
        <v>1030</v>
      </c>
      <c r="M80" s="795" t="s">
        <v>1031</v>
      </c>
      <c r="N80" s="795" t="s">
        <v>1032</v>
      </c>
      <c r="Z80" s="554"/>
      <c r="AA80" s="552"/>
      <c r="AG80" s="556"/>
      <c r="AK80" s="552"/>
    </row>
    <row r="81" spans="1:37" ht="38.25">
      <c r="A81" s="703" t="s">
        <v>2143</v>
      </c>
      <c r="B81" s="704" t="str">
        <f>估价对象房地状况!G15</f>
        <v>估价对象位于XX开发区，园区建设成熟度XX，产业集聚程度XX</v>
      </c>
      <c r="C81" s="603"/>
      <c r="D81" s="709">
        <f t="shared" ref="D81:D88" si="25">SUMIF($J$80:$N$80,C81,J81:N81)</f>
        <v>0</v>
      </c>
      <c r="E81" s="710">
        <f>ROUND(SUM(D81:D88),4)</f>
        <v>0</v>
      </c>
      <c r="F81" s="711" t="str">
        <f>IF(E2="工业",SUMIF(L1:L12,G2,N1:N12),"——")</f>
        <v>——</v>
      </c>
      <c r="G81" s="712"/>
      <c r="H81" s="713" t="str">
        <f t="shared" ref="H81:H88" si="26">IFERROR(ROUNDDOWN($F$81*I81/2,4),"——")</f>
        <v>——</v>
      </c>
      <c r="I81" s="796">
        <v>0.26</v>
      </c>
      <c r="J81" s="797">
        <f t="shared" ref="J81:J88" si="27">K81+$G81</f>
        <v>0</v>
      </c>
      <c r="K81" s="797">
        <f t="shared" ref="K81:K88" si="28">$L81+$G81</f>
        <v>0</v>
      </c>
      <c r="L81" s="797">
        <v>0</v>
      </c>
      <c r="M81" s="797">
        <f t="shared" ref="M81:N88" si="29">L81-$G81</f>
        <v>0</v>
      </c>
      <c r="N81" s="797">
        <f t="shared" si="29"/>
        <v>0</v>
      </c>
      <c r="Z81" s="554"/>
      <c r="AA81" s="552"/>
      <c r="AG81" s="556"/>
      <c r="AK81" s="552"/>
    </row>
    <row r="82" spans="1:37" ht="51">
      <c r="A82" s="703" t="s">
        <v>2125</v>
      </c>
      <c r="B82" s="704" t="str">
        <f>估价对象房地状况!G16</f>
        <v>估价对象周边道路状况、公共交通通达情况、停车便捷程度，综合评价交通便捷度较好</v>
      </c>
      <c r="C82" s="603"/>
      <c r="D82" s="709">
        <f t="shared" si="25"/>
        <v>0</v>
      </c>
      <c r="E82" s="826"/>
      <c r="F82" s="711"/>
      <c r="G82" s="712"/>
      <c r="H82" s="713" t="str">
        <f t="shared" si="26"/>
        <v>——</v>
      </c>
      <c r="I82" s="796">
        <v>0.33</v>
      </c>
      <c r="J82" s="797">
        <f t="shared" si="27"/>
        <v>0</v>
      </c>
      <c r="K82" s="797">
        <f t="shared" si="28"/>
        <v>0</v>
      </c>
      <c r="L82" s="797">
        <v>0</v>
      </c>
      <c r="M82" s="797">
        <f t="shared" si="29"/>
        <v>0</v>
      </c>
      <c r="N82" s="797">
        <f t="shared" si="29"/>
        <v>0</v>
      </c>
      <c r="Z82" s="554"/>
      <c r="AA82" s="552"/>
      <c r="AG82" s="556"/>
      <c r="AK82" s="552"/>
    </row>
    <row r="83" spans="1:37" ht="24">
      <c r="A83" s="703" t="s">
        <v>2126</v>
      </c>
      <c r="B83" s="704">
        <f>估价对象房地状况!G17</f>
        <v>0</v>
      </c>
      <c r="C83" s="603"/>
      <c r="D83" s="709">
        <f t="shared" si="25"/>
        <v>0</v>
      </c>
      <c r="E83" s="826"/>
      <c r="F83" s="711"/>
      <c r="G83" s="712"/>
      <c r="H83" s="713" t="str">
        <f t="shared" si="26"/>
        <v>——</v>
      </c>
      <c r="I83" s="796">
        <v>0.05</v>
      </c>
      <c r="J83" s="797">
        <f t="shared" si="27"/>
        <v>0</v>
      </c>
      <c r="K83" s="797">
        <f t="shared" si="28"/>
        <v>0</v>
      </c>
      <c r="L83" s="797">
        <v>0</v>
      </c>
      <c r="M83" s="797">
        <f t="shared" si="29"/>
        <v>0</v>
      </c>
      <c r="N83" s="797">
        <f t="shared" si="29"/>
        <v>0</v>
      </c>
      <c r="Z83" s="554"/>
      <c r="AA83" s="552"/>
      <c r="AG83" s="556"/>
      <c r="AK83" s="552"/>
    </row>
    <row r="84" spans="1:37" ht="14.25">
      <c r="A84" s="703" t="s">
        <v>2140</v>
      </c>
      <c r="B84" s="704">
        <f>估价对象房地状况!G22</f>
        <v>0</v>
      </c>
      <c r="C84" s="603"/>
      <c r="D84" s="709">
        <f t="shared" si="25"/>
        <v>0</v>
      </c>
      <c r="E84" s="826"/>
      <c r="F84" s="711"/>
      <c r="G84" s="712"/>
      <c r="H84" s="713" t="str">
        <f t="shared" si="26"/>
        <v>——</v>
      </c>
      <c r="I84" s="796">
        <v>0.04</v>
      </c>
      <c r="J84" s="797">
        <f t="shared" si="27"/>
        <v>0</v>
      </c>
      <c r="K84" s="797">
        <f t="shared" si="28"/>
        <v>0</v>
      </c>
      <c r="L84" s="797">
        <v>0</v>
      </c>
      <c r="M84" s="797">
        <f t="shared" si="29"/>
        <v>0</v>
      </c>
      <c r="N84" s="797">
        <f t="shared" si="29"/>
        <v>0</v>
      </c>
      <c r="Z84" s="554"/>
      <c r="AA84" s="552"/>
      <c r="AG84" s="556"/>
      <c r="AK84" s="552"/>
    </row>
    <row r="85" spans="1:37" ht="25.5">
      <c r="A85" s="703" t="s">
        <v>2132</v>
      </c>
      <c r="B85" s="263" t="str">
        <f>估价对象房地状况!G19</f>
        <v>估价对象所在区域公共配套设施齐备情况</v>
      </c>
      <c r="C85" s="603"/>
      <c r="D85" s="709">
        <f t="shared" si="25"/>
        <v>0</v>
      </c>
      <c r="E85" s="826"/>
      <c r="F85" s="711"/>
      <c r="G85" s="712"/>
      <c r="H85" s="713" t="str">
        <f t="shared" si="26"/>
        <v>——</v>
      </c>
      <c r="I85" s="796">
        <v>0.06</v>
      </c>
      <c r="J85" s="797">
        <f t="shared" si="27"/>
        <v>0</v>
      </c>
      <c r="K85" s="797">
        <f t="shared" si="28"/>
        <v>0</v>
      </c>
      <c r="L85" s="797">
        <v>0</v>
      </c>
      <c r="M85" s="797">
        <f t="shared" si="29"/>
        <v>0</v>
      </c>
      <c r="N85" s="797">
        <f t="shared" si="29"/>
        <v>0</v>
      </c>
      <c r="Z85" s="554"/>
      <c r="AA85" s="552"/>
      <c r="AG85" s="556"/>
      <c r="AK85" s="552"/>
    </row>
    <row r="86" spans="1:37" ht="25.5">
      <c r="A86" s="703" t="s">
        <v>2133</v>
      </c>
      <c r="B86" s="263" t="str">
        <f>估价对象房地状况!G20</f>
        <v>估价对象所在区域基础设施水平</v>
      </c>
      <c r="C86" s="603"/>
      <c r="D86" s="709">
        <f t="shared" si="25"/>
        <v>0</v>
      </c>
      <c r="E86" s="826"/>
      <c r="F86" s="711"/>
      <c r="G86" s="712"/>
      <c r="H86" s="713" t="str">
        <f t="shared" si="26"/>
        <v>——</v>
      </c>
      <c r="I86" s="796">
        <v>0.15</v>
      </c>
      <c r="J86" s="797">
        <f t="shared" si="27"/>
        <v>0</v>
      </c>
      <c r="K86" s="797">
        <f t="shared" si="28"/>
        <v>0</v>
      </c>
      <c r="L86" s="797">
        <v>0</v>
      </c>
      <c r="M86" s="797">
        <f t="shared" si="29"/>
        <v>0</v>
      </c>
      <c r="N86" s="797">
        <f t="shared" si="29"/>
        <v>0</v>
      </c>
      <c r="Z86" s="554"/>
      <c r="AA86" s="552"/>
      <c r="AG86" s="556"/>
      <c r="AK86" s="552"/>
    </row>
    <row r="87" spans="1:37" ht="24">
      <c r="A87" s="703" t="s">
        <v>2130</v>
      </c>
      <c r="B87" s="716" t="s">
        <v>2144</v>
      </c>
      <c r="C87" s="603"/>
      <c r="D87" s="709">
        <f t="shared" si="25"/>
        <v>0</v>
      </c>
      <c r="E87" s="826"/>
      <c r="F87" s="711"/>
      <c r="G87" s="712"/>
      <c r="H87" s="713" t="str">
        <f t="shared" si="26"/>
        <v>——</v>
      </c>
      <c r="I87" s="796">
        <v>0.05</v>
      </c>
      <c r="J87" s="797">
        <f t="shared" si="27"/>
        <v>0</v>
      </c>
      <c r="K87" s="797">
        <f t="shared" si="28"/>
        <v>0</v>
      </c>
      <c r="L87" s="797">
        <v>0</v>
      </c>
      <c r="M87" s="797">
        <f t="shared" si="29"/>
        <v>0</v>
      </c>
      <c r="N87" s="797">
        <f t="shared" si="29"/>
        <v>0</v>
      </c>
      <c r="Z87" s="554"/>
      <c r="AA87" s="552"/>
      <c r="AG87" s="556"/>
      <c r="AK87" s="552"/>
    </row>
    <row r="88" spans="1:37" ht="38.25">
      <c r="A88" s="718" t="s">
        <v>2145</v>
      </c>
      <c r="B88" s="829" t="str">
        <f>估价对象房地状况!G18</f>
        <v>该园区内是否有污染型企业，绿化情况，卫生条件，整体环境状况判断</v>
      </c>
      <c r="C88" s="603"/>
      <c r="D88" s="709">
        <f t="shared" si="25"/>
        <v>0</v>
      </c>
      <c r="E88" s="828"/>
      <c r="F88" s="711"/>
      <c r="G88" s="712"/>
      <c r="H88" s="713" t="str">
        <f t="shared" si="26"/>
        <v>——</v>
      </c>
      <c r="I88" s="798">
        <v>0.06</v>
      </c>
      <c r="J88" s="797">
        <f t="shared" si="27"/>
        <v>0</v>
      </c>
      <c r="K88" s="797">
        <f t="shared" si="28"/>
        <v>0</v>
      </c>
      <c r="L88" s="797">
        <v>0</v>
      </c>
      <c r="M88" s="797">
        <f t="shared" si="29"/>
        <v>0</v>
      </c>
      <c r="N88" s="797">
        <f t="shared" si="29"/>
        <v>0</v>
      </c>
      <c r="Z88" s="554"/>
      <c r="AA88" s="552"/>
      <c r="AG88" s="556"/>
      <c r="AK88" s="552"/>
    </row>
    <row r="90" spans="1:37">
      <c r="A90" s="3440" t="s">
        <v>2146</v>
      </c>
      <c r="B90" s="3440"/>
      <c r="C90" s="3440"/>
      <c r="D90" s="3440"/>
      <c r="E90" s="3440"/>
      <c r="F90" s="3440"/>
      <c r="G90" s="3440"/>
      <c r="H90" s="3440"/>
      <c r="I90" s="3440"/>
      <c r="J90" s="3440"/>
      <c r="K90" s="830"/>
      <c r="L90" s="830"/>
      <c r="M90" s="830"/>
      <c r="N90" s="830"/>
    </row>
    <row r="91" spans="1:37">
      <c r="A91" s="3451" t="s">
        <v>2147</v>
      </c>
      <c r="B91" s="3451" t="s">
        <v>2148</v>
      </c>
      <c r="C91" s="671" t="s">
        <v>2149</v>
      </c>
      <c r="D91" s="672"/>
      <c r="E91" s="672"/>
      <c r="F91" s="672"/>
      <c r="G91" s="672"/>
      <c r="H91" s="672"/>
      <c r="I91" s="672"/>
      <c r="J91" s="848"/>
      <c r="K91" s="849"/>
      <c r="L91" s="849"/>
      <c r="M91" s="849"/>
      <c r="N91" s="849"/>
    </row>
    <row r="92" spans="1:37">
      <c r="A92" s="3451"/>
      <c r="B92" s="3451"/>
      <c r="C92" s="670" t="s">
        <v>2013</v>
      </c>
      <c r="D92" s="670" t="s">
        <v>2014</v>
      </c>
      <c r="E92" s="670" t="s">
        <v>2015</v>
      </c>
      <c r="F92" s="670" t="s">
        <v>2016</v>
      </c>
      <c r="G92" s="670" t="s">
        <v>2017</v>
      </c>
      <c r="H92" s="670" t="s">
        <v>2018</v>
      </c>
      <c r="I92" s="670" t="s">
        <v>2019</v>
      </c>
      <c r="J92" s="670" t="s">
        <v>2020</v>
      </c>
      <c r="K92" s="670" t="s">
        <v>2021</v>
      </c>
      <c r="L92" s="670" t="s">
        <v>2022</v>
      </c>
      <c r="M92" s="670" t="s">
        <v>2023</v>
      </c>
      <c r="N92" s="670" t="s">
        <v>2024</v>
      </c>
    </row>
    <row r="93" spans="1:37">
      <c r="A93" s="3452" t="s">
        <v>2150</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45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45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45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45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45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453"/>
      <c r="B99" s="831" t="s">
        <v>2030</v>
      </c>
      <c r="C99" s="833">
        <f>$I$3</f>
        <v>0</v>
      </c>
      <c r="D99" s="833">
        <f t="shared" ref="D99:N99" si="30">$I$3</f>
        <v>0</v>
      </c>
      <c r="E99" s="833">
        <f t="shared" si="30"/>
        <v>0</v>
      </c>
      <c r="F99" s="833">
        <f t="shared" si="30"/>
        <v>0</v>
      </c>
      <c r="G99" s="833">
        <f t="shared" si="30"/>
        <v>0</v>
      </c>
      <c r="H99" s="833">
        <f t="shared" si="30"/>
        <v>0</v>
      </c>
      <c r="I99" s="833">
        <f t="shared" si="30"/>
        <v>0</v>
      </c>
      <c r="J99" s="833">
        <f t="shared" si="30"/>
        <v>0</v>
      </c>
      <c r="K99" s="833">
        <f t="shared" si="30"/>
        <v>0</v>
      </c>
      <c r="L99" s="833">
        <f t="shared" si="30"/>
        <v>0</v>
      </c>
      <c r="M99" s="833">
        <f t="shared" si="30"/>
        <v>0</v>
      </c>
      <c r="N99" s="833">
        <f t="shared" si="30"/>
        <v>0</v>
      </c>
    </row>
    <row r="100" spans="1:14">
      <c r="A100" s="3454"/>
      <c r="B100" s="831">
        <v>7</v>
      </c>
      <c r="C100" s="834">
        <f>(-0.163*(C99^2)-0.59*C99+7617)*(10^(-4))</f>
        <v>0.76170000000000004</v>
      </c>
      <c r="D100" s="834">
        <f>(-0.163*(D99^2)-0.59*D99+7617)*(10^(-4))</f>
        <v>0.76170000000000004</v>
      </c>
      <c r="E100" s="834">
        <f>(-0.161*(E99^2)-7.509*E99+6533)*(10^(-4))</f>
        <v>0.65329999999999999</v>
      </c>
      <c r="F100" s="834">
        <f>(-0.161*(F99^2)-7.509*F99+6533)*(10^(-4))</f>
        <v>0.65329999999999999</v>
      </c>
      <c r="G100" s="834">
        <f>(-0.161*(G99^2)-7.509*G99+6533)*(10^(-4))</f>
        <v>0.65329999999999999</v>
      </c>
      <c r="H100" s="834">
        <f>(-0.161*(H99^2)-7.509*H99+6533)*(10^(-4))</f>
        <v>0.65329999999999999</v>
      </c>
      <c r="I100" s="834">
        <f>(-0.161*(I99^2)-7.509*I99+6533)*(10^(-4))</f>
        <v>0.65329999999999999</v>
      </c>
      <c r="J100" s="834">
        <f>(-0.214*(J99^2)-21.991*J99+4665)*(10^(-4))</f>
        <v>0.46650000000000003</v>
      </c>
      <c r="K100" s="834">
        <f>(-0.214*(K99^2)-21.991*K99+4665)*(10^(-4))</f>
        <v>0.46650000000000003</v>
      </c>
      <c r="L100" s="834">
        <f>(-0.214*(L99^2)-21.991*L99+4665)*(10^(-4))</f>
        <v>0.46650000000000003</v>
      </c>
      <c r="M100" s="834">
        <f>(-0.214*(M99^2)-21.991*M99+4665)*(10^(-4))</f>
        <v>0.46650000000000003</v>
      </c>
      <c r="N100" s="834">
        <f>(-0.214*(N99^2)-21.991*N99+4665)*(10^(-4))</f>
        <v>0.46650000000000003</v>
      </c>
    </row>
    <row r="101" spans="1:14">
      <c r="A101" s="3452" t="s">
        <v>2151</v>
      </c>
      <c r="B101" s="835" t="s">
        <v>2152</v>
      </c>
      <c r="C101" s="836" t="e">
        <f>$G$3</f>
        <v>#DIV/0!</v>
      </c>
      <c r="D101" s="836" t="e">
        <f t="shared" ref="D101:N101" si="31">$G$3</f>
        <v>#DIV/0!</v>
      </c>
      <c r="E101" s="836" t="e">
        <f t="shared" si="31"/>
        <v>#DIV/0!</v>
      </c>
      <c r="F101" s="836" t="e">
        <f t="shared" si="31"/>
        <v>#DIV/0!</v>
      </c>
      <c r="G101" s="836" t="e">
        <f t="shared" si="31"/>
        <v>#DIV/0!</v>
      </c>
      <c r="H101" s="836" t="e">
        <f t="shared" si="31"/>
        <v>#DIV/0!</v>
      </c>
      <c r="I101" s="836" t="e">
        <f t="shared" si="31"/>
        <v>#DIV/0!</v>
      </c>
      <c r="J101" s="836" t="e">
        <f t="shared" si="31"/>
        <v>#DIV/0!</v>
      </c>
      <c r="K101" s="836" t="e">
        <f t="shared" si="31"/>
        <v>#DIV/0!</v>
      </c>
      <c r="L101" s="836" t="e">
        <f t="shared" si="31"/>
        <v>#DIV/0!</v>
      </c>
      <c r="M101" s="836" t="e">
        <f t="shared" si="31"/>
        <v>#DIV/0!</v>
      </c>
      <c r="N101" s="836" t="e">
        <f t="shared" si="31"/>
        <v>#DIV/0!</v>
      </c>
    </row>
    <row r="102" spans="1:14">
      <c r="A102" s="3453"/>
      <c r="B102" s="831">
        <v>1</v>
      </c>
      <c r="C102" s="832" t="e">
        <f>1.9362/C101</f>
        <v>#DIV/0!</v>
      </c>
      <c r="D102" s="832" t="e">
        <f>1.9362/D101</f>
        <v>#DIV/0!</v>
      </c>
      <c r="E102" s="832" t="e">
        <f>1.8629/E101</f>
        <v>#DIV/0!</v>
      </c>
      <c r="F102" s="832" t="e">
        <f>1.8629/F101</f>
        <v>#DIV/0!</v>
      </c>
      <c r="G102" s="832" t="e">
        <f>1.8629/G101</f>
        <v>#DIV/0!</v>
      </c>
      <c r="H102" s="832" t="e">
        <f>1.8629/H101</f>
        <v>#DIV/0!</v>
      </c>
      <c r="I102" s="832" t="e">
        <f>1.8629/I101</f>
        <v>#DIV/0!</v>
      </c>
      <c r="J102" s="832" t="e">
        <f>1.942/J101</f>
        <v>#DIV/0!</v>
      </c>
      <c r="K102" s="832" t="e">
        <f>1.942/K101</f>
        <v>#DIV/0!</v>
      </c>
      <c r="L102" s="832" t="e">
        <f>1.942/L101</f>
        <v>#DIV/0!</v>
      </c>
      <c r="M102" s="832" t="e">
        <f>1.942/M101</f>
        <v>#DIV/0!</v>
      </c>
      <c r="N102" s="832" t="e">
        <f>1.942/N101</f>
        <v>#DIV/0!</v>
      </c>
    </row>
    <row r="103" spans="1:14">
      <c r="A103" s="3453"/>
      <c r="B103" s="831">
        <v>2</v>
      </c>
      <c r="C103" s="832" t="e">
        <f>1.4198/C101</f>
        <v>#DIV/0!</v>
      </c>
      <c r="D103" s="832" t="e">
        <f>1.4198/D101</f>
        <v>#DIV/0!</v>
      </c>
      <c r="E103" s="832" t="e">
        <f>1.3372/E101</f>
        <v>#DIV/0!</v>
      </c>
      <c r="F103" s="832" t="e">
        <f>1.3372/F101</f>
        <v>#DIV/0!</v>
      </c>
      <c r="G103" s="832" t="e">
        <f>1.3372/G101</f>
        <v>#DIV/0!</v>
      </c>
      <c r="H103" s="832" t="e">
        <f>1.3372/H101</f>
        <v>#DIV/0!</v>
      </c>
      <c r="I103" s="832" t="e">
        <f>1.3372/I101</f>
        <v>#DIV/0!</v>
      </c>
      <c r="J103" s="832" t="e">
        <f>1.2799/J101</f>
        <v>#DIV/0!</v>
      </c>
      <c r="K103" s="832" t="e">
        <f>1.2799/K101</f>
        <v>#DIV/0!</v>
      </c>
      <c r="L103" s="832" t="e">
        <f>1.2799/L101</f>
        <v>#DIV/0!</v>
      </c>
      <c r="M103" s="832" t="e">
        <f>1.2799/M101</f>
        <v>#DIV/0!</v>
      </c>
      <c r="N103" s="832" t="e">
        <f>1.2799/N101</f>
        <v>#DIV/0!</v>
      </c>
    </row>
    <row r="104" spans="1:14">
      <c r="A104" s="3453"/>
      <c r="B104" s="831">
        <v>3</v>
      </c>
      <c r="C104" s="832" t="e">
        <f>1.1594/C101</f>
        <v>#DIV/0!</v>
      </c>
      <c r="D104" s="832" t="e">
        <f>1.1594/D101</f>
        <v>#DIV/0!</v>
      </c>
      <c r="E104" s="832" t="e">
        <f>1.0788/E101</f>
        <v>#DIV/0!</v>
      </c>
      <c r="F104" s="832" t="e">
        <f>1.0788/F101</f>
        <v>#DIV/0!</v>
      </c>
      <c r="G104" s="832" t="e">
        <f>1.0788/G101</f>
        <v>#DIV/0!</v>
      </c>
      <c r="H104" s="832" t="e">
        <f>1.0788/H101</f>
        <v>#DIV/0!</v>
      </c>
      <c r="I104" s="832" t="e">
        <f>1.0788/I101</f>
        <v>#DIV/0!</v>
      </c>
      <c r="J104" s="832" t="e">
        <f>1.0072/J101</f>
        <v>#DIV/0!</v>
      </c>
      <c r="K104" s="832" t="e">
        <f>1.0072/K101</f>
        <v>#DIV/0!</v>
      </c>
      <c r="L104" s="832" t="e">
        <f>1.0072/L101</f>
        <v>#DIV/0!</v>
      </c>
      <c r="M104" s="832" t="e">
        <f>1.0072/M101</f>
        <v>#DIV/0!</v>
      </c>
      <c r="N104" s="832" t="e">
        <f>1.0072/N101</f>
        <v>#DIV/0!</v>
      </c>
    </row>
    <row r="105" spans="1:14">
      <c r="A105" s="3453"/>
      <c r="B105" s="831">
        <v>4</v>
      </c>
      <c r="C105" s="832" t="e">
        <f>0.9622/C101</f>
        <v>#DIV/0!</v>
      </c>
      <c r="D105" s="832" t="e">
        <f>0.9622/D101</f>
        <v>#DIV/0!</v>
      </c>
      <c r="E105" s="832" t="e">
        <f>0.8656/E101</f>
        <v>#DIV/0!</v>
      </c>
      <c r="F105" s="832" t="e">
        <f>0.8656/F101</f>
        <v>#DIV/0!</v>
      </c>
      <c r="G105" s="832" t="e">
        <f>0.8656/G101</f>
        <v>#DIV/0!</v>
      </c>
      <c r="H105" s="832" t="e">
        <f>0.8656/H101</f>
        <v>#DIV/0!</v>
      </c>
      <c r="I105" s="832" t="e">
        <f>0.8656/I101</f>
        <v>#DIV/0!</v>
      </c>
      <c r="J105" s="832" t="e">
        <f>0.7525/J101</f>
        <v>#DIV/0!</v>
      </c>
      <c r="K105" s="832" t="e">
        <f>0.7525/K101</f>
        <v>#DIV/0!</v>
      </c>
      <c r="L105" s="832" t="e">
        <f>0.7525/L101</f>
        <v>#DIV/0!</v>
      </c>
      <c r="M105" s="832" t="e">
        <f>0.7525/M101</f>
        <v>#DIV/0!</v>
      </c>
      <c r="N105" s="832" t="e">
        <f>0.7525/N101</f>
        <v>#DIV/0!</v>
      </c>
    </row>
    <row r="106" spans="1:14">
      <c r="A106" s="3453"/>
      <c r="B106" s="831">
        <v>5</v>
      </c>
      <c r="C106" s="832" t="e">
        <f>0.8417/C101</f>
        <v>#DIV/0!</v>
      </c>
      <c r="D106" s="832" t="e">
        <f>0.8417/D101</f>
        <v>#DIV/0!</v>
      </c>
      <c r="E106" s="832" t="e">
        <f>0.7371/E101</f>
        <v>#DIV/0!</v>
      </c>
      <c r="F106" s="832" t="e">
        <f>0.7371/F101</f>
        <v>#DIV/0!</v>
      </c>
      <c r="G106" s="832" t="e">
        <f>0.7371/G101</f>
        <v>#DIV/0!</v>
      </c>
      <c r="H106" s="832" t="e">
        <f>0.7371/H101</f>
        <v>#DIV/0!</v>
      </c>
      <c r="I106" s="832" t="e">
        <f>0.7371/I101</f>
        <v>#DIV/0!</v>
      </c>
      <c r="J106" s="832" t="e">
        <f>0.5659/J101</f>
        <v>#DIV/0!</v>
      </c>
      <c r="K106" s="832" t="e">
        <f>0.5659/K101</f>
        <v>#DIV/0!</v>
      </c>
      <c r="L106" s="832" t="e">
        <f>0.5659/L101</f>
        <v>#DIV/0!</v>
      </c>
      <c r="M106" s="832" t="e">
        <f>0.5659/M101</f>
        <v>#DIV/0!</v>
      </c>
      <c r="N106" s="832" t="e">
        <f>0.5659/N101</f>
        <v>#DIV/0!</v>
      </c>
    </row>
    <row r="107" spans="1:14">
      <c r="A107" s="3453"/>
      <c r="B107" s="831">
        <v>6</v>
      </c>
      <c r="C107" s="832" t="e">
        <f>0.7608/C101</f>
        <v>#DIV/0!</v>
      </c>
      <c r="D107" s="832" t="e">
        <f>0.7608/D101</f>
        <v>#DIV/0!</v>
      </c>
      <c r="E107" s="832" t="e">
        <f>0.6482/E101</f>
        <v>#DIV/0!</v>
      </c>
      <c r="F107" s="832" t="e">
        <f>0.6482/F101</f>
        <v>#DIV/0!</v>
      </c>
      <c r="G107" s="832" t="e">
        <f>0.6482/G101</f>
        <v>#DIV/0!</v>
      </c>
      <c r="H107" s="832" t="e">
        <f>0.6482/H101</f>
        <v>#DIV/0!</v>
      </c>
      <c r="I107" s="832" t="e">
        <f>0.6482/I101</f>
        <v>#DIV/0!</v>
      </c>
      <c r="J107" s="832" t="e">
        <f>0.4525/J101</f>
        <v>#DIV/0!</v>
      </c>
      <c r="K107" s="832" t="e">
        <f>0.4525/K101</f>
        <v>#DIV/0!</v>
      </c>
      <c r="L107" s="832" t="e">
        <f>0.4525/L101</f>
        <v>#DIV/0!</v>
      </c>
      <c r="M107" s="832" t="e">
        <f>0.4525/M101</f>
        <v>#DIV/0!</v>
      </c>
      <c r="N107" s="832" t="e">
        <f>0.4525/N101</f>
        <v>#DIV/0!</v>
      </c>
    </row>
    <row r="108" spans="1:14">
      <c r="A108" s="3453"/>
      <c r="B108" s="3455" t="s">
        <v>2043</v>
      </c>
      <c r="C108" s="833">
        <f>C99</f>
        <v>0</v>
      </c>
      <c r="D108" s="833">
        <f t="shared" ref="D108:N108" si="32">D99</f>
        <v>0</v>
      </c>
      <c r="E108" s="833">
        <f t="shared" si="32"/>
        <v>0</v>
      </c>
      <c r="F108" s="833">
        <f t="shared" si="32"/>
        <v>0</v>
      </c>
      <c r="G108" s="833">
        <f t="shared" si="32"/>
        <v>0</v>
      </c>
      <c r="H108" s="833">
        <f t="shared" si="32"/>
        <v>0</v>
      </c>
      <c r="I108" s="833">
        <f t="shared" si="32"/>
        <v>0</v>
      </c>
      <c r="J108" s="833">
        <f t="shared" si="32"/>
        <v>0</v>
      </c>
      <c r="K108" s="833">
        <f t="shared" si="32"/>
        <v>0</v>
      </c>
      <c r="L108" s="833">
        <f t="shared" si="32"/>
        <v>0</v>
      </c>
      <c r="M108" s="833">
        <f t="shared" si="32"/>
        <v>0</v>
      </c>
      <c r="N108" s="833">
        <f t="shared" si="32"/>
        <v>0</v>
      </c>
    </row>
    <row r="109" spans="1:14">
      <c r="A109" s="3454"/>
      <c r="B109" s="3456"/>
      <c r="C109" s="834" t="e">
        <f>(-0.163*(C108^2)-0.59*C108+7617)*(10^(-4))/C101</f>
        <v>#DIV/0!</v>
      </c>
      <c r="D109" s="834" t="e">
        <f>(-0.163*(D108^2)-0.59*D108+7617)*(10^(-4))/D101</f>
        <v>#DIV/0!</v>
      </c>
      <c r="E109" s="834" t="e">
        <f>(-0.161*(E108^2)-7.509*E108+6533)*(10^(-4))/E101</f>
        <v>#DIV/0!</v>
      </c>
      <c r="F109" s="834" t="e">
        <f>(-0.161*(F108^2)-7.509*F108+6533)*(10^(-4))/F101</f>
        <v>#DIV/0!</v>
      </c>
      <c r="G109" s="834" t="e">
        <f>(-0.161*(G108^2)-7.509*G108+6533)*(10^(-4))/G101</f>
        <v>#DIV/0!</v>
      </c>
      <c r="H109" s="834" t="e">
        <f>(-0.161*(H108^2)-7.509*H108+6533)*(10^(-4))/H101</f>
        <v>#DIV/0!</v>
      </c>
      <c r="I109" s="834" t="e">
        <f>(-0.161*(I108^2)-7.509*I108+6533)*(10^(-4))/I101</f>
        <v>#DIV/0!</v>
      </c>
      <c r="J109" s="834" t="e">
        <f>(-0.214*(J108^2)-21.991*J108+4665)*(10^(-4))/J101</f>
        <v>#DIV/0!</v>
      </c>
      <c r="K109" s="834" t="e">
        <f>(-0.214*(K108^2)-21.991*K108+4665)*(10^(-4))/K101</f>
        <v>#DIV/0!</v>
      </c>
      <c r="L109" s="834" t="e">
        <f>(-0.214*(L108^2)-21.991*L108+4665)*(10^(-4))/L101</f>
        <v>#DIV/0!</v>
      </c>
      <c r="M109" s="834" t="e">
        <f>(-0.214*(M108^2)-21.991*M108+4665)*(10^(-4))/M101</f>
        <v>#DIV/0!</v>
      </c>
      <c r="N109" s="834" t="e">
        <f>(-0.214*(N108^2)-21.991*N108+4665)*(10^(-4))/N101</f>
        <v>#DIV/0!</v>
      </c>
    </row>
    <row r="110" spans="1:14">
      <c r="A110" s="3442" t="s">
        <v>2153</v>
      </c>
      <c r="B110" s="3442"/>
      <c r="C110" s="3442"/>
      <c r="D110" s="3442"/>
      <c r="E110" s="3442"/>
      <c r="F110" s="3442"/>
      <c r="G110" s="3442"/>
      <c r="H110" s="3442"/>
      <c r="I110" s="3442"/>
      <c r="J110" s="3442"/>
      <c r="K110" s="837"/>
      <c r="L110" s="837"/>
      <c r="M110" s="837"/>
      <c r="N110" s="837"/>
    </row>
    <row r="113" spans="1:13" ht="24.75">
      <c r="A113" s="838" t="s">
        <v>2154</v>
      </c>
      <c r="B113" s="839" t="e">
        <f>G3</f>
        <v>#DIV/0!</v>
      </c>
      <c r="C113" s="632" t="s">
        <v>2155</v>
      </c>
      <c r="D113" s="840" t="e">
        <f>SUMPRODUCT((A115:A118=F113)*(B114:M114=H113)*B115:M118)</f>
        <v>#DIV/0!</v>
      </c>
      <c r="E113" s="562" t="s">
        <v>1988</v>
      </c>
      <c r="F113" s="841">
        <f>E2</f>
        <v>0</v>
      </c>
      <c r="G113" s="562" t="s">
        <v>1989</v>
      </c>
      <c r="H113" s="841">
        <f>G2</f>
        <v>0</v>
      </c>
      <c r="I113" s="562"/>
      <c r="J113" s="463"/>
      <c r="K113" s="463"/>
      <c r="L113" s="463"/>
      <c r="M113" s="463"/>
    </row>
    <row r="114" spans="1:13">
      <c r="A114" s="842"/>
      <c r="B114" s="843" t="s">
        <v>2156</v>
      </c>
      <c r="C114" s="843" t="s">
        <v>2157</v>
      </c>
      <c r="D114" s="843" t="s">
        <v>2158</v>
      </c>
      <c r="E114" s="844" t="s">
        <v>2159</v>
      </c>
      <c r="F114" s="844" t="s">
        <v>2160</v>
      </c>
      <c r="G114" s="844" t="s">
        <v>2161</v>
      </c>
      <c r="H114" s="845" t="s">
        <v>2162</v>
      </c>
      <c r="I114" s="845" t="s">
        <v>2163</v>
      </c>
      <c r="J114" s="850" t="s">
        <v>2164</v>
      </c>
      <c r="K114" s="850" t="s">
        <v>2165</v>
      </c>
      <c r="L114" s="850" t="s">
        <v>2166</v>
      </c>
      <c r="M114" s="851" t="s">
        <v>2167</v>
      </c>
    </row>
    <row r="115" spans="1:13">
      <c r="A115" s="779" t="s">
        <v>2087</v>
      </c>
      <c r="B115" s="707" t="e">
        <f>ROUND(0.9335-0.0094*B113,4)</f>
        <v>#DIV/0!</v>
      </c>
      <c r="C115" s="707" t="e">
        <f>B115</f>
        <v>#DIV/0!</v>
      </c>
      <c r="D115" s="707" t="e">
        <f>ROUND(0.8331-0.0109*B113,4)</f>
        <v>#DIV/0!</v>
      </c>
      <c r="E115" s="707" t="e">
        <f>D115</f>
        <v>#DIV/0!</v>
      </c>
      <c r="F115" s="707" t="e">
        <f>E115</f>
        <v>#DIV/0!</v>
      </c>
      <c r="G115" s="707" t="e">
        <f>F115</f>
        <v>#DIV/0!</v>
      </c>
      <c r="H115" s="707" t="e">
        <f>G115</f>
        <v>#DIV/0!</v>
      </c>
      <c r="I115" s="707" t="e">
        <f>ROUND(0.689-0.0155*B113,4)</f>
        <v>#DIV/0!</v>
      </c>
      <c r="J115" s="707" t="e">
        <f t="shared" ref="J115:M118" si="33">I115</f>
        <v>#DIV/0!</v>
      </c>
      <c r="K115" s="707" t="e">
        <f t="shared" si="33"/>
        <v>#DIV/0!</v>
      </c>
      <c r="L115" s="707" t="e">
        <f t="shared" si="33"/>
        <v>#DIV/0!</v>
      </c>
      <c r="M115" s="852" t="e">
        <f t="shared" si="33"/>
        <v>#DIV/0!</v>
      </c>
    </row>
    <row r="116" spans="1:13">
      <c r="A116" s="779" t="s">
        <v>2088</v>
      </c>
      <c r="B116" s="707" t="e">
        <f>ROUND(0.949-0.012*B113,4)</f>
        <v>#DIV/0!</v>
      </c>
      <c r="C116" s="707" t="e">
        <f>B116</f>
        <v>#DIV/0!</v>
      </c>
      <c r="D116" s="707" t="e">
        <f>ROUND(0.8567-0.013*B113,4)</f>
        <v>#DIV/0!</v>
      </c>
      <c r="E116" s="707" t="e">
        <f t="shared" ref="E116:H117" si="34">D116</f>
        <v>#DIV/0!</v>
      </c>
      <c r="F116" s="707" t="e">
        <f t="shared" si="34"/>
        <v>#DIV/0!</v>
      </c>
      <c r="G116" s="707" t="e">
        <f t="shared" si="34"/>
        <v>#DIV/0!</v>
      </c>
      <c r="H116" s="707" t="e">
        <f t="shared" si="34"/>
        <v>#DIV/0!</v>
      </c>
      <c r="I116" s="707" t="e">
        <f>ROUND(0.7694-0.014*B113,4)</f>
        <v>#DIV/0!</v>
      </c>
      <c r="J116" s="707" t="e">
        <f t="shared" si="33"/>
        <v>#DIV/0!</v>
      </c>
      <c r="K116" s="707" t="e">
        <f t="shared" si="33"/>
        <v>#DIV/0!</v>
      </c>
      <c r="L116" s="707" t="e">
        <f t="shared" si="33"/>
        <v>#DIV/0!</v>
      </c>
      <c r="M116" s="852" t="e">
        <f t="shared" si="33"/>
        <v>#DIV/0!</v>
      </c>
    </row>
    <row r="117" spans="1:13">
      <c r="A117" s="779" t="s">
        <v>2089</v>
      </c>
      <c r="B117" s="707" t="e">
        <f>ROUND(0.8808-0.006*B113,4)</f>
        <v>#DIV/0!</v>
      </c>
      <c r="C117" s="707" t="e">
        <f>B117</f>
        <v>#DIV/0!</v>
      </c>
      <c r="D117" s="707" t="e">
        <f>ROUND(0.8748-0.008*B113,4)</f>
        <v>#DIV/0!</v>
      </c>
      <c r="E117" s="707" t="e">
        <f t="shared" si="34"/>
        <v>#DIV/0!</v>
      </c>
      <c r="F117" s="707" t="e">
        <f t="shared" si="34"/>
        <v>#DIV/0!</v>
      </c>
      <c r="G117" s="707" t="e">
        <f t="shared" si="34"/>
        <v>#DIV/0!</v>
      </c>
      <c r="H117" s="707" t="e">
        <f t="shared" si="34"/>
        <v>#DIV/0!</v>
      </c>
      <c r="I117" s="707" t="e">
        <f>ROUND(0.7412-0.0095*B113,4)</f>
        <v>#DIV/0!</v>
      </c>
      <c r="J117" s="707" t="e">
        <f t="shared" si="33"/>
        <v>#DIV/0!</v>
      </c>
      <c r="K117" s="707" t="e">
        <f t="shared" si="33"/>
        <v>#DIV/0!</v>
      </c>
      <c r="L117" s="707" t="e">
        <f t="shared" si="33"/>
        <v>#DIV/0!</v>
      </c>
      <c r="M117" s="852" t="e">
        <f t="shared" si="33"/>
        <v>#DIV/0!</v>
      </c>
    </row>
    <row r="118" spans="1:13">
      <c r="A118" s="846" t="s">
        <v>2090</v>
      </c>
      <c r="B118" s="847" t="e">
        <f>ROUND(0.7275-0.01*B113,4)</f>
        <v>#DIV/0!</v>
      </c>
      <c r="C118" s="847" t="e">
        <f>B118</f>
        <v>#DIV/0!</v>
      </c>
      <c r="D118" s="847" t="e">
        <f>ROUND(0.7043-0.012*B113,4)</f>
        <v>#DIV/0!</v>
      </c>
      <c r="E118" s="847" t="e">
        <f>D118</f>
        <v>#DIV/0!</v>
      </c>
      <c r="F118" s="847" t="e">
        <f>E118</f>
        <v>#DIV/0!</v>
      </c>
      <c r="G118" s="847" t="e">
        <f>ROUND(0.6299-0.0122*B113,4)</f>
        <v>#DIV/0!</v>
      </c>
      <c r="H118" s="847" t="e">
        <f>G118</f>
        <v>#DIV/0!</v>
      </c>
      <c r="I118" s="847" t="e">
        <f>ROUND(0.5667-0.0136*B113,4)</f>
        <v>#DIV/0!</v>
      </c>
      <c r="J118" s="847" t="e">
        <f t="shared" si="33"/>
        <v>#DIV/0!</v>
      </c>
      <c r="K118" s="847" t="e">
        <f t="shared" si="33"/>
        <v>#DIV/0!</v>
      </c>
      <c r="L118" s="847" t="e">
        <f t="shared" si="33"/>
        <v>#DIV/0!</v>
      </c>
      <c r="M118" s="85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5"/>
  </cols>
  <sheetData>
    <row r="1" spans="1:13" ht="19.5" customHeight="1">
      <c r="A1" s="486"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7" t="s">
        <v>466</v>
      </c>
      <c r="B2" s="488">
        <v>3.5</v>
      </c>
      <c r="C2" s="488">
        <v>3.5</v>
      </c>
      <c r="D2" s="489">
        <v>2.5</v>
      </c>
      <c r="E2" s="489">
        <v>2.5</v>
      </c>
      <c r="F2" s="489">
        <v>2.5</v>
      </c>
      <c r="G2" s="489">
        <v>2.5</v>
      </c>
      <c r="H2" s="489">
        <v>2.5</v>
      </c>
      <c r="I2" s="488">
        <v>2</v>
      </c>
      <c r="J2" s="488">
        <v>2</v>
      </c>
      <c r="K2" s="488">
        <v>2</v>
      </c>
      <c r="L2" s="488">
        <v>2</v>
      </c>
      <c r="M2" s="537">
        <v>2</v>
      </c>
    </row>
    <row r="3" spans="1:13" ht="19.5" customHeight="1">
      <c r="A3" s="490" t="s">
        <v>2168</v>
      </c>
      <c r="B3" s="491">
        <v>3.5</v>
      </c>
      <c r="C3" s="491">
        <v>3.5</v>
      </c>
      <c r="D3" s="492">
        <v>2.5</v>
      </c>
      <c r="E3" s="492">
        <v>2.5</v>
      </c>
      <c r="F3" s="492">
        <v>2.5</v>
      </c>
      <c r="G3" s="492">
        <v>2.5</v>
      </c>
      <c r="H3" s="492">
        <v>2.5</v>
      </c>
      <c r="I3" s="491">
        <v>2</v>
      </c>
      <c r="J3" s="491">
        <v>2</v>
      </c>
      <c r="K3" s="491">
        <v>2</v>
      </c>
      <c r="L3" s="491">
        <v>2</v>
      </c>
      <c r="M3" s="538">
        <v>2</v>
      </c>
    </row>
    <row r="4" spans="1:13" ht="19.5" customHeight="1">
      <c r="A4" s="490" t="s">
        <v>463</v>
      </c>
      <c r="B4" s="492">
        <v>2.5</v>
      </c>
      <c r="C4" s="492">
        <v>2.5</v>
      </c>
      <c r="D4" s="492">
        <v>2.5</v>
      </c>
      <c r="E4" s="492">
        <v>2.5</v>
      </c>
      <c r="F4" s="492">
        <v>2.5</v>
      </c>
      <c r="G4" s="492">
        <v>2.5</v>
      </c>
      <c r="H4" s="492">
        <v>2.5</v>
      </c>
      <c r="I4" s="491">
        <v>1.5</v>
      </c>
      <c r="J4" s="491">
        <v>1.5</v>
      </c>
      <c r="K4" s="491">
        <v>1.5</v>
      </c>
      <c r="L4" s="491">
        <v>1.5</v>
      </c>
      <c r="M4" s="538">
        <v>1.5</v>
      </c>
    </row>
    <row r="5" spans="1:13" ht="19.5" customHeight="1">
      <c r="A5" s="493" t="s">
        <v>2169</v>
      </c>
      <c r="B5" s="491">
        <v>1.5</v>
      </c>
      <c r="C5" s="491">
        <v>1.5</v>
      </c>
      <c r="D5" s="491">
        <v>1.5</v>
      </c>
      <c r="E5" s="491">
        <v>1.5</v>
      </c>
      <c r="F5" s="491">
        <v>1.5</v>
      </c>
      <c r="G5" s="491">
        <v>1.2</v>
      </c>
      <c r="H5" s="491">
        <v>1.2</v>
      </c>
      <c r="I5" s="491">
        <v>1</v>
      </c>
      <c r="J5" s="491">
        <v>1</v>
      </c>
      <c r="K5" s="491">
        <v>1</v>
      </c>
      <c r="L5" s="491">
        <v>1</v>
      </c>
      <c r="M5" s="538">
        <v>1</v>
      </c>
    </row>
    <row r="6" spans="1:13" ht="19.5" customHeight="1">
      <c r="A6" s="494" t="s">
        <v>2170</v>
      </c>
      <c r="B6" s="495">
        <v>2.5</v>
      </c>
      <c r="C6" s="495">
        <v>2.5</v>
      </c>
      <c r="D6" s="495">
        <v>2</v>
      </c>
      <c r="E6" s="495">
        <v>2</v>
      </c>
      <c r="F6" s="495">
        <v>2</v>
      </c>
      <c r="G6" s="495">
        <v>2</v>
      </c>
      <c r="H6" s="495">
        <v>2</v>
      </c>
      <c r="I6" s="539">
        <v>1.5</v>
      </c>
      <c r="J6" s="539">
        <v>1.5</v>
      </c>
      <c r="K6" s="539">
        <v>1.5</v>
      </c>
      <c r="L6" s="539">
        <v>1.5</v>
      </c>
      <c r="M6" s="540">
        <v>1.5</v>
      </c>
    </row>
    <row r="7" spans="1:13" ht="19.5" customHeight="1">
      <c r="A7" s="496" t="s">
        <v>2171</v>
      </c>
      <c r="B7" s="497">
        <v>2.5</v>
      </c>
      <c r="C7" s="497">
        <v>2.5</v>
      </c>
      <c r="D7" s="497">
        <v>2</v>
      </c>
      <c r="E7" s="497">
        <v>2</v>
      </c>
      <c r="F7" s="497">
        <v>2</v>
      </c>
      <c r="G7" s="497">
        <v>2</v>
      </c>
      <c r="H7" s="497">
        <v>2</v>
      </c>
      <c r="I7" s="541">
        <v>1.5</v>
      </c>
      <c r="J7" s="541">
        <v>1.5</v>
      </c>
      <c r="K7" s="541">
        <v>1.5</v>
      </c>
      <c r="L7" s="541">
        <v>1.5</v>
      </c>
      <c r="M7" s="542">
        <v>1.5</v>
      </c>
    </row>
    <row r="8" spans="1:13" ht="19.5" customHeight="1">
      <c r="A8" s="498" t="s">
        <v>397</v>
      </c>
      <c r="B8" s="499">
        <v>80</v>
      </c>
      <c r="C8" s="499">
        <v>80</v>
      </c>
      <c r="D8" s="499">
        <v>70</v>
      </c>
      <c r="E8" s="499">
        <v>70</v>
      </c>
      <c r="F8" s="499">
        <v>70</v>
      </c>
      <c r="G8" s="499">
        <v>70</v>
      </c>
      <c r="H8" s="499">
        <v>70</v>
      </c>
      <c r="I8" s="499">
        <v>60</v>
      </c>
      <c r="J8" s="499">
        <v>60</v>
      </c>
      <c r="K8" s="499">
        <v>60</v>
      </c>
      <c r="L8" s="499">
        <v>60</v>
      </c>
      <c r="M8" s="543">
        <v>60</v>
      </c>
    </row>
    <row r="9" spans="1:13" ht="19.5" customHeight="1">
      <c r="A9" s="500" t="s">
        <v>398</v>
      </c>
      <c r="B9" s="501">
        <v>70</v>
      </c>
      <c r="C9" s="501">
        <v>70</v>
      </c>
      <c r="D9" s="501">
        <v>60</v>
      </c>
      <c r="E9" s="501">
        <v>60</v>
      </c>
      <c r="F9" s="501">
        <v>60</v>
      </c>
      <c r="G9" s="501">
        <v>60</v>
      </c>
      <c r="H9" s="501">
        <v>60</v>
      </c>
      <c r="I9" s="501">
        <v>50</v>
      </c>
      <c r="J9" s="501">
        <v>50</v>
      </c>
      <c r="K9" s="501">
        <v>50</v>
      </c>
      <c r="L9" s="501">
        <v>50</v>
      </c>
      <c r="M9" s="544">
        <v>50</v>
      </c>
    </row>
    <row r="10" spans="1:13" ht="19.5" customHeight="1">
      <c r="A10" s="500" t="s">
        <v>399</v>
      </c>
      <c r="B10" s="501">
        <v>20</v>
      </c>
      <c r="C10" s="501">
        <v>20</v>
      </c>
      <c r="D10" s="501">
        <v>15</v>
      </c>
      <c r="E10" s="501">
        <v>15</v>
      </c>
      <c r="F10" s="501">
        <v>15</v>
      </c>
      <c r="G10" s="501">
        <v>15</v>
      </c>
      <c r="H10" s="501">
        <v>15</v>
      </c>
      <c r="I10" s="501">
        <v>10</v>
      </c>
      <c r="J10" s="501">
        <v>10</v>
      </c>
      <c r="K10" s="501">
        <v>10</v>
      </c>
      <c r="L10" s="501">
        <v>10</v>
      </c>
      <c r="M10" s="544">
        <v>10</v>
      </c>
    </row>
    <row r="11" spans="1:13" ht="19.5" customHeight="1">
      <c r="A11" s="500" t="s">
        <v>400</v>
      </c>
      <c r="B11" s="501">
        <v>30</v>
      </c>
      <c r="C11" s="501">
        <v>30</v>
      </c>
      <c r="D11" s="501">
        <v>25</v>
      </c>
      <c r="E11" s="501">
        <v>25</v>
      </c>
      <c r="F11" s="501">
        <v>25</v>
      </c>
      <c r="G11" s="501">
        <v>25</v>
      </c>
      <c r="H11" s="501">
        <v>25</v>
      </c>
      <c r="I11" s="501">
        <v>20</v>
      </c>
      <c r="J11" s="501">
        <v>20</v>
      </c>
      <c r="K11" s="501">
        <v>20</v>
      </c>
      <c r="L11" s="501">
        <v>20</v>
      </c>
      <c r="M11" s="544">
        <v>20</v>
      </c>
    </row>
    <row r="12" spans="1:13" ht="19.5" customHeight="1">
      <c r="A12" s="500" t="s">
        <v>401</v>
      </c>
      <c r="B12" s="501">
        <v>45</v>
      </c>
      <c r="C12" s="501">
        <v>45</v>
      </c>
      <c r="D12" s="501">
        <v>40</v>
      </c>
      <c r="E12" s="501">
        <v>40</v>
      </c>
      <c r="F12" s="501">
        <v>40</v>
      </c>
      <c r="G12" s="501">
        <v>40</v>
      </c>
      <c r="H12" s="501">
        <v>40</v>
      </c>
      <c r="I12" s="501">
        <v>35</v>
      </c>
      <c r="J12" s="501">
        <v>35</v>
      </c>
      <c r="K12" s="501">
        <v>35</v>
      </c>
      <c r="L12" s="501">
        <v>35</v>
      </c>
      <c r="M12" s="544">
        <v>35</v>
      </c>
    </row>
    <row r="13" spans="1:13" ht="19.5" customHeight="1">
      <c r="A13" s="500" t="s">
        <v>2172</v>
      </c>
      <c r="B13" s="501">
        <v>60</v>
      </c>
      <c r="C13" s="501">
        <v>60</v>
      </c>
      <c r="D13" s="501">
        <v>50</v>
      </c>
      <c r="E13" s="501">
        <v>50</v>
      </c>
      <c r="F13" s="501">
        <v>50</v>
      </c>
      <c r="G13" s="501">
        <v>50</v>
      </c>
      <c r="H13" s="501">
        <v>50</v>
      </c>
      <c r="I13" s="501">
        <v>40</v>
      </c>
      <c r="J13" s="501">
        <v>40</v>
      </c>
      <c r="K13" s="501">
        <v>40</v>
      </c>
      <c r="L13" s="501">
        <v>40</v>
      </c>
      <c r="M13" s="544">
        <v>40</v>
      </c>
    </row>
    <row r="14" spans="1:13" ht="19.5" customHeight="1">
      <c r="A14" s="500" t="s">
        <v>2173</v>
      </c>
      <c r="B14" s="501">
        <v>50</v>
      </c>
      <c r="C14" s="501">
        <v>50</v>
      </c>
      <c r="D14" s="501">
        <v>40</v>
      </c>
      <c r="E14" s="501">
        <v>40</v>
      </c>
      <c r="F14" s="501">
        <v>40</v>
      </c>
      <c r="G14" s="501">
        <v>40</v>
      </c>
      <c r="H14" s="501">
        <v>40</v>
      </c>
      <c r="I14" s="501">
        <v>30</v>
      </c>
      <c r="J14" s="501">
        <v>30</v>
      </c>
      <c r="K14" s="501">
        <v>30</v>
      </c>
      <c r="L14" s="501">
        <v>30</v>
      </c>
      <c r="M14" s="544">
        <v>30</v>
      </c>
    </row>
    <row r="15" spans="1:13" ht="19.5" customHeight="1">
      <c r="A15" s="502" t="s">
        <v>2174</v>
      </c>
      <c r="B15" s="503">
        <v>20</v>
      </c>
      <c r="C15" s="503">
        <v>20</v>
      </c>
      <c r="D15" s="503">
        <v>15</v>
      </c>
      <c r="E15" s="503">
        <v>15</v>
      </c>
      <c r="F15" s="503">
        <v>15</v>
      </c>
      <c r="G15" s="503">
        <v>15</v>
      </c>
      <c r="H15" s="503">
        <v>15</v>
      </c>
      <c r="I15" s="503">
        <v>10</v>
      </c>
      <c r="J15" s="503">
        <v>10</v>
      </c>
      <c r="K15" s="503">
        <v>10</v>
      </c>
      <c r="L15" s="503">
        <v>10</v>
      </c>
      <c r="M15" s="545">
        <v>10</v>
      </c>
    </row>
    <row r="16" spans="1:13" ht="19.5" customHeight="1">
      <c r="A16" s="504" t="s">
        <v>124</v>
      </c>
      <c r="B16" s="505">
        <v>0</v>
      </c>
      <c r="C16" s="505">
        <v>0</v>
      </c>
      <c r="D16" s="505">
        <v>0</v>
      </c>
      <c r="E16" s="505">
        <v>0</v>
      </c>
      <c r="F16" s="505">
        <v>0</v>
      </c>
      <c r="G16" s="505">
        <v>0</v>
      </c>
      <c r="H16" s="505">
        <v>0</v>
      </c>
      <c r="I16" s="505">
        <v>0</v>
      </c>
      <c r="J16" s="505">
        <v>0</v>
      </c>
      <c r="K16" s="505">
        <v>0</v>
      </c>
      <c r="L16" s="505">
        <v>0</v>
      </c>
      <c r="M16" s="505">
        <v>0</v>
      </c>
    </row>
    <row r="17" spans="1:13" ht="19.5" customHeight="1">
      <c r="A17" s="504" t="s">
        <v>2175</v>
      </c>
      <c r="B17" s="505">
        <f>SUM(B8:B15)</f>
        <v>375</v>
      </c>
      <c r="C17" s="505">
        <f t="shared" ref="C17:H17" si="0">SUM(C8:C15)</f>
        <v>375</v>
      </c>
      <c r="D17" s="505">
        <f t="shared" si="0"/>
        <v>315</v>
      </c>
      <c r="E17" s="505">
        <f t="shared" si="0"/>
        <v>315</v>
      </c>
      <c r="F17" s="505">
        <f t="shared" si="0"/>
        <v>315</v>
      </c>
      <c r="G17" s="505">
        <f t="shared" si="0"/>
        <v>315</v>
      </c>
      <c r="H17" s="505">
        <f t="shared" si="0"/>
        <v>315</v>
      </c>
      <c r="I17" s="505">
        <f>SUM(I8:I12,I15)</f>
        <v>185</v>
      </c>
      <c r="J17" s="505">
        <f t="shared" ref="J17:M17" si="1">SUM(J8:J12,J15)</f>
        <v>185</v>
      </c>
      <c r="K17" s="505">
        <f t="shared" si="1"/>
        <v>185</v>
      </c>
      <c r="L17" s="505">
        <f t="shared" si="1"/>
        <v>185</v>
      </c>
      <c r="M17" s="505">
        <f t="shared" si="1"/>
        <v>185</v>
      </c>
    </row>
    <row r="18" spans="1:13" ht="19.5" customHeight="1">
      <c r="A18" s="506" t="s">
        <v>2176</v>
      </c>
      <c r="B18" s="506"/>
      <c r="C18" s="507"/>
      <c r="D18" s="507"/>
      <c r="E18" s="506"/>
      <c r="F18" s="507"/>
      <c r="G18" s="507"/>
    </row>
    <row r="19" spans="1:13" ht="19.5" customHeight="1">
      <c r="A19" s="503" t="s">
        <v>2177</v>
      </c>
      <c r="B19" s="508" t="s">
        <v>2178</v>
      </c>
      <c r="C19" s="509" t="s">
        <v>2179</v>
      </c>
      <c r="D19" s="510"/>
      <c r="E19" s="501" t="s">
        <v>2180</v>
      </c>
      <c r="F19" s="511"/>
      <c r="G19" s="511"/>
    </row>
    <row r="20" spans="1:13" ht="19.5" customHeight="1">
      <c r="A20" s="3458" t="s">
        <v>466</v>
      </c>
      <c r="B20" s="3464" t="s">
        <v>2181</v>
      </c>
      <c r="C20" s="512" t="s">
        <v>2182</v>
      </c>
      <c r="D20" s="513"/>
      <c r="E20" s="514">
        <v>1</v>
      </c>
      <c r="F20" s="515" t="s">
        <v>2183</v>
      </c>
      <c r="G20" s="516"/>
    </row>
    <row r="21" spans="1:13" ht="19.5" customHeight="1">
      <c r="A21" s="3459"/>
      <c r="B21" s="3465"/>
      <c r="C21" s="517" t="s">
        <v>2184</v>
      </c>
      <c r="D21" s="518"/>
      <c r="E21" s="519">
        <v>1</v>
      </c>
      <c r="F21" s="515" t="s">
        <v>2185</v>
      </c>
      <c r="G21" s="516"/>
    </row>
    <row r="22" spans="1:13" ht="19.5" customHeight="1">
      <c r="A22" s="3459"/>
      <c r="B22" s="3465"/>
      <c r="C22" s="517" t="s">
        <v>2186</v>
      </c>
      <c r="D22" s="518"/>
      <c r="E22" s="519">
        <v>0.9</v>
      </c>
      <c r="F22" s="515" t="s">
        <v>2187</v>
      </c>
      <c r="G22" s="516"/>
    </row>
    <row r="23" spans="1:13" ht="19.5" customHeight="1">
      <c r="A23" s="3459"/>
      <c r="B23" s="3465"/>
      <c r="C23" s="517" t="s">
        <v>2188</v>
      </c>
      <c r="D23" s="518"/>
      <c r="E23" s="519">
        <v>0.9</v>
      </c>
      <c r="F23" s="515" t="s">
        <v>2189</v>
      </c>
      <c r="G23" s="516"/>
    </row>
    <row r="24" spans="1:13" ht="19.5" customHeight="1">
      <c r="A24" s="3459"/>
      <c r="B24" s="3465"/>
      <c r="C24" s="517" t="s">
        <v>2190</v>
      </c>
      <c r="D24" s="518"/>
      <c r="E24" s="519">
        <v>0.8</v>
      </c>
      <c r="F24" s="515" t="s">
        <v>2191</v>
      </c>
      <c r="G24" s="516"/>
    </row>
    <row r="25" spans="1:13" ht="19.5" customHeight="1">
      <c r="A25" s="3460"/>
      <c r="B25" s="3466"/>
      <c r="C25" s="520" t="s">
        <v>2192</v>
      </c>
      <c r="D25" s="521"/>
      <c r="E25" s="522">
        <v>0.8</v>
      </c>
      <c r="F25" s="515" t="s">
        <v>2193</v>
      </c>
      <c r="G25" s="516"/>
    </row>
    <row r="26" spans="1:13" ht="19.5" customHeight="1">
      <c r="A26" s="523" t="s">
        <v>2168</v>
      </c>
      <c r="B26" s="524" t="s">
        <v>2181</v>
      </c>
      <c r="C26" s="525" t="s">
        <v>2194</v>
      </c>
      <c r="D26" s="526"/>
      <c r="E26" s="527">
        <v>1</v>
      </c>
      <c r="F26" s="515" t="s">
        <v>2195</v>
      </c>
      <c r="G26" s="516"/>
    </row>
    <row r="27" spans="1:13" ht="19.5" customHeight="1">
      <c r="A27" s="3461" t="s">
        <v>2171</v>
      </c>
      <c r="B27" s="3464" t="s">
        <v>2171</v>
      </c>
      <c r="C27" s="512" t="s">
        <v>2196</v>
      </c>
      <c r="D27" s="513"/>
      <c r="E27" s="514">
        <v>1</v>
      </c>
      <c r="F27" s="515" t="s">
        <v>2197</v>
      </c>
      <c r="G27" s="516"/>
    </row>
    <row r="28" spans="1:13" ht="19.5" customHeight="1">
      <c r="A28" s="3462"/>
      <c r="B28" s="3465"/>
      <c r="C28" s="517" t="s">
        <v>2198</v>
      </c>
      <c r="D28" s="518"/>
      <c r="E28" s="519">
        <v>1</v>
      </c>
      <c r="F28" s="515" t="s">
        <v>2199</v>
      </c>
      <c r="G28" s="516"/>
    </row>
    <row r="29" spans="1:13" ht="19.5" customHeight="1">
      <c r="A29" s="3462"/>
      <c r="B29" s="3465"/>
      <c r="C29" s="517" t="s">
        <v>2200</v>
      </c>
      <c r="D29" s="518"/>
      <c r="E29" s="519">
        <v>0.8</v>
      </c>
      <c r="F29" s="515" t="s">
        <v>2201</v>
      </c>
      <c r="G29" s="516"/>
    </row>
    <row r="30" spans="1:13" ht="19.5" customHeight="1">
      <c r="A30" s="3462"/>
      <c r="B30" s="3465"/>
      <c r="C30" s="517" t="s">
        <v>2202</v>
      </c>
      <c r="D30" s="518"/>
      <c r="E30" s="519">
        <v>0.8</v>
      </c>
      <c r="F30" s="515" t="s">
        <v>2203</v>
      </c>
      <c r="G30" s="516"/>
    </row>
    <row r="31" spans="1:13" ht="19.5" customHeight="1">
      <c r="A31" s="3462"/>
      <c r="B31" s="3465"/>
      <c r="C31" s="517" t="s">
        <v>2204</v>
      </c>
      <c r="D31" s="518"/>
      <c r="E31" s="519">
        <v>0.8</v>
      </c>
      <c r="F31" s="515" t="s">
        <v>2205</v>
      </c>
      <c r="G31" s="516"/>
    </row>
    <row r="32" spans="1:13" ht="19.5" customHeight="1">
      <c r="A32" s="3462"/>
      <c r="B32" s="3465"/>
      <c r="C32" s="517" t="s">
        <v>2206</v>
      </c>
      <c r="D32" s="518"/>
      <c r="E32" s="519">
        <v>0.7</v>
      </c>
      <c r="F32" s="515" t="s">
        <v>2207</v>
      </c>
      <c r="G32" s="516"/>
    </row>
    <row r="33" spans="1:7" ht="19.5" customHeight="1">
      <c r="A33" s="3462"/>
      <c r="B33" s="3465"/>
      <c r="C33" s="517" t="s">
        <v>2208</v>
      </c>
      <c r="D33" s="518"/>
      <c r="E33" s="519">
        <v>0.8</v>
      </c>
      <c r="F33" s="515" t="s">
        <v>2209</v>
      </c>
      <c r="G33" s="516"/>
    </row>
    <row r="34" spans="1:7" ht="19.5" customHeight="1">
      <c r="A34" s="3462"/>
      <c r="B34" s="3465"/>
      <c r="C34" s="517" t="s">
        <v>2210</v>
      </c>
      <c r="D34" s="518"/>
      <c r="E34" s="519">
        <v>0.6</v>
      </c>
      <c r="F34" s="515" t="s">
        <v>2211</v>
      </c>
      <c r="G34" s="516"/>
    </row>
    <row r="35" spans="1:7" ht="19.5" customHeight="1">
      <c r="A35" s="3462"/>
      <c r="B35" s="3465"/>
      <c r="C35" s="517" t="s">
        <v>2212</v>
      </c>
      <c r="D35" s="518"/>
      <c r="E35" s="519">
        <v>0.2</v>
      </c>
      <c r="F35" s="515" t="s">
        <v>2213</v>
      </c>
      <c r="G35" s="516"/>
    </row>
    <row r="36" spans="1:7" ht="19.5" customHeight="1">
      <c r="A36" s="3462"/>
      <c r="B36" s="3465"/>
      <c r="C36" s="517" t="s">
        <v>2214</v>
      </c>
      <c r="D36" s="518"/>
      <c r="E36" s="519">
        <v>0.2</v>
      </c>
      <c r="F36" s="515" t="s">
        <v>2215</v>
      </c>
      <c r="G36" s="516"/>
    </row>
    <row r="37" spans="1:7" ht="19.5" customHeight="1">
      <c r="A37" s="3462"/>
      <c r="B37" s="3467" t="s">
        <v>2216</v>
      </c>
      <c r="C37" s="517" t="s">
        <v>2217</v>
      </c>
      <c r="D37" s="518"/>
      <c r="E37" s="519">
        <v>0.6</v>
      </c>
      <c r="F37" s="515" t="s">
        <v>2218</v>
      </c>
      <c r="G37" s="516"/>
    </row>
    <row r="38" spans="1:7" ht="19.5" customHeight="1">
      <c r="A38" s="3462"/>
      <c r="B38" s="3465"/>
      <c r="C38" s="517" t="s">
        <v>2219</v>
      </c>
      <c r="D38" s="518"/>
      <c r="E38" s="519">
        <v>0.6</v>
      </c>
      <c r="F38" s="515" t="s">
        <v>2220</v>
      </c>
      <c r="G38" s="516"/>
    </row>
    <row r="39" spans="1:7" ht="19.5" customHeight="1">
      <c r="A39" s="3463"/>
      <c r="B39" s="3466"/>
      <c r="C39" s="520" t="s">
        <v>2221</v>
      </c>
      <c r="D39" s="521"/>
      <c r="E39" s="522">
        <v>0.6</v>
      </c>
      <c r="F39" s="515" t="s">
        <v>2222</v>
      </c>
      <c r="G39" s="516"/>
    </row>
    <row r="40" spans="1:7" ht="19.5" customHeight="1">
      <c r="A40" s="523" t="s">
        <v>463</v>
      </c>
      <c r="B40" s="524" t="s">
        <v>463</v>
      </c>
      <c r="C40" s="525" t="s">
        <v>2223</v>
      </c>
      <c r="D40" s="526"/>
      <c r="E40" s="527">
        <v>1</v>
      </c>
      <c r="F40" s="515" t="s">
        <v>2224</v>
      </c>
      <c r="G40" s="516"/>
    </row>
    <row r="41" spans="1:7" ht="19.5" customHeight="1">
      <c r="A41" s="3458" t="s">
        <v>2169</v>
      </c>
      <c r="B41" s="3464" t="s">
        <v>2225</v>
      </c>
      <c r="C41" s="512" t="s">
        <v>2226</v>
      </c>
      <c r="D41" s="513"/>
      <c r="E41" s="514">
        <v>1</v>
      </c>
      <c r="F41" s="515" t="s">
        <v>2227</v>
      </c>
      <c r="G41" s="516"/>
    </row>
    <row r="42" spans="1:7" ht="19.5" customHeight="1">
      <c r="A42" s="3459"/>
      <c r="B42" s="3465"/>
      <c r="C42" s="517" t="s">
        <v>2228</v>
      </c>
      <c r="D42" s="518"/>
      <c r="E42" s="519">
        <v>1</v>
      </c>
      <c r="F42" s="515" t="s">
        <v>2229</v>
      </c>
      <c r="G42" s="516"/>
    </row>
    <row r="43" spans="1:7" ht="19.5" customHeight="1">
      <c r="A43" s="3459"/>
      <c r="B43" s="3468"/>
      <c r="C43" s="517" t="s">
        <v>2230</v>
      </c>
      <c r="D43" s="518"/>
      <c r="E43" s="519">
        <v>1.5</v>
      </c>
      <c r="F43" s="515" t="s">
        <v>2231</v>
      </c>
      <c r="G43" s="516"/>
    </row>
    <row r="44" spans="1:7" ht="19.5" customHeight="1">
      <c r="A44" s="3459"/>
      <c r="B44" s="528" t="s">
        <v>2171</v>
      </c>
      <c r="C44" s="517" t="s">
        <v>2170</v>
      </c>
      <c r="D44" s="518"/>
      <c r="E44" s="519">
        <v>2</v>
      </c>
      <c r="F44" s="515" t="s">
        <v>2232</v>
      </c>
      <c r="G44" s="516"/>
    </row>
    <row r="45" spans="1:7" ht="19.5" customHeight="1">
      <c r="A45" s="3459"/>
      <c r="B45" s="3467" t="s">
        <v>2233</v>
      </c>
      <c r="C45" s="517" t="s">
        <v>2234</v>
      </c>
      <c r="D45" s="518"/>
      <c r="E45" s="519">
        <v>1</v>
      </c>
      <c r="F45" s="515" t="s">
        <v>2235</v>
      </c>
      <c r="G45" s="516"/>
    </row>
    <row r="46" spans="1:7" ht="19.5" customHeight="1">
      <c r="A46" s="3459"/>
      <c r="B46" s="3465"/>
      <c r="C46" s="517" t="s">
        <v>2236</v>
      </c>
      <c r="D46" s="518"/>
      <c r="E46" s="519">
        <v>1</v>
      </c>
      <c r="F46" s="515" t="s">
        <v>2237</v>
      </c>
      <c r="G46" s="516"/>
    </row>
    <row r="47" spans="1:7" ht="19.5" customHeight="1">
      <c r="A47" s="3459"/>
      <c r="B47" s="3465"/>
      <c r="C47" s="517" t="s">
        <v>2238</v>
      </c>
      <c r="D47" s="518"/>
      <c r="E47" s="519">
        <v>1</v>
      </c>
      <c r="F47" s="515" t="s">
        <v>2239</v>
      </c>
      <c r="G47" s="516"/>
    </row>
    <row r="48" spans="1:7" ht="19.5" customHeight="1">
      <c r="A48" s="3459"/>
      <c r="B48" s="3465"/>
      <c r="C48" s="517" t="s">
        <v>2240</v>
      </c>
      <c r="D48" s="518"/>
      <c r="E48" s="519">
        <v>1</v>
      </c>
      <c r="F48" s="515" t="s">
        <v>2241</v>
      </c>
      <c r="G48" s="516"/>
    </row>
    <row r="49" spans="1:9" ht="19.5" customHeight="1">
      <c r="A49" s="3459"/>
      <c r="B49" s="3465"/>
      <c r="C49" s="517" t="s">
        <v>2242</v>
      </c>
      <c r="D49" s="518"/>
      <c r="E49" s="519">
        <v>1</v>
      </c>
      <c r="F49" s="515" t="s">
        <v>2243</v>
      </c>
      <c r="G49" s="516"/>
    </row>
    <row r="50" spans="1:9" ht="19.5" customHeight="1">
      <c r="A50" s="3459"/>
      <c r="B50" s="3465"/>
      <c r="C50" s="517" t="s">
        <v>2244</v>
      </c>
      <c r="D50" s="518"/>
      <c r="E50" s="519">
        <v>1</v>
      </c>
      <c r="F50" s="515" t="s">
        <v>2245</v>
      </c>
      <c r="G50" s="516"/>
    </row>
    <row r="51" spans="1:9" ht="19.5" customHeight="1">
      <c r="A51" s="3460"/>
      <c r="B51" s="3466"/>
      <c r="C51" s="520" t="s">
        <v>2246</v>
      </c>
      <c r="D51" s="521"/>
      <c r="E51" s="522">
        <v>1</v>
      </c>
      <c r="F51" s="515" t="s">
        <v>2247</v>
      </c>
      <c r="G51" s="516"/>
    </row>
    <row r="52" spans="1:9" ht="19.5" customHeight="1">
      <c r="A52" s="529"/>
      <c r="B52" s="529"/>
      <c r="C52" s="529"/>
      <c r="D52" s="529"/>
      <c r="E52" s="529"/>
      <c r="F52" s="530"/>
      <c r="G52" s="530"/>
    </row>
    <row r="54" spans="1:9" ht="19.5" customHeight="1">
      <c r="A54" s="531"/>
      <c r="B54" s="504" t="s">
        <v>457</v>
      </c>
      <c r="C54" s="504" t="s">
        <v>457</v>
      </c>
      <c r="D54" s="504" t="s">
        <v>457</v>
      </c>
      <c r="E54" s="532" t="s">
        <v>457</v>
      </c>
      <c r="F54" s="532" t="s">
        <v>661</v>
      </c>
      <c r="G54" s="532" t="s">
        <v>457</v>
      </c>
      <c r="I54"/>
    </row>
    <row r="55" spans="1:9" ht="19.5" customHeight="1">
      <c r="A55" s="533"/>
      <c r="B55" s="532" t="s">
        <v>466</v>
      </c>
      <c r="C55" s="532" t="s">
        <v>466</v>
      </c>
      <c r="D55" s="532" t="s">
        <v>466</v>
      </c>
      <c r="E55" s="504" t="s">
        <v>2168</v>
      </c>
      <c r="F55" s="504" t="s">
        <v>2169</v>
      </c>
      <c r="G55" s="504" t="s">
        <v>465</v>
      </c>
      <c r="I55"/>
    </row>
    <row r="56" spans="1:9" ht="19.5" customHeight="1">
      <c r="A56" s="534"/>
      <c r="B56" s="504">
        <v>1</v>
      </c>
      <c r="C56" s="504">
        <v>2</v>
      </c>
      <c r="D56" s="504">
        <v>3</v>
      </c>
      <c r="E56" s="535" t="s">
        <v>2248</v>
      </c>
      <c r="F56" s="535" t="s">
        <v>2248</v>
      </c>
      <c r="G56" s="535" t="s">
        <v>2248</v>
      </c>
      <c r="I56"/>
    </row>
    <row r="57" spans="1:9" ht="19.5" customHeight="1">
      <c r="A57" s="536" t="s">
        <v>230</v>
      </c>
      <c r="B57" s="501">
        <v>0.7</v>
      </c>
      <c r="C57" s="501">
        <v>0.4</v>
      </c>
      <c r="D57" s="501">
        <v>0.3</v>
      </c>
      <c r="E57" s="510">
        <v>0.3</v>
      </c>
      <c r="F57" s="501">
        <v>0.3</v>
      </c>
      <c r="G57" s="501">
        <v>0.2</v>
      </c>
      <c r="I57"/>
    </row>
    <row r="58" spans="1:9" ht="19.5" customHeight="1">
      <c r="A58" s="536" t="s">
        <v>241</v>
      </c>
      <c r="B58" s="501">
        <v>0.7</v>
      </c>
      <c r="C58" s="501">
        <v>0.4</v>
      </c>
      <c r="D58" s="501">
        <v>0.3</v>
      </c>
      <c r="E58" s="501">
        <v>0.3</v>
      </c>
      <c r="F58" s="501">
        <v>0.3</v>
      </c>
      <c r="G58" s="501">
        <v>0.2</v>
      </c>
      <c r="I58"/>
    </row>
    <row r="59" spans="1:9" ht="19.5" customHeight="1">
      <c r="A59" s="536" t="s">
        <v>251</v>
      </c>
      <c r="B59" s="501">
        <v>0.6</v>
      </c>
      <c r="C59" s="501">
        <v>0.3</v>
      </c>
      <c r="D59" s="501">
        <v>0.25</v>
      </c>
      <c r="E59" s="501">
        <v>0.25</v>
      </c>
      <c r="F59" s="501">
        <v>0.25</v>
      </c>
      <c r="G59" s="501">
        <v>0.15</v>
      </c>
      <c r="I59"/>
    </row>
    <row r="60" spans="1:9" ht="19.5" customHeight="1">
      <c r="A60" s="536" t="s">
        <v>259</v>
      </c>
      <c r="B60" s="501">
        <v>0.6</v>
      </c>
      <c r="C60" s="501">
        <v>0.3</v>
      </c>
      <c r="D60" s="501">
        <v>0.25</v>
      </c>
      <c r="E60" s="501">
        <v>0.25</v>
      </c>
      <c r="F60" s="501">
        <v>0.25</v>
      </c>
      <c r="G60" s="501">
        <v>0.15</v>
      </c>
      <c r="I60"/>
    </row>
    <row r="61" spans="1:9" s="485" customFormat="1" ht="19.5" customHeight="1">
      <c r="A61" s="536" t="s">
        <v>267</v>
      </c>
      <c r="B61" s="501">
        <v>0.6</v>
      </c>
      <c r="C61" s="501">
        <v>0.3</v>
      </c>
      <c r="D61" s="501">
        <v>0.25</v>
      </c>
      <c r="E61" s="501">
        <v>0.25</v>
      </c>
      <c r="F61" s="501">
        <v>0.25</v>
      </c>
      <c r="G61" s="501">
        <v>0.15</v>
      </c>
    </row>
    <row r="62" spans="1:9" s="485" customFormat="1" ht="19.5" customHeight="1">
      <c r="A62" s="536" t="s">
        <v>273</v>
      </c>
      <c r="B62" s="501">
        <v>0.6</v>
      </c>
      <c r="C62" s="501">
        <v>0.3</v>
      </c>
      <c r="D62" s="501">
        <v>0.25</v>
      </c>
      <c r="E62" s="501">
        <v>0.25</v>
      </c>
      <c r="F62" s="501">
        <v>0.25</v>
      </c>
      <c r="G62" s="501">
        <v>0.15</v>
      </c>
    </row>
    <row r="63" spans="1:9" s="485" customFormat="1" ht="19.5" customHeight="1">
      <c r="A63" s="536" t="s">
        <v>278</v>
      </c>
      <c r="B63" s="501">
        <v>0.6</v>
      </c>
      <c r="C63" s="501">
        <v>0.3</v>
      </c>
      <c r="D63" s="501">
        <v>0.25</v>
      </c>
      <c r="E63" s="501">
        <v>0.25</v>
      </c>
      <c r="F63" s="501">
        <v>0.25</v>
      </c>
      <c r="G63" s="501">
        <v>0.15</v>
      </c>
    </row>
    <row r="64" spans="1:9" s="485" customFormat="1" ht="19.5" customHeight="1">
      <c r="A64" s="536" t="s">
        <v>283</v>
      </c>
      <c r="B64" s="501">
        <v>0.5</v>
      </c>
      <c r="C64" s="501">
        <v>0.2</v>
      </c>
      <c r="D64" s="501">
        <v>0.2</v>
      </c>
      <c r="E64" s="501">
        <v>0.2</v>
      </c>
      <c r="F64" s="501">
        <v>0.2</v>
      </c>
      <c r="G64" s="501">
        <v>0.1</v>
      </c>
    </row>
    <row r="65" spans="1:7" s="485" customFormat="1" ht="19.5" customHeight="1">
      <c r="A65" s="536" t="s">
        <v>286</v>
      </c>
      <c r="B65" s="501">
        <v>0.5</v>
      </c>
      <c r="C65" s="501">
        <v>0.2</v>
      </c>
      <c r="D65" s="501">
        <v>0.2</v>
      </c>
      <c r="E65" s="501">
        <v>0.2</v>
      </c>
      <c r="F65" s="501">
        <v>0.2</v>
      </c>
      <c r="G65" s="501">
        <v>0.1</v>
      </c>
    </row>
    <row r="66" spans="1:7" s="485" customFormat="1" ht="19.5" customHeight="1">
      <c r="A66" s="536" t="s">
        <v>289</v>
      </c>
      <c r="B66" s="501">
        <v>0.5</v>
      </c>
      <c r="C66" s="501">
        <v>0.2</v>
      </c>
      <c r="D66" s="501">
        <v>0.2</v>
      </c>
      <c r="E66" s="501">
        <v>0.2</v>
      </c>
      <c r="F66" s="501">
        <v>0.2</v>
      </c>
      <c r="G66" s="501">
        <v>0.1</v>
      </c>
    </row>
    <row r="67" spans="1:7" s="485" customFormat="1" ht="19.5" customHeight="1">
      <c r="A67" s="536" t="s">
        <v>292</v>
      </c>
      <c r="B67" s="501">
        <v>0.5</v>
      </c>
      <c r="C67" s="501">
        <v>0.2</v>
      </c>
      <c r="D67" s="501">
        <v>0.2</v>
      </c>
      <c r="E67" s="501">
        <v>0.2</v>
      </c>
      <c r="F67" s="501">
        <v>0.2</v>
      </c>
      <c r="G67" s="501">
        <v>0.1</v>
      </c>
    </row>
    <row r="68" spans="1:7" s="485" customFormat="1" ht="19.5" customHeight="1">
      <c r="A68" s="536" t="s">
        <v>295</v>
      </c>
      <c r="B68" s="501">
        <v>0.5</v>
      </c>
      <c r="C68" s="501">
        <v>0.2</v>
      </c>
      <c r="D68" s="501">
        <v>0.2</v>
      </c>
      <c r="E68" s="501">
        <v>0.2</v>
      </c>
      <c r="F68" s="501">
        <v>0.2</v>
      </c>
      <c r="G68" s="501">
        <v>0.1</v>
      </c>
    </row>
    <row r="70" spans="1:7" s="485" customFormat="1" ht="19.5" customHeight="1">
      <c r="A70" s="516"/>
      <c r="B70" s="506"/>
      <c r="C70" s="506"/>
      <c r="D70" s="506" t="s">
        <v>2249</v>
      </c>
      <c r="E70" s="506"/>
      <c r="F70" s="506"/>
    </row>
    <row r="71" spans="1:7" s="485" customFormat="1" ht="19.5" customHeight="1">
      <c r="A71" s="546" t="s">
        <v>2250</v>
      </c>
      <c r="B71" s="546" t="s">
        <v>1059</v>
      </c>
      <c r="C71" s="546" t="s">
        <v>2251</v>
      </c>
      <c r="D71" s="546" t="s">
        <v>2252</v>
      </c>
      <c r="E71" s="546" t="s">
        <v>2253</v>
      </c>
      <c r="F71" s="546" t="s">
        <v>2254</v>
      </c>
    </row>
    <row r="72" spans="1:7" ht="13.5">
      <c r="A72" s="546"/>
      <c r="B72" s="546"/>
      <c r="C72" s="546" t="s">
        <v>2255</v>
      </c>
      <c r="D72" s="546"/>
      <c r="E72" s="547" t="s">
        <v>124</v>
      </c>
      <c r="F72" s="546" t="s">
        <v>124</v>
      </c>
    </row>
    <row r="73" spans="1:7" s="485" customFormat="1" ht="13.5">
      <c r="A73" s="528">
        <v>1</v>
      </c>
      <c r="B73" s="3467" t="s">
        <v>2256</v>
      </c>
      <c r="C73" s="501" t="s">
        <v>2257</v>
      </c>
      <c r="D73" s="501" t="s">
        <v>2258</v>
      </c>
      <c r="E73" s="548">
        <v>0.2</v>
      </c>
      <c r="F73" s="528">
        <v>25</v>
      </c>
    </row>
    <row r="74" spans="1:7" s="485" customFormat="1" ht="24">
      <c r="A74" s="528">
        <v>2</v>
      </c>
      <c r="B74" s="3465"/>
      <c r="C74" s="501" t="s">
        <v>2259</v>
      </c>
      <c r="D74" s="501" t="s">
        <v>2260</v>
      </c>
      <c r="E74" s="548">
        <v>0.2</v>
      </c>
      <c r="F74" s="528">
        <v>25</v>
      </c>
    </row>
    <row r="75" spans="1:7" s="485" customFormat="1" ht="24">
      <c r="A75" s="528">
        <v>3</v>
      </c>
      <c r="B75" s="3465"/>
      <c r="C75" s="501" t="s">
        <v>2261</v>
      </c>
      <c r="D75" s="501" t="s">
        <v>2262</v>
      </c>
      <c r="E75" s="548">
        <v>0.2</v>
      </c>
      <c r="F75" s="528">
        <v>25</v>
      </c>
    </row>
    <row r="76" spans="1:7" s="485" customFormat="1" ht="13.5">
      <c r="A76" s="528">
        <v>4</v>
      </c>
      <c r="B76" s="3465"/>
      <c r="C76" s="501" t="s">
        <v>2263</v>
      </c>
      <c r="D76" s="501" t="s">
        <v>2264</v>
      </c>
      <c r="E76" s="548">
        <v>0.15</v>
      </c>
      <c r="F76" s="528">
        <v>20</v>
      </c>
    </row>
    <row r="77" spans="1:7" s="485" customFormat="1" ht="24">
      <c r="A77" s="528">
        <v>5</v>
      </c>
      <c r="B77" s="3465"/>
      <c r="C77" s="501" t="s">
        <v>2265</v>
      </c>
      <c r="D77" s="501" t="s">
        <v>2266</v>
      </c>
      <c r="E77" s="548">
        <v>0.15</v>
      </c>
      <c r="F77" s="528">
        <v>20</v>
      </c>
    </row>
    <row r="78" spans="1:7" s="485" customFormat="1" ht="24">
      <c r="A78" s="528">
        <v>6</v>
      </c>
      <c r="B78" s="3465"/>
      <c r="C78" s="501" t="s">
        <v>2267</v>
      </c>
      <c r="D78" s="501" t="s">
        <v>2268</v>
      </c>
      <c r="E78" s="548">
        <v>0.15</v>
      </c>
      <c r="F78" s="528">
        <v>20</v>
      </c>
    </row>
    <row r="79" spans="1:7" s="485" customFormat="1" ht="24">
      <c r="A79" s="528">
        <v>7</v>
      </c>
      <c r="B79" s="3465"/>
      <c r="C79" s="501" t="s">
        <v>2269</v>
      </c>
      <c r="D79" s="501" t="s">
        <v>2270</v>
      </c>
      <c r="E79" s="548">
        <v>0.15</v>
      </c>
      <c r="F79" s="528">
        <v>20</v>
      </c>
    </row>
    <row r="80" spans="1:7" s="485" customFormat="1" ht="24">
      <c r="A80" s="528">
        <v>8</v>
      </c>
      <c r="B80" s="3465"/>
      <c r="C80" s="501" t="s">
        <v>2271</v>
      </c>
      <c r="D80" s="501" t="s">
        <v>2272</v>
      </c>
      <c r="E80" s="548">
        <v>0.1</v>
      </c>
      <c r="F80" s="528">
        <v>15</v>
      </c>
    </row>
    <row r="81" spans="1:6" s="485" customFormat="1" ht="24">
      <c r="A81" s="528">
        <v>9</v>
      </c>
      <c r="B81" s="3465"/>
      <c r="C81" s="501" t="s">
        <v>2273</v>
      </c>
      <c r="D81" s="501" t="s">
        <v>2274</v>
      </c>
      <c r="E81" s="548">
        <v>0.1</v>
      </c>
      <c r="F81" s="528">
        <v>15</v>
      </c>
    </row>
    <row r="82" spans="1:6" s="485" customFormat="1" ht="24">
      <c r="A82" s="528">
        <v>10</v>
      </c>
      <c r="B82" s="3465"/>
      <c r="C82" s="501" t="s">
        <v>2275</v>
      </c>
      <c r="D82" s="501" t="s">
        <v>2276</v>
      </c>
      <c r="E82" s="548">
        <v>0.1</v>
      </c>
      <c r="F82" s="528">
        <v>15</v>
      </c>
    </row>
    <row r="83" spans="1:6" s="485" customFormat="1" ht="24">
      <c r="A83" s="528">
        <v>11</v>
      </c>
      <c r="B83" s="3465"/>
      <c r="C83" s="501" t="s">
        <v>2277</v>
      </c>
      <c r="D83" s="501" t="s">
        <v>2278</v>
      </c>
      <c r="E83" s="548">
        <v>0.1</v>
      </c>
      <c r="F83" s="528">
        <v>15</v>
      </c>
    </row>
    <row r="84" spans="1:6" s="485" customFormat="1" ht="24">
      <c r="A84" s="528">
        <v>12</v>
      </c>
      <c r="B84" s="3465"/>
      <c r="C84" s="501" t="s">
        <v>2279</v>
      </c>
      <c r="D84" s="501" t="s">
        <v>2280</v>
      </c>
      <c r="E84" s="548">
        <v>0.1</v>
      </c>
      <c r="F84" s="528">
        <v>15</v>
      </c>
    </row>
    <row r="85" spans="1:6" s="485" customFormat="1" ht="13.5">
      <c r="A85" s="528">
        <v>13</v>
      </c>
      <c r="B85" s="3465"/>
      <c r="C85" s="501" t="s">
        <v>2281</v>
      </c>
      <c r="D85" s="501" t="s">
        <v>2282</v>
      </c>
      <c r="E85" s="548">
        <v>0.1</v>
      </c>
      <c r="F85" s="528">
        <v>15</v>
      </c>
    </row>
    <row r="86" spans="1:6" s="485" customFormat="1" ht="13.5">
      <c r="A86" s="528">
        <v>14</v>
      </c>
      <c r="B86" s="3465"/>
      <c r="C86" s="501" t="s">
        <v>2283</v>
      </c>
      <c r="D86" s="501" t="s">
        <v>2284</v>
      </c>
      <c r="E86" s="548">
        <v>0.1</v>
      </c>
      <c r="F86" s="528">
        <v>15</v>
      </c>
    </row>
    <row r="87" spans="1:6" s="485" customFormat="1" ht="13.5">
      <c r="A87" s="528">
        <v>15</v>
      </c>
      <c r="B87" s="3465"/>
      <c r="C87" s="501" t="s">
        <v>2285</v>
      </c>
      <c r="D87" s="501" t="s">
        <v>2286</v>
      </c>
      <c r="E87" s="548">
        <v>0.1</v>
      </c>
      <c r="F87" s="528">
        <v>15</v>
      </c>
    </row>
    <row r="88" spans="1:6" s="485" customFormat="1" ht="24">
      <c r="A88" s="528">
        <v>16</v>
      </c>
      <c r="B88" s="3465"/>
      <c r="C88" s="501" t="s">
        <v>2287</v>
      </c>
      <c r="D88" s="501" t="s">
        <v>2288</v>
      </c>
      <c r="E88" s="548">
        <v>0.1</v>
      </c>
      <c r="F88" s="528">
        <v>15</v>
      </c>
    </row>
    <row r="89" spans="1:6" s="485" customFormat="1" ht="24">
      <c r="A89" s="528">
        <v>17</v>
      </c>
      <c r="B89" s="3468"/>
      <c r="C89" s="501" t="s">
        <v>2289</v>
      </c>
      <c r="D89" s="501" t="s">
        <v>2290</v>
      </c>
      <c r="E89" s="548">
        <v>0.1</v>
      </c>
      <c r="F89" s="528">
        <v>15</v>
      </c>
    </row>
    <row r="90" spans="1:6" s="485" customFormat="1" ht="13.5">
      <c r="A90" s="528">
        <v>18</v>
      </c>
      <c r="B90" s="3467" t="s">
        <v>2291</v>
      </c>
      <c r="C90" s="501" t="s">
        <v>2292</v>
      </c>
      <c r="D90" s="501" t="s">
        <v>2293</v>
      </c>
      <c r="E90" s="548">
        <v>0.2</v>
      </c>
      <c r="F90" s="528">
        <v>25</v>
      </c>
    </row>
    <row r="91" spans="1:6" s="485" customFormat="1" ht="24">
      <c r="A91" s="528">
        <v>19</v>
      </c>
      <c r="B91" s="3465"/>
      <c r="C91" s="501" t="s">
        <v>2294</v>
      </c>
      <c r="D91" s="501" t="s">
        <v>2295</v>
      </c>
      <c r="E91" s="548">
        <v>0.2</v>
      </c>
      <c r="F91" s="528">
        <v>25</v>
      </c>
    </row>
    <row r="92" spans="1:6" s="485" customFormat="1" ht="13.5">
      <c r="A92" s="528">
        <v>20</v>
      </c>
      <c r="B92" s="3465"/>
      <c r="C92" s="501" t="s">
        <v>2296</v>
      </c>
      <c r="D92" s="501" t="s">
        <v>2297</v>
      </c>
      <c r="E92" s="548">
        <v>0.15</v>
      </c>
      <c r="F92" s="528">
        <v>20</v>
      </c>
    </row>
    <row r="93" spans="1:6" s="485" customFormat="1" ht="24">
      <c r="A93" s="528">
        <v>21</v>
      </c>
      <c r="B93" s="3465"/>
      <c r="C93" s="501" t="s">
        <v>2298</v>
      </c>
      <c r="D93" s="501" t="s">
        <v>2299</v>
      </c>
      <c r="E93" s="548">
        <v>0.15</v>
      </c>
      <c r="F93" s="528">
        <v>20</v>
      </c>
    </row>
    <row r="94" spans="1:6" s="485" customFormat="1" ht="24">
      <c r="A94" s="528">
        <v>22</v>
      </c>
      <c r="B94" s="3465"/>
      <c r="C94" s="501" t="s">
        <v>2300</v>
      </c>
      <c r="D94" s="501" t="s">
        <v>2301</v>
      </c>
      <c r="E94" s="548">
        <v>0.15</v>
      </c>
      <c r="F94" s="528">
        <v>20</v>
      </c>
    </row>
    <row r="95" spans="1:6" s="485" customFormat="1" ht="36">
      <c r="A95" s="528">
        <v>23</v>
      </c>
      <c r="B95" s="3465"/>
      <c r="C95" s="501" t="s">
        <v>2302</v>
      </c>
      <c r="D95" s="501" t="s">
        <v>2303</v>
      </c>
      <c r="E95" s="548">
        <v>0.15</v>
      </c>
      <c r="F95" s="528">
        <v>20</v>
      </c>
    </row>
    <row r="96" spans="1:6" s="485" customFormat="1" ht="13.5">
      <c r="A96" s="528">
        <v>24</v>
      </c>
      <c r="B96" s="3465"/>
      <c r="C96" s="501" t="s">
        <v>2304</v>
      </c>
      <c r="D96" s="501" t="s">
        <v>2305</v>
      </c>
      <c r="E96" s="548">
        <v>0.1</v>
      </c>
      <c r="F96" s="528">
        <v>15</v>
      </c>
    </row>
    <row r="97" spans="1:6" s="485" customFormat="1" ht="24">
      <c r="A97" s="528">
        <v>25</v>
      </c>
      <c r="B97" s="3465"/>
      <c r="C97" s="501" t="s">
        <v>2306</v>
      </c>
      <c r="D97" s="501" t="s">
        <v>2307</v>
      </c>
      <c r="E97" s="548">
        <v>0.1</v>
      </c>
      <c r="F97" s="528">
        <v>15</v>
      </c>
    </row>
    <row r="98" spans="1:6" s="485" customFormat="1" ht="24">
      <c r="A98" s="528">
        <v>26</v>
      </c>
      <c r="B98" s="3465"/>
      <c r="C98" s="501" t="s">
        <v>2308</v>
      </c>
      <c r="D98" s="501" t="s">
        <v>2309</v>
      </c>
      <c r="E98" s="548">
        <v>0.1</v>
      </c>
      <c r="F98" s="528">
        <v>15</v>
      </c>
    </row>
    <row r="99" spans="1:6" s="485" customFormat="1" ht="24">
      <c r="A99" s="528">
        <v>27</v>
      </c>
      <c r="B99" s="3465"/>
      <c r="C99" s="501" t="s">
        <v>2310</v>
      </c>
      <c r="D99" s="501" t="s">
        <v>2311</v>
      </c>
      <c r="E99" s="548">
        <v>0.1</v>
      </c>
      <c r="F99" s="528">
        <v>15</v>
      </c>
    </row>
    <row r="100" spans="1:6" s="485" customFormat="1" ht="24">
      <c r="A100" s="528">
        <v>28</v>
      </c>
      <c r="B100" s="3465"/>
      <c r="C100" s="501" t="s">
        <v>2312</v>
      </c>
      <c r="D100" s="501" t="s">
        <v>2313</v>
      </c>
      <c r="E100" s="548">
        <v>0.1</v>
      </c>
      <c r="F100" s="528">
        <v>15</v>
      </c>
    </row>
    <row r="101" spans="1:6" s="485" customFormat="1" ht="24">
      <c r="A101" s="528">
        <v>29</v>
      </c>
      <c r="B101" s="3465"/>
      <c r="C101" s="501" t="s">
        <v>2314</v>
      </c>
      <c r="D101" s="501" t="s">
        <v>2315</v>
      </c>
      <c r="E101" s="548">
        <v>0.1</v>
      </c>
      <c r="F101" s="528">
        <v>15</v>
      </c>
    </row>
    <row r="102" spans="1:6" s="485" customFormat="1" ht="24">
      <c r="A102" s="528">
        <v>30</v>
      </c>
      <c r="B102" s="3465"/>
      <c r="C102" s="501" t="s">
        <v>2316</v>
      </c>
      <c r="D102" s="501" t="s">
        <v>2317</v>
      </c>
      <c r="E102" s="548">
        <v>0.1</v>
      </c>
      <c r="F102" s="528">
        <v>15</v>
      </c>
    </row>
    <row r="103" spans="1:6" s="485" customFormat="1" ht="24">
      <c r="A103" s="528">
        <v>31</v>
      </c>
      <c r="B103" s="3465"/>
      <c r="C103" s="501" t="s">
        <v>2318</v>
      </c>
      <c r="D103" s="501" t="s">
        <v>2319</v>
      </c>
      <c r="E103" s="548">
        <v>0.1</v>
      </c>
      <c r="F103" s="528">
        <v>15</v>
      </c>
    </row>
    <row r="104" spans="1:6" s="485" customFormat="1" ht="24">
      <c r="A104" s="528">
        <v>32</v>
      </c>
      <c r="B104" s="3465"/>
      <c r="C104" s="501" t="s">
        <v>2320</v>
      </c>
      <c r="D104" s="501" t="s">
        <v>2321</v>
      </c>
      <c r="E104" s="548">
        <v>0.1</v>
      </c>
      <c r="F104" s="528">
        <v>15</v>
      </c>
    </row>
    <row r="105" spans="1:6" s="485" customFormat="1" ht="24">
      <c r="A105" s="528">
        <v>33</v>
      </c>
      <c r="B105" s="3465"/>
      <c r="C105" s="501" t="s">
        <v>2322</v>
      </c>
      <c r="D105" s="501" t="s">
        <v>2323</v>
      </c>
      <c r="E105" s="548">
        <v>0.1</v>
      </c>
      <c r="F105" s="528">
        <v>15</v>
      </c>
    </row>
    <row r="106" spans="1:6" s="485" customFormat="1" ht="24">
      <c r="A106" s="528">
        <v>34</v>
      </c>
      <c r="B106" s="3468"/>
      <c r="C106" s="501" t="s">
        <v>2324</v>
      </c>
      <c r="D106" s="501" t="s">
        <v>2325</v>
      </c>
      <c r="E106" s="548">
        <v>0.1</v>
      </c>
      <c r="F106" s="528">
        <v>15</v>
      </c>
    </row>
    <row r="107" spans="1:6" s="485" customFormat="1" ht="24">
      <c r="A107" s="528">
        <v>35</v>
      </c>
      <c r="B107" s="3467" t="s">
        <v>2326</v>
      </c>
      <c r="C107" s="528" t="s">
        <v>2327</v>
      </c>
      <c r="D107" s="501" t="s">
        <v>2328</v>
      </c>
      <c r="E107" s="548">
        <v>0.15</v>
      </c>
      <c r="F107" s="528">
        <v>20</v>
      </c>
    </row>
    <row r="108" spans="1:6" s="485" customFormat="1" ht="24">
      <c r="A108" s="528">
        <v>36</v>
      </c>
      <c r="B108" s="3465"/>
      <c r="C108" s="528" t="s">
        <v>2329</v>
      </c>
      <c r="D108" s="501" t="s">
        <v>2330</v>
      </c>
      <c r="E108" s="548">
        <v>0.15</v>
      </c>
      <c r="F108" s="528">
        <v>20</v>
      </c>
    </row>
    <row r="109" spans="1:6" s="485" customFormat="1" ht="24">
      <c r="A109" s="528">
        <v>37</v>
      </c>
      <c r="B109" s="3465"/>
      <c r="C109" s="528" t="s">
        <v>2331</v>
      </c>
      <c r="D109" s="501" t="s">
        <v>2332</v>
      </c>
      <c r="E109" s="548">
        <v>0.15</v>
      </c>
      <c r="F109" s="528">
        <v>20</v>
      </c>
    </row>
    <row r="110" spans="1:6" s="485" customFormat="1" ht="13.5">
      <c r="A110" s="528">
        <v>38</v>
      </c>
      <c r="B110" s="3465"/>
      <c r="C110" s="528" t="s">
        <v>2333</v>
      </c>
      <c r="D110" s="501" t="s">
        <v>2334</v>
      </c>
      <c r="E110" s="548">
        <v>0.1</v>
      </c>
      <c r="F110" s="528">
        <v>15</v>
      </c>
    </row>
    <row r="111" spans="1:6" s="485" customFormat="1" ht="24">
      <c r="A111" s="528">
        <v>39</v>
      </c>
      <c r="B111" s="3465"/>
      <c r="C111" s="528" t="s">
        <v>2335</v>
      </c>
      <c r="D111" s="501" t="s">
        <v>2336</v>
      </c>
      <c r="E111" s="548">
        <v>0.1</v>
      </c>
      <c r="F111" s="528">
        <v>15</v>
      </c>
    </row>
    <row r="112" spans="1:6" s="485" customFormat="1" ht="24">
      <c r="A112" s="528">
        <v>40</v>
      </c>
      <c r="B112" s="3468"/>
      <c r="C112" s="528" t="s">
        <v>2337</v>
      </c>
      <c r="D112" s="501" t="s">
        <v>2338</v>
      </c>
      <c r="E112" s="548">
        <v>0.1</v>
      </c>
      <c r="F112" s="528">
        <v>15</v>
      </c>
    </row>
    <row r="113" spans="1:6" s="485" customFormat="1" ht="24">
      <c r="A113" s="528">
        <v>41</v>
      </c>
      <c r="B113" s="3469" t="s">
        <v>2339</v>
      </c>
      <c r="C113" s="528" t="s">
        <v>2340</v>
      </c>
      <c r="D113" s="501" t="s">
        <v>2341</v>
      </c>
      <c r="E113" s="548">
        <v>0.1</v>
      </c>
      <c r="F113" s="528">
        <v>15</v>
      </c>
    </row>
    <row r="114" spans="1:6" s="485" customFormat="1" ht="13.5">
      <c r="A114" s="528">
        <v>42</v>
      </c>
      <c r="B114" s="3469"/>
      <c r="C114" s="528" t="s">
        <v>2342</v>
      </c>
      <c r="D114" s="501" t="s">
        <v>2343</v>
      </c>
      <c r="E114" s="548">
        <v>0.1</v>
      </c>
      <c r="F114" s="528">
        <v>15</v>
      </c>
    </row>
    <row r="115" spans="1:6" s="485" customFormat="1" ht="24">
      <c r="A115" s="528">
        <v>43</v>
      </c>
      <c r="B115" s="3469"/>
      <c r="C115" s="528" t="s">
        <v>2344</v>
      </c>
      <c r="D115" s="501" t="s">
        <v>2345</v>
      </c>
      <c r="E115" s="548">
        <v>0.1</v>
      </c>
      <c r="F115" s="528">
        <v>15</v>
      </c>
    </row>
    <row r="116" spans="1:6" s="485" customFormat="1" ht="24">
      <c r="A116" s="528">
        <v>44</v>
      </c>
      <c r="B116" s="3467" t="s">
        <v>2346</v>
      </c>
      <c r="C116" s="528" t="s">
        <v>2347</v>
      </c>
      <c r="D116" s="501" t="s">
        <v>2348</v>
      </c>
      <c r="E116" s="548">
        <v>0.1</v>
      </c>
      <c r="F116" s="528">
        <v>15</v>
      </c>
    </row>
    <row r="117" spans="1:6" s="485" customFormat="1" ht="24">
      <c r="A117" s="528">
        <v>45</v>
      </c>
      <c r="B117" s="3468"/>
      <c r="C117" s="501" t="s">
        <v>2349</v>
      </c>
      <c r="D117" s="501" t="s">
        <v>2350</v>
      </c>
      <c r="E117" s="548">
        <v>0.1</v>
      </c>
      <c r="F117" s="528">
        <v>15</v>
      </c>
    </row>
    <row r="118" spans="1:6" s="485" customFormat="1" ht="24">
      <c r="A118" s="528">
        <v>46</v>
      </c>
      <c r="B118" s="3467" t="s">
        <v>2351</v>
      </c>
      <c r="C118" s="528" t="s">
        <v>2352</v>
      </c>
      <c r="D118" s="501" t="s">
        <v>2353</v>
      </c>
      <c r="E118" s="548">
        <v>0.1</v>
      </c>
      <c r="F118" s="528">
        <v>15</v>
      </c>
    </row>
    <row r="119" spans="1:6" s="485" customFormat="1" ht="24">
      <c r="A119" s="528">
        <v>47</v>
      </c>
      <c r="B119" s="3468"/>
      <c r="C119" s="528" t="s">
        <v>2354</v>
      </c>
      <c r="D119" s="501" t="s">
        <v>2355</v>
      </c>
      <c r="E119" s="548">
        <v>0.1</v>
      </c>
      <c r="F119" s="528">
        <v>15</v>
      </c>
    </row>
    <row r="120" spans="1:6" s="485" customFormat="1" ht="24">
      <c r="A120" s="528">
        <v>48</v>
      </c>
      <c r="B120" s="3467" t="s">
        <v>2356</v>
      </c>
      <c r="C120" s="528" t="s">
        <v>2357</v>
      </c>
      <c r="D120" s="501" t="s">
        <v>2358</v>
      </c>
      <c r="E120" s="548">
        <v>0.1</v>
      </c>
      <c r="F120" s="528">
        <v>15</v>
      </c>
    </row>
    <row r="121" spans="1:6" s="485" customFormat="1" ht="13.5">
      <c r="A121" s="528">
        <v>49</v>
      </c>
      <c r="B121" s="3468"/>
      <c r="C121" s="528" t="s">
        <v>2359</v>
      </c>
      <c r="D121" s="501" t="s">
        <v>2360</v>
      </c>
      <c r="E121" s="548">
        <v>0.1</v>
      </c>
      <c r="F121" s="528">
        <v>15</v>
      </c>
    </row>
    <row r="122" spans="1:6" s="485" customFormat="1" ht="24">
      <c r="A122" s="528">
        <v>50</v>
      </c>
      <c r="B122" s="3469" t="s">
        <v>2361</v>
      </c>
      <c r="C122" s="528" t="s">
        <v>2362</v>
      </c>
      <c r="D122" s="501" t="s">
        <v>2363</v>
      </c>
      <c r="E122" s="548">
        <v>0.1</v>
      </c>
      <c r="F122" s="528">
        <v>15</v>
      </c>
    </row>
    <row r="123" spans="1:6" s="485" customFormat="1" ht="24">
      <c r="A123" s="528">
        <v>51</v>
      </c>
      <c r="B123" s="3469"/>
      <c r="C123" s="528" t="s">
        <v>2364</v>
      </c>
      <c r="D123" s="501" t="s">
        <v>2365</v>
      </c>
      <c r="E123" s="548">
        <v>0.1</v>
      </c>
      <c r="F123" s="528">
        <v>15</v>
      </c>
    </row>
    <row r="124" spans="1:6" s="485" customFormat="1" ht="24">
      <c r="A124" s="528">
        <v>52</v>
      </c>
      <c r="B124" s="3469" t="s">
        <v>2366</v>
      </c>
      <c r="C124" s="528" t="s">
        <v>2367</v>
      </c>
      <c r="D124" s="501" t="s">
        <v>2368</v>
      </c>
      <c r="E124" s="548">
        <v>0.1</v>
      </c>
      <c r="F124" s="528">
        <v>15</v>
      </c>
    </row>
    <row r="125" spans="1:6" s="485" customFormat="1" ht="24">
      <c r="A125" s="528">
        <v>53</v>
      </c>
      <c r="B125" s="3469"/>
      <c r="C125" s="528" t="s">
        <v>2369</v>
      </c>
      <c r="D125" s="501" t="s">
        <v>2370</v>
      </c>
      <c r="E125" s="548">
        <v>0.1</v>
      </c>
      <c r="F125" s="528">
        <v>15</v>
      </c>
    </row>
    <row r="126" spans="1:6" ht="24">
      <c r="A126" s="528">
        <v>54</v>
      </c>
      <c r="B126" s="528" t="s">
        <v>2371</v>
      </c>
      <c r="C126" s="528" t="s">
        <v>2372</v>
      </c>
      <c r="D126" s="501" t="s">
        <v>2373</v>
      </c>
      <c r="E126" s="548">
        <v>0.1</v>
      </c>
      <c r="F126" s="528">
        <v>15</v>
      </c>
    </row>
    <row r="127" spans="1:6" ht="13.5">
      <c r="A127" s="528">
        <v>55</v>
      </c>
      <c r="B127" s="3469" t="s">
        <v>2374</v>
      </c>
      <c r="C127" s="528" t="s">
        <v>2375</v>
      </c>
      <c r="D127" s="501" t="s">
        <v>2376</v>
      </c>
      <c r="E127" s="548">
        <v>0.1</v>
      </c>
      <c r="F127" s="528">
        <v>15</v>
      </c>
    </row>
    <row r="128" spans="1:6" ht="13.5">
      <c r="A128" s="528">
        <v>56</v>
      </c>
      <c r="B128" s="3469"/>
      <c r="C128" s="528" t="s">
        <v>2377</v>
      </c>
      <c r="D128" s="501" t="s">
        <v>2378</v>
      </c>
      <c r="E128" s="548">
        <v>0.1</v>
      </c>
      <c r="F128" s="528">
        <v>15</v>
      </c>
    </row>
    <row r="129" spans="1:6" ht="24">
      <c r="A129" s="528">
        <v>57</v>
      </c>
      <c r="B129" s="3469"/>
      <c r="C129" s="528" t="s">
        <v>2379</v>
      </c>
      <c r="D129" s="501" t="s">
        <v>2380</v>
      </c>
      <c r="E129" s="548">
        <v>0.1</v>
      </c>
      <c r="F129" s="528">
        <v>15</v>
      </c>
    </row>
    <row r="130" spans="1:6" ht="24">
      <c r="A130" s="528">
        <v>58</v>
      </c>
      <c r="B130" s="3469" t="s">
        <v>2381</v>
      </c>
      <c r="C130" s="528" t="s">
        <v>2382</v>
      </c>
      <c r="D130" s="501" t="s">
        <v>2383</v>
      </c>
      <c r="E130" s="548">
        <v>0.1</v>
      </c>
      <c r="F130" s="528">
        <v>15</v>
      </c>
    </row>
    <row r="131" spans="1:6" ht="24">
      <c r="A131" s="528">
        <v>59</v>
      </c>
      <c r="B131" s="3469"/>
      <c r="C131" s="528" t="s">
        <v>2384</v>
      </c>
      <c r="D131" s="501" t="s">
        <v>2385</v>
      </c>
      <c r="E131" s="548">
        <v>0.1</v>
      </c>
      <c r="F131" s="528">
        <v>15</v>
      </c>
    </row>
    <row r="132" spans="1:6" ht="24">
      <c r="A132" s="528">
        <v>60</v>
      </c>
      <c r="B132" s="3467" t="s">
        <v>2386</v>
      </c>
      <c r="C132" s="528" t="s">
        <v>2387</v>
      </c>
      <c r="D132" s="501" t="s">
        <v>2388</v>
      </c>
      <c r="E132" s="548">
        <v>0.1</v>
      </c>
      <c r="F132" s="528">
        <v>15</v>
      </c>
    </row>
    <row r="133" spans="1:6" ht="24">
      <c r="A133" s="528">
        <v>61</v>
      </c>
      <c r="B133" s="3468"/>
      <c r="C133" s="528" t="s">
        <v>2389</v>
      </c>
      <c r="D133" s="501" t="s">
        <v>2390</v>
      </c>
      <c r="E133" s="548">
        <v>0.1</v>
      </c>
      <c r="F133" s="528">
        <v>15</v>
      </c>
    </row>
    <row r="134" spans="1:6" ht="24">
      <c r="A134" s="528">
        <v>62</v>
      </c>
      <c r="B134" s="528" t="s">
        <v>2391</v>
      </c>
      <c r="C134" s="528" t="s">
        <v>2392</v>
      </c>
      <c r="D134" s="501" t="s">
        <v>2393</v>
      </c>
      <c r="E134" s="548">
        <v>0.1</v>
      </c>
      <c r="F134" s="528">
        <v>15</v>
      </c>
    </row>
    <row r="135" spans="1:6" ht="24">
      <c r="A135" s="528">
        <v>63</v>
      </c>
      <c r="B135" s="3469" t="s">
        <v>2394</v>
      </c>
      <c r="C135" s="528" t="s">
        <v>2395</v>
      </c>
      <c r="D135" s="501" t="s">
        <v>2396</v>
      </c>
      <c r="E135" s="548">
        <v>0.1</v>
      </c>
      <c r="F135" s="528">
        <v>15</v>
      </c>
    </row>
    <row r="136" spans="1:6" ht="13.5">
      <c r="A136" s="528">
        <v>64</v>
      </c>
      <c r="B136" s="3469"/>
      <c r="C136" s="528" t="s">
        <v>2397</v>
      </c>
      <c r="D136" s="501" t="s">
        <v>2398</v>
      </c>
      <c r="E136" s="548">
        <v>0.1</v>
      </c>
      <c r="F136" s="528">
        <v>15</v>
      </c>
    </row>
    <row r="137" spans="1:6" ht="24">
      <c r="A137" s="528">
        <v>65</v>
      </c>
      <c r="B137" s="528" t="s">
        <v>2399</v>
      </c>
      <c r="C137" s="528" t="s">
        <v>2400</v>
      </c>
      <c r="D137" s="501" t="s">
        <v>2401</v>
      </c>
      <c r="E137" s="548">
        <v>0.1</v>
      </c>
      <c r="F137" s="528">
        <v>15</v>
      </c>
    </row>
    <row r="138" spans="1:6" ht="13.5">
      <c r="A138" s="546"/>
      <c r="B138" s="546"/>
      <c r="C138" s="546"/>
      <c r="D138" s="546"/>
      <c r="E138" s="547"/>
      <c r="F138" s="54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6"/>
  </cols>
  <sheetData>
    <row r="1" spans="1:14" ht="14.25">
      <c r="A1" s="477" t="s">
        <v>2402</v>
      </c>
      <c r="B1" s="478"/>
      <c r="C1" s="478"/>
      <c r="D1" s="478"/>
      <c r="E1" s="478"/>
      <c r="F1" s="478"/>
      <c r="G1" s="478"/>
      <c r="H1" s="478"/>
      <c r="I1" s="478"/>
      <c r="J1" s="478"/>
      <c r="K1" s="478"/>
      <c r="L1" s="478"/>
      <c r="M1" s="478"/>
      <c r="N1" s="478"/>
    </row>
    <row r="2" spans="1:14">
      <c r="A2" s="479" t="s">
        <v>1065</v>
      </c>
      <c r="B2" s="480" t="s">
        <v>230</v>
      </c>
      <c r="C2" s="480" t="s">
        <v>241</v>
      </c>
      <c r="D2" s="480" t="s">
        <v>251</v>
      </c>
      <c r="E2" s="480" t="s">
        <v>259</v>
      </c>
      <c r="F2" s="480" t="s">
        <v>267</v>
      </c>
      <c r="G2" s="480" t="s">
        <v>273</v>
      </c>
      <c r="H2" s="481" t="s">
        <v>278</v>
      </c>
      <c r="I2" s="481" t="s">
        <v>283</v>
      </c>
      <c r="J2" s="484" t="s">
        <v>286</v>
      </c>
      <c r="K2" s="484" t="s">
        <v>289</v>
      </c>
      <c r="L2" s="484" t="s">
        <v>292</v>
      </c>
      <c r="M2" s="484" t="s">
        <v>295</v>
      </c>
    </row>
    <row r="3" spans="1:14">
      <c r="A3" s="479">
        <v>0.1</v>
      </c>
      <c r="B3" s="482">
        <v>15.052</v>
      </c>
      <c r="C3" s="482">
        <v>15.052</v>
      </c>
      <c r="D3" s="482">
        <v>14.263</v>
      </c>
      <c r="E3" s="482">
        <v>14.263</v>
      </c>
      <c r="F3" s="482">
        <v>14.263</v>
      </c>
      <c r="G3" s="482">
        <v>14.263</v>
      </c>
      <c r="H3" s="482">
        <v>14.263</v>
      </c>
      <c r="I3" s="482">
        <v>14.097</v>
      </c>
      <c r="J3" s="482">
        <v>14.097</v>
      </c>
      <c r="K3" s="482">
        <v>14.097</v>
      </c>
      <c r="L3" s="482">
        <v>14.097</v>
      </c>
      <c r="M3" s="482">
        <v>14.097</v>
      </c>
    </row>
    <row r="4" spans="1:14">
      <c r="A4" s="479">
        <v>0.2</v>
      </c>
      <c r="B4" s="482">
        <v>7.5259999999999998</v>
      </c>
      <c r="C4" s="482">
        <v>7.5259999999999998</v>
      </c>
      <c r="D4" s="482">
        <v>7.1315</v>
      </c>
      <c r="E4" s="482">
        <v>7.1315</v>
      </c>
      <c r="F4" s="482">
        <v>7.1315</v>
      </c>
      <c r="G4" s="482">
        <v>7.1315</v>
      </c>
      <c r="H4" s="482">
        <v>7.1315</v>
      </c>
      <c r="I4" s="482">
        <v>7.0484999999999998</v>
      </c>
      <c r="J4" s="482">
        <v>7.0484999999999998</v>
      </c>
      <c r="K4" s="482">
        <v>7.0484999999999998</v>
      </c>
      <c r="L4" s="482">
        <v>7.0484999999999998</v>
      </c>
      <c r="M4" s="482">
        <v>7.0484999999999998</v>
      </c>
    </row>
    <row r="5" spans="1:14">
      <c r="A5" s="479">
        <v>0.3</v>
      </c>
      <c r="B5" s="482">
        <v>5.0172999999999996</v>
      </c>
      <c r="C5" s="482">
        <v>5.0172999999999996</v>
      </c>
      <c r="D5" s="482">
        <v>4.7542999999999997</v>
      </c>
      <c r="E5" s="482">
        <v>4.7542999999999997</v>
      </c>
      <c r="F5" s="482">
        <v>4.7542999999999997</v>
      </c>
      <c r="G5" s="482">
        <v>4.7542999999999997</v>
      </c>
      <c r="H5" s="482">
        <v>4.7542999999999997</v>
      </c>
      <c r="I5" s="482">
        <v>4.6989999999999998</v>
      </c>
      <c r="J5" s="482">
        <v>4.6989999999999998</v>
      </c>
      <c r="K5" s="482">
        <v>4.6989999999999998</v>
      </c>
      <c r="L5" s="482">
        <v>4.6989999999999998</v>
      </c>
      <c r="M5" s="482">
        <v>4.6989999999999998</v>
      </c>
    </row>
    <row r="6" spans="1:14">
      <c r="A6" s="479">
        <v>0.4</v>
      </c>
      <c r="B6" s="482">
        <v>3.7629999999999999</v>
      </c>
      <c r="C6" s="482">
        <v>3.7629999999999999</v>
      </c>
      <c r="D6" s="482">
        <v>3.5657999999999999</v>
      </c>
      <c r="E6" s="482">
        <v>3.5657999999999999</v>
      </c>
      <c r="F6" s="482">
        <v>3.5657999999999999</v>
      </c>
      <c r="G6" s="482">
        <v>3.5657999999999999</v>
      </c>
      <c r="H6" s="482">
        <v>3.5657999999999999</v>
      </c>
      <c r="I6" s="482">
        <v>3.5243000000000002</v>
      </c>
      <c r="J6" s="482">
        <v>3.5243000000000002</v>
      </c>
      <c r="K6" s="482">
        <v>3.5243000000000002</v>
      </c>
      <c r="L6" s="482">
        <v>3.5243000000000002</v>
      </c>
      <c r="M6" s="482">
        <v>3.5243000000000002</v>
      </c>
    </row>
    <row r="7" spans="1:14">
      <c r="A7" s="479">
        <v>0.5</v>
      </c>
      <c r="B7" s="482">
        <v>3.0104000000000002</v>
      </c>
      <c r="C7" s="482">
        <v>3.0104000000000002</v>
      </c>
      <c r="D7" s="482">
        <v>2.8525999999999998</v>
      </c>
      <c r="E7" s="482">
        <v>2.8525999999999998</v>
      </c>
      <c r="F7" s="482">
        <v>2.8525999999999998</v>
      </c>
      <c r="G7" s="482">
        <v>2.8525999999999998</v>
      </c>
      <c r="H7" s="482">
        <v>2.8525999999999998</v>
      </c>
      <c r="I7" s="482">
        <v>2.8193999999999999</v>
      </c>
      <c r="J7" s="482">
        <v>2.8193999999999999</v>
      </c>
      <c r="K7" s="482">
        <v>2.8193999999999999</v>
      </c>
      <c r="L7" s="482">
        <v>2.8193999999999999</v>
      </c>
      <c r="M7" s="482">
        <v>2.8193999999999999</v>
      </c>
    </row>
    <row r="8" spans="1:14">
      <c r="A8" s="479">
        <v>0.6</v>
      </c>
      <c r="B8" s="482">
        <v>2.5087000000000002</v>
      </c>
      <c r="C8" s="482">
        <v>2.5087000000000002</v>
      </c>
      <c r="D8" s="482">
        <v>2.3772000000000002</v>
      </c>
      <c r="E8" s="482">
        <v>2.3772000000000002</v>
      </c>
      <c r="F8" s="482">
        <v>2.3772000000000002</v>
      </c>
      <c r="G8" s="482">
        <v>2.3772000000000002</v>
      </c>
      <c r="H8" s="482">
        <v>2.3772000000000002</v>
      </c>
      <c r="I8" s="482">
        <v>2.3494999999999999</v>
      </c>
      <c r="J8" s="482">
        <v>2.3494999999999999</v>
      </c>
      <c r="K8" s="482">
        <v>2.3494999999999999</v>
      </c>
      <c r="L8" s="482">
        <v>2.3494999999999999</v>
      </c>
      <c r="M8" s="482">
        <v>2.3494999999999999</v>
      </c>
    </row>
    <row r="9" spans="1:14">
      <c r="A9" s="479">
        <v>0.7</v>
      </c>
      <c r="B9" s="482">
        <v>2.1503000000000001</v>
      </c>
      <c r="C9" s="482">
        <v>2.1503000000000001</v>
      </c>
      <c r="D9" s="482">
        <v>2.0375999999999999</v>
      </c>
      <c r="E9" s="482">
        <v>2.0375999999999999</v>
      </c>
      <c r="F9" s="482">
        <v>2.0375999999999999</v>
      </c>
      <c r="G9" s="482">
        <v>2.0375999999999999</v>
      </c>
      <c r="H9" s="482">
        <v>2.0375999999999999</v>
      </c>
      <c r="I9" s="482">
        <v>2.0139</v>
      </c>
      <c r="J9" s="482">
        <v>2.0139</v>
      </c>
      <c r="K9" s="482">
        <v>2.0139</v>
      </c>
      <c r="L9" s="482">
        <v>2.0139</v>
      </c>
      <c r="M9" s="482">
        <v>2.0139</v>
      </c>
    </row>
    <row r="10" spans="1:14">
      <c r="A10" s="479">
        <v>0.8</v>
      </c>
      <c r="B10" s="482">
        <v>1.8815</v>
      </c>
      <c r="C10" s="482">
        <v>1.8815</v>
      </c>
      <c r="D10" s="482">
        <v>1.7828999999999999</v>
      </c>
      <c r="E10" s="482">
        <v>1.7828999999999999</v>
      </c>
      <c r="F10" s="482">
        <v>1.7828999999999999</v>
      </c>
      <c r="G10" s="482">
        <v>1.7828999999999999</v>
      </c>
      <c r="H10" s="482">
        <v>1.7828999999999999</v>
      </c>
      <c r="I10" s="482">
        <v>1.7621</v>
      </c>
      <c r="J10" s="482">
        <v>1.7621</v>
      </c>
      <c r="K10" s="482">
        <v>1.7621</v>
      </c>
      <c r="L10" s="482">
        <v>1.7621</v>
      </c>
      <c r="M10" s="482">
        <v>1.7621</v>
      </c>
    </row>
    <row r="11" spans="1:14">
      <c r="A11" s="479">
        <v>0.9</v>
      </c>
      <c r="B11" s="482">
        <v>1.6724000000000001</v>
      </c>
      <c r="C11" s="482">
        <v>1.6724000000000001</v>
      </c>
      <c r="D11" s="482">
        <v>1.5848</v>
      </c>
      <c r="E11" s="482">
        <v>1.5848</v>
      </c>
      <c r="F11" s="482">
        <v>1.5848</v>
      </c>
      <c r="G11" s="482">
        <v>1.5848</v>
      </c>
      <c r="H11" s="482">
        <v>1.5848</v>
      </c>
      <c r="I11" s="482">
        <v>1.5663</v>
      </c>
      <c r="J11" s="482">
        <v>1.5663</v>
      </c>
      <c r="K11" s="482">
        <v>1.5663</v>
      </c>
      <c r="L11" s="482">
        <v>1.5663</v>
      </c>
      <c r="M11" s="482">
        <v>1.5663</v>
      </c>
    </row>
    <row r="12" spans="1:14">
      <c r="A12" s="479">
        <v>1</v>
      </c>
      <c r="B12" s="482">
        <v>1.5052000000000001</v>
      </c>
      <c r="C12" s="482">
        <v>1.5052000000000001</v>
      </c>
      <c r="D12" s="482">
        <v>1.4262999999999999</v>
      </c>
      <c r="E12" s="482">
        <v>1.4262999999999999</v>
      </c>
      <c r="F12" s="482">
        <v>1.4262999999999999</v>
      </c>
      <c r="G12" s="482">
        <v>1.4262999999999999</v>
      </c>
      <c r="H12" s="482">
        <v>1.4262999999999999</v>
      </c>
      <c r="I12" s="482">
        <v>1.4097</v>
      </c>
      <c r="J12" s="482">
        <v>1.4097</v>
      </c>
      <c r="K12" s="482">
        <v>1.4097</v>
      </c>
      <c r="L12" s="482">
        <v>1.4097</v>
      </c>
      <c r="M12" s="482">
        <v>1.4097</v>
      </c>
    </row>
    <row r="13" spans="1:14">
      <c r="A13" s="479">
        <v>1.1000000000000001</v>
      </c>
      <c r="B13" s="482">
        <v>1.4509000000000001</v>
      </c>
      <c r="C13" s="482">
        <v>1.4509000000000001</v>
      </c>
      <c r="D13" s="482">
        <v>1.3697999999999999</v>
      </c>
      <c r="E13" s="482">
        <v>1.3697999999999999</v>
      </c>
      <c r="F13" s="482">
        <v>1.3697999999999999</v>
      </c>
      <c r="G13" s="482">
        <v>1.3697999999999999</v>
      </c>
      <c r="H13" s="482">
        <v>1.3697999999999999</v>
      </c>
      <c r="I13" s="482">
        <v>1.343</v>
      </c>
      <c r="J13" s="482">
        <v>1.343</v>
      </c>
      <c r="K13" s="482">
        <v>1.343</v>
      </c>
      <c r="L13" s="482">
        <v>1.343</v>
      </c>
      <c r="M13" s="482">
        <v>1.343</v>
      </c>
    </row>
    <row r="14" spans="1:14">
      <c r="A14" s="479">
        <v>1.2</v>
      </c>
      <c r="B14" s="482">
        <v>1.4035</v>
      </c>
      <c r="C14" s="482">
        <v>1.4035</v>
      </c>
      <c r="D14" s="482">
        <v>1.3205</v>
      </c>
      <c r="E14" s="482">
        <v>1.3205</v>
      </c>
      <c r="F14" s="482">
        <v>1.3205</v>
      </c>
      <c r="G14" s="482">
        <v>1.3205</v>
      </c>
      <c r="H14" s="482">
        <v>1.3205</v>
      </c>
      <c r="I14" s="482">
        <v>1.2845</v>
      </c>
      <c r="J14" s="482">
        <v>1.2845</v>
      </c>
      <c r="K14" s="482">
        <v>1.2845</v>
      </c>
      <c r="L14" s="482">
        <v>1.2845</v>
      </c>
      <c r="M14" s="482">
        <v>1.2845</v>
      </c>
    </row>
    <row r="15" spans="1:14">
      <c r="A15" s="479">
        <v>1.3</v>
      </c>
      <c r="B15" s="482">
        <v>1.3622000000000001</v>
      </c>
      <c r="C15" s="482">
        <v>1.3622000000000001</v>
      </c>
      <c r="D15" s="482">
        <v>1.2775000000000001</v>
      </c>
      <c r="E15" s="482">
        <v>1.2775000000000001</v>
      </c>
      <c r="F15" s="482">
        <v>1.2775000000000001</v>
      </c>
      <c r="G15" s="482">
        <v>1.2775000000000001</v>
      </c>
      <c r="H15" s="482">
        <v>1.2775000000000001</v>
      </c>
      <c r="I15" s="482">
        <v>1.2332000000000001</v>
      </c>
      <c r="J15" s="482">
        <v>1.2332000000000001</v>
      </c>
      <c r="K15" s="482">
        <v>1.2332000000000001</v>
      </c>
      <c r="L15" s="482">
        <v>1.2332000000000001</v>
      </c>
      <c r="M15" s="482">
        <v>1.2332000000000001</v>
      </c>
    </row>
    <row r="16" spans="1:14">
      <c r="A16" s="479">
        <v>1.4</v>
      </c>
      <c r="B16" s="482">
        <v>1.3262</v>
      </c>
      <c r="C16" s="482">
        <v>1.3262</v>
      </c>
      <c r="D16" s="482">
        <v>1.2402</v>
      </c>
      <c r="E16" s="482">
        <v>1.2402</v>
      </c>
      <c r="F16" s="482">
        <v>1.2402</v>
      </c>
      <c r="G16" s="482">
        <v>1.2402</v>
      </c>
      <c r="H16" s="482">
        <v>1.2402</v>
      </c>
      <c r="I16" s="482">
        <v>1.1881999999999999</v>
      </c>
      <c r="J16" s="482">
        <v>1.1881999999999999</v>
      </c>
      <c r="K16" s="482">
        <v>1.1881999999999999</v>
      </c>
      <c r="L16" s="482">
        <v>1.1881999999999999</v>
      </c>
      <c r="M16" s="482">
        <v>1.1881999999999999</v>
      </c>
    </row>
    <row r="17" spans="1:13">
      <c r="A17" s="479">
        <v>1.5</v>
      </c>
      <c r="B17" s="482">
        <v>1.2948</v>
      </c>
      <c r="C17" s="482">
        <v>1.2948</v>
      </c>
      <c r="D17" s="482">
        <v>1.2075</v>
      </c>
      <c r="E17" s="482">
        <v>1.2075</v>
      </c>
      <c r="F17" s="482">
        <v>1.2075</v>
      </c>
      <c r="G17" s="482">
        <v>1.2075</v>
      </c>
      <c r="H17" s="482">
        <v>1.2075</v>
      </c>
      <c r="I17" s="482">
        <v>1.1486000000000001</v>
      </c>
      <c r="J17" s="482">
        <v>1.1486000000000001</v>
      </c>
      <c r="K17" s="482">
        <v>1.1486000000000001</v>
      </c>
      <c r="L17" s="482">
        <v>1.1486000000000001</v>
      </c>
      <c r="M17" s="482">
        <v>1.1486000000000001</v>
      </c>
    </row>
    <row r="18" spans="1:13">
      <c r="A18" s="479">
        <v>1.6</v>
      </c>
      <c r="B18" s="482">
        <v>1.2673000000000001</v>
      </c>
      <c r="C18" s="482">
        <v>1.2673000000000001</v>
      </c>
      <c r="D18" s="482">
        <v>1.1789000000000001</v>
      </c>
      <c r="E18" s="482">
        <v>1.1789000000000001</v>
      </c>
      <c r="F18" s="482">
        <v>1.1789000000000001</v>
      </c>
      <c r="G18" s="482">
        <v>1.1789000000000001</v>
      </c>
      <c r="H18" s="482">
        <v>1.1789000000000001</v>
      </c>
      <c r="I18" s="482">
        <v>1.1134999999999999</v>
      </c>
      <c r="J18" s="482">
        <v>1.1134999999999999</v>
      </c>
      <c r="K18" s="482">
        <v>1.1134999999999999</v>
      </c>
      <c r="L18" s="482">
        <v>1.1134999999999999</v>
      </c>
      <c r="M18" s="482">
        <v>1.1134999999999999</v>
      </c>
    </row>
    <row r="19" spans="1:13">
      <c r="A19" s="479">
        <v>1.7</v>
      </c>
      <c r="B19" s="482">
        <v>1.2428999999999999</v>
      </c>
      <c r="C19" s="482">
        <v>1.2428999999999999</v>
      </c>
      <c r="D19" s="482">
        <v>1.1534</v>
      </c>
      <c r="E19" s="482">
        <v>1.1534</v>
      </c>
      <c r="F19" s="482">
        <v>1.1534</v>
      </c>
      <c r="G19" s="482">
        <v>1.1534</v>
      </c>
      <c r="H19" s="482">
        <v>1.1534</v>
      </c>
      <c r="I19" s="482">
        <v>1.0820000000000001</v>
      </c>
      <c r="J19" s="482">
        <v>1.0820000000000001</v>
      </c>
      <c r="K19" s="482">
        <v>1.0820000000000001</v>
      </c>
      <c r="L19" s="482">
        <v>1.0820000000000001</v>
      </c>
      <c r="M19" s="482">
        <v>1.0820000000000001</v>
      </c>
    </row>
    <row r="20" spans="1:13">
      <c r="A20" s="479">
        <v>1.8</v>
      </c>
      <c r="B20" s="482">
        <v>1.2206999999999999</v>
      </c>
      <c r="C20" s="482">
        <v>1.2206999999999999</v>
      </c>
      <c r="D20" s="482">
        <v>1.1304000000000001</v>
      </c>
      <c r="E20" s="482">
        <v>1.1304000000000001</v>
      </c>
      <c r="F20" s="482">
        <v>1.1304000000000001</v>
      </c>
      <c r="G20" s="482">
        <v>1.1304000000000001</v>
      </c>
      <c r="H20" s="482">
        <v>1.1304000000000001</v>
      </c>
      <c r="I20" s="482">
        <v>1.0531999999999999</v>
      </c>
      <c r="J20" s="482">
        <v>1.0531999999999999</v>
      </c>
      <c r="K20" s="482">
        <v>1.0531999999999999</v>
      </c>
      <c r="L20" s="482">
        <v>1.0531999999999999</v>
      </c>
      <c r="M20" s="482">
        <v>1.0531999999999999</v>
      </c>
    </row>
    <row r="21" spans="1:13">
      <c r="A21" s="479">
        <v>1.9</v>
      </c>
      <c r="B21" s="482">
        <v>1.2</v>
      </c>
      <c r="C21" s="482">
        <v>1.2</v>
      </c>
      <c r="D21" s="482">
        <v>1.1089</v>
      </c>
      <c r="E21" s="482">
        <v>1.1089</v>
      </c>
      <c r="F21" s="482">
        <v>1.1089</v>
      </c>
      <c r="G21" s="482">
        <v>1.1089</v>
      </c>
      <c r="H21" s="482">
        <v>1.1089</v>
      </c>
      <c r="I21" s="482">
        <v>1.0261</v>
      </c>
      <c r="J21" s="482">
        <v>1.0261</v>
      </c>
      <c r="K21" s="482">
        <v>1.0261</v>
      </c>
      <c r="L21" s="482">
        <v>1.0261</v>
      </c>
      <c r="M21" s="482">
        <v>1.0261</v>
      </c>
    </row>
    <row r="22" spans="1:13">
      <c r="A22" s="479">
        <v>2</v>
      </c>
      <c r="B22" s="482">
        <v>1.1800999999999999</v>
      </c>
      <c r="C22" s="482">
        <v>1.1800999999999999</v>
      </c>
      <c r="D22" s="482">
        <v>1.0883</v>
      </c>
      <c r="E22" s="482">
        <v>1.0883</v>
      </c>
      <c r="F22" s="482">
        <v>1.0883</v>
      </c>
      <c r="G22" s="482">
        <v>1.0883</v>
      </c>
      <c r="H22" s="482">
        <v>1.0883</v>
      </c>
      <c r="I22" s="482">
        <v>1</v>
      </c>
      <c r="J22" s="482">
        <v>1</v>
      </c>
      <c r="K22" s="482">
        <v>1</v>
      </c>
      <c r="L22" s="482">
        <v>1</v>
      </c>
      <c r="M22" s="482">
        <v>1</v>
      </c>
    </row>
    <row r="23" spans="1:13">
      <c r="A23" s="483">
        <v>2.1</v>
      </c>
      <c r="B23" s="482">
        <v>1.1616</v>
      </c>
      <c r="C23" s="482">
        <v>1.1616</v>
      </c>
      <c r="D23" s="482">
        <v>1.0685</v>
      </c>
      <c r="E23" s="482">
        <v>1.0685</v>
      </c>
      <c r="F23" s="482">
        <v>1.0685</v>
      </c>
      <c r="G23" s="482">
        <v>1.0685</v>
      </c>
      <c r="H23" s="482">
        <v>1.0685</v>
      </c>
      <c r="I23" s="482">
        <v>0.97550000000000003</v>
      </c>
      <c r="J23" s="482">
        <v>0.97550000000000003</v>
      </c>
      <c r="K23" s="482">
        <v>0.97550000000000003</v>
      </c>
      <c r="L23" s="482">
        <v>0.97550000000000003</v>
      </c>
      <c r="M23" s="482">
        <v>0.97550000000000003</v>
      </c>
    </row>
    <row r="24" spans="1:13">
      <c r="A24" s="483">
        <v>2.2000000000000002</v>
      </c>
      <c r="B24" s="482">
        <v>1.1440999999999999</v>
      </c>
      <c r="C24" s="482">
        <v>1.1440999999999999</v>
      </c>
      <c r="D24" s="482">
        <v>1.0497000000000001</v>
      </c>
      <c r="E24" s="482">
        <v>1.0497000000000001</v>
      </c>
      <c r="F24" s="482">
        <v>1.0497000000000001</v>
      </c>
      <c r="G24" s="482">
        <v>1.0497000000000001</v>
      </c>
      <c r="H24" s="482">
        <v>1.0497000000000001</v>
      </c>
      <c r="I24" s="482">
        <v>0.95230000000000004</v>
      </c>
      <c r="J24" s="482">
        <v>0.95230000000000004</v>
      </c>
      <c r="K24" s="482">
        <v>0.95230000000000004</v>
      </c>
      <c r="L24" s="482">
        <v>0.95230000000000004</v>
      </c>
      <c r="M24" s="482">
        <v>0.95230000000000004</v>
      </c>
    </row>
    <row r="25" spans="1:13">
      <c r="A25" s="483">
        <v>2.2999999999999998</v>
      </c>
      <c r="B25" s="482">
        <v>1.1275999999999999</v>
      </c>
      <c r="C25" s="482">
        <v>1.1275999999999999</v>
      </c>
      <c r="D25" s="482">
        <v>1.032</v>
      </c>
      <c r="E25" s="482">
        <v>1.032</v>
      </c>
      <c r="F25" s="482">
        <v>1.032</v>
      </c>
      <c r="G25" s="482">
        <v>1.032</v>
      </c>
      <c r="H25" s="482">
        <v>1.032</v>
      </c>
      <c r="I25" s="482">
        <v>0.9304</v>
      </c>
      <c r="J25" s="482">
        <v>0.9304</v>
      </c>
      <c r="K25" s="482">
        <v>0.9304</v>
      </c>
      <c r="L25" s="482">
        <v>0.9304</v>
      </c>
      <c r="M25" s="482">
        <v>0.9304</v>
      </c>
    </row>
    <row r="26" spans="1:13">
      <c r="A26" s="483">
        <v>2.4</v>
      </c>
      <c r="B26" s="482">
        <v>1.1121000000000001</v>
      </c>
      <c r="C26" s="482">
        <v>1.1121000000000001</v>
      </c>
      <c r="D26" s="482">
        <v>1.0155000000000001</v>
      </c>
      <c r="E26" s="482">
        <v>1.0155000000000001</v>
      </c>
      <c r="F26" s="482">
        <v>1.0155000000000001</v>
      </c>
      <c r="G26" s="482">
        <v>1.0155000000000001</v>
      </c>
      <c r="H26" s="482">
        <v>1.0155000000000001</v>
      </c>
      <c r="I26" s="482">
        <v>0.91</v>
      </c>
      <c r="J26" s="482">
        <v>0.91</v>
      </c>
      <c r="K26" s="482">
        <v>0.91</v>
      </c>
      <c r="L26" s="482">
        <v>0.91</v>
      </c>
      <c r="M26" s="482">
        <v>0.91</v>
      </c>
    </row>
    <row r="27" spans="1:13">
      <c r="A27" s="483">
        <v>2.5</v>
      </c>
      <c r="B27" s="482">
        <v>1.0975999999999999</v>
      </c>
      <c r="C27" s="482">
        <v>1.0975999999999999</v>
      </c>
      <c r="D27" s="482">
        <v>1</v>
      </c>
      <c r="E27" s="482">
        <v>1</v>
      </c>
      <c r="F27" s="482">
        <v>1</v>
      </c>
      <c r="G27" s="482">
        <v>1</v>
      </c>
      <c r="H27" s="482">
        <v>1</v>
      </c>
      <c r="I27" s="482">
        <v>0.89080000000000004</v>
      </c>
      <c r="J27" s="482">
        <v>0.89080000000000004</v>
      </c>
      <c r="K27" s="482">
        <v>0.89080000000000004</v>
      </c>
      <c r="L27" s="482">
        <v>0.89080000000000004</v>
      </c>
      <c r="M27" s="482">
        <v>0.89080000000000004</v>
      </c>
    </row>
    <row r="28" spans="1:13">
      <c r="A28" s="483">
        <v>2.6</v>
      </c>
      <c r="B28" s="482">
        <v>1.0841000000000001</v>
      </c>
      <c r="C28" s="482">
        <v>1.0841000000000001</v>
      </c>
      <c r="D28" s="482">
        <v>0.98619999999999997</v>
      </c>
      <c r="E28" s="482">
        <v>0.98619999999999997</v>
      </c>
      <c r="F28" s="482">
        <v>0.98619999999999997</v>
      </c>
      <c r="G28" s="482">
        <v>0.98619999999999997</v>
      </c>
      <c r="H28" s="482">
        <v>0.98619999999999997</v>
      </c>
      <c r="I28" s="482">
        <v>0.873</v>
      </c>
      <c r="J28" s="482">
        <v>0.873</v>
      </c>
      <c r="K28" s="482">
        <v>0.873</v>
      </c>
      <c r="L28" s="482">
        <v>0.873</v>
      </c>
      <c r="M28" s="482">
        <v>0.873</v>
      </c>
    </row>
    <row r="29" spans="1:13">
      <c r="A29" s="483">
        <v>2.7</v>
      </c>
      <c r="B29" s="482">
        <v>1.0716000000000001</v>
      </c>
      <c r="C29" s="482">
        <v>1.0716000000000001</v>
      </c>
      <c r="D29" s="482">
        <v>0.97330000000000005</v>
      </c>
      <c r="E29" s="482">
        <v>0.97330000000000005</v>
      </c>
      <c r="F29" s="482">
        <v>0.97330000000000005</v>
      </c>
      <c r="G29" s="482">
        <v>0.97330000000000005</v>
      </c>
      <c r="H29" s="482">
        <v>0.97330000000000005</v>
      </c>
      <c r="I29" s="482">
        <v>0.85670000000000002</v>
      </c>
      <c r="J29" s="482">
        <v>0.85670000000000002</v>
      </c>
      <c r="K29" s="482">
        <v>0.85670000000000002</v>
      </c>
      <c r="L29" s="482">
        <v>0.85670000000000002</v>
      </c>
      <c r="M29" s="482">
        <v>0.85670000000000002</v>
      </c>
    </row>
    <row r="30" spans="1:13">
      <c r="A30" s="483">
        <v>2.8</v>
      </c>
      <c r="B30" s="482">
        <v>1.0602</v>
      </c>
      <c r="C30" s="482">
        <v>1.0602</v>
      </c>
      <c r="D30" s="482">
        <v>0.96160000000000001</v>
      </c>
      <c r="E30" s="482">
        <v>0.96160000000000001</v>
      </c>
      <c r="F30" s="482">
        <v>0.96160000000000001</v>
      </c>
      <c r="G30" s="482">
        <v>0.96160000000000001</v>
      </c>
      <c r="H30" s="482">
        <v>0.96160000000000001</v>
      </c>
      <c r="I30" s="482">
        <v>0.8417</v>
      </c>
      <c r="J30" s="482">
        <v>0.8417</v>
      </c>
      <c r="K30" s="482">
        <v>0.8417</v>
      </c>
      <c r="L30" s="482">
        <v>0.8417</v>
      </c>
      <c r="M30" s="482">
        <v>0.8417</v>
      </c>
    </row>
    <row r="31" spans="1:13">
      <c r="A31" s="483">
        <v>2.9</v>
      </c>
      <c r="B31" s="482">
        <v>1.0497000000000001</v>
      </c>
      <c r="C31" s="482">
        <v>1.0497000000000001</v>
      </c>
      <c r="D31" s="482">
        <v>0.95089999999999997</v>
      </c>
      <c r="E31" s="482">
        <v>0.95089999999999997</v>
      </c>
      <c r="F31" s="482">
        <v>0.95089999999999997</v>
      </c>
      <c r="G31" s="482">
        <v>0.95089999999999997</v>
      </c>
      <c r="H31" s="482">
        <v>0.95089999999999997</v>
      </c>
      <c r="I31" s="482">
        <v>0.82809999999999995</v>
      </c>
      <c r="J31" s="482">
        <v>0.82809999999999995</v>
      </c>
      <c r="K31" s="482">
        <v>0.82809999999999995</v>
      </c>
      <c r="L31" s="482">
        <v>0.82809999999999995</v>
      </c>
      <c r="M31" s="482">
        <v>0.82809999999999995</v>
      </c>
    </row>
    <row r="32" spans="1:13">
      <c r="A32" s="483">
        <v>3</v>
      </c>
      <c r="B32" s="482">
        <v>1.0401</v>
      </c>
      <c r="C32" s="482">
        <v>1.0401</v>
      </c>
      <c r="D32" s="482">
        <v>0.94089999999999996</v>
      </c>
      <c r="E32" s="482">
        <v>0.94089999999999996</v>
      </c>
      <c r="F32" s="482">
        <v>0.94089999999999996</v>
      </c>
      <c r="G32" s="482">
        <v>0.94089999999999996</v>
      </c>
      <c r="H32" s="482">
        <v>0.94089999999999996</v>
      </c>
      <c r="I32" s="482">
        <v>0.81579999999999997</v>
      </c>
      <c r="J32" s="482">
        <v>0.81579999999999997</v>
      </c>
      <c r="K32" s="482">
        <v>0.81579999999999997</v>
      </c>
      <c r="L32" s="482">
        <v>0.81579999999999997</v>
      </c>
      <c r="M32" s="482">
        <v>0.81579999999999997</v>
      </c>
    </row>
    <row r="33" spans="1:13">
      <c r="A33" s="483">
        <v>3.1</v>
      </c>
      <c r="B33" s="482">
        <v>1.0314000000000001</v>
      </c>
      <c r="C33" s="482">
        <v>1.0314000000000001</v>
      </c>
      <c r="D33" s="482">
        <v>0.93169999999999997</v>
      </c>
      <c r="E33" s="482">
        <v>0.93169999999999997</v>
      </c>
      <c r="F33" s="482">
        <v>0.93169999999999997</v>
      </c>
      <c r="G33" s="482">
        <v>0.93169999999999997</v>
      </c>
      <c r="H33" s="482">
        <v>0.93169999999999997</v>
      </c>
      <c r="I33" s="482">
        <v>0.80410000000000004</v>
      </c>
      <c r="J33" s="482">
        <v>0.80410000000000004</v>
      </c>
      <c r="K33" s="482">
        <v>0.80410000000000004</v>
      </c>
      <c r="L33" s="482">
        <v>0.80410000000000004</v>
      </c>
      <c r="M33" s="482">
        <v>0.80410000000000004</v>
      </c>
    </row>
    <row r="34" spans="1:13">
      <c r="A34" s="483">
        <v>3.2</v>
      </c>
      <c r="B34" s="482">
        <v>1.0229999999999999</v>
      </c>
      <c r="C34" s="482">
        <v>1.0229999999999999</v>
      </c>
      <c r="D34" s="482">
        <v>0.92279999999999995</v>
      </c>
      <c r="E34" s="482">
        <v>0.92279999999999995</v>
      </c>
      <c r="F34" s="482">
        <v>0.92279999999999995</v>
      </c>
      <c r="G34" s="482">
        <v>0.92279999999999995</v>
      </c>
      <c r="H34" s="482">
        <v>0.92279999999999995</v>
      </c>
      <c r="I34" s="482">
        <v>0.79300000000000004</v>
      </c>
      <c r="J34" s="482">
        <v>0.79300000000000004</v>
      </c>
      <c r="K34" s="482">
        <v>0.79300000000000004</v>
      </c>
      <c r="L34" s="482">
        <v>0.79300000000000004</v>
      </c>
      <c r="M34" s="482">
        <v>0.79300000000000004</v>
      </c>
    </row>
    <row r="35" spans="1:13">
      <c r="A35" s="483">
        <v>3.3</v>
      </c>
      <c r="B35" s="482">
        <v>1.0149999999999999</v>
      </c>
      <c r="C35" s="482">
        <v>1.0149999999999999</v>
      </c>
      <c r="D35" s="482">
        <v>0.91439999999999999</v>
      </c>
      <c r="E35" s="482">
        <v>0.91439999999999999</v>
      </c>
      <c r="F35" s="482">
        <v>0.91439999999999999</v>
      </c>
      <c r="G35" s="482">
        <v>0.91439999999999999</v>
      </c>
      <c r="H35" s="482">
        <v>0.91439999999999999</v>
      </c>
      <c r="I35" s="482">
        <v>0.78220000000000001</v>
      </c>
      <c r="J35" s="482">
        <v>0.78220000000000001</v>
      </c>
      <c r="K35" s="482">
        <v>0.78220000000000001</v>
      </c>
      <c r="L35" s="482">
        <v>0.78220000000000001</v>
      </c>
      <c r="M35" s="482">
        <v>0.78220000000000001</v>
      </c>
    </row>
    <row r="36" spans="1:13">
      <c r="A36" s="483">
        <v>3.4</v>
      </c>
      <c r="B36" s="482">
        <v>1.0073000000000001</v>
      </c>
      <c r="C36" s="482">
        <v>1.0073000000000001</v>
      </c>
      <c r="D36" s="482">
        <v>0.90629999999999999</v>
      </c>
      <c r="E36" s="482">
        <v>0.90629999999999999</v>
      </c>
      <c r="F36" s="482">
        <v>0.90629999999999999</v>
      </c>
      <c r="G36" s="482">
        <v>0.90629999999999999</v>
      </c>
      <c r="H36" s="482">
        <v>0.90629999999999999</v>
      </c>
      <c r="I36" s="482">
        <v>0.77210000000000001</v>
      </c>
      <c r="J36" s="482">
        <v>0.77210000000000001</v>
      </c>
      <c r="K36" s="482">
        <v>0.77210000000000001</v>
      </c>
      <c r="L36" s="482">
        <v>0.77210000000000001</v>
      </c>
      <c r="M36" s="482">
        <v>0.77210000000000001</v>
      </c>
    </row>
    <row r="37" spans="1:13">
      <c r="A37" s="483">
        <v>3.5</v>
      </c>
      <c r="B37" s="482">
        <v>1</v>
      </c>
      <c r="C37" s="482">
        <v>1</v>
      </c>
      <c r="D37" s="482">
        <v>0.89870000000000005</v>
      </c>
      <c r="E37" s="482">
        <v>0.89870000000000005</v>
      </c>
      <c r="F37" s="482">
        <v>0.89870000000000005</v>
      </c>
      <c r="G37" s="482">
        <v>0.89870000000000005</v>
      </c>
      <c r="H37" s="482">
        <v>0.89870000000000005</v>
      </c>
      <c r="I37" s="482">
        <v>0.76239999999999997</v>
      </c>
      <c r="J37" s="482">
        <v>0.76239999999999997</v>
      </c>
      <c r="K37" s="482">
        <v>0.76239999999999997</v>
      </c>
      <c r="L37" s="482">
        <v>0.76239999999999997</v>
      </c>
      <c r="M37" s="482">
        <v>0.76239999999999997</v>
      </c>
    </row>
    <row r="38" spans="1:13">
      <c r="A38" s="483">
        <v>3.6</v>
      </c>
      <c r="B38" s="482">
        <v>0.99329999999999996</v>
      </c>
      <c r="C38" s="482">
        <v>0.99329999999999996</v>
      </c>
      <c r="D38" s="482">
        <v>0.89139999999999997</v>
      </c>
      <c r="E38" s="482">
        <v>0.89139999999999997</v>
      </c>
      <c r="F38" s="482">
        <v>0.89139999999999997</v>
      </c>
      <c r="G38" s="482">
        <v>0.89139999999999997</v>
      </c>
      <c r="H38" s="482">
        <v>0.89139999999999997</v>
      </c>
      <c r="I38" s="482">
        <v>0.75319999999999998</v>
      </c>
      <c r="J38" s="482">
        <v>0.75319999999999998</v>
      </c>
      <c r="K38" s="482">
        <v>0.75319999999999998</v>
      </c>
      <c r="L38" s="482">
        <v>0.75319999999999998</v>
      </c>
      <c r="M38" s="482">
        <v>0.75319999999999998</v>
      </c>
    </row>
    <row r="39" spans="1:13">
      <c r="A39" s="483">
        <v>3.7</v>
      </c>
      <c r="B39" s="482">
        <v>0.9869</v>
      </c>
      <c r="C39" s="482">
        <v>0.9869</v>
      </c>
      <c r="D39" s="482">
        <v>0.88449999999999995</v>
      </c>
      <c r="E39" s="482">
        <v>0.88449999999999995</v>
      </c>
      <c r="F39" s="482">
        <v>0.88449999999999995</v>
      </c>
      <c r="G39" s="482">
        <v>0.88449999999999995</v>
      </c>
      <c r="H39" s="482">
        <v>0.88449999999999995</v>
      </c>
      <c r="I39" s="482">
        <v>0.74460000000000004</v>
      </c>
      <c r="J39" s="482">
        <v>0.74460000000000004</v>
      </c>
      <c r="K39" s="482">
        <v>0.74460000000000004</v>
      </c>
      <c r="L39" s="482">
        <v>0.74460000000000004</v>
      </c>
      <c r="M39" s="482">
        <v>0.74460000000000004</v>
      </c>
    </row>
    <row r="40" spans="1:13">
      <c r="A40" s="483">
        <v>3.8</v>
      </c>
      <c r="B40" s="482">
        <v>0.98080000000000001</v>
      </c>
      <c r="C40" s="482">
        <v>0.98080000000000001</v>
      </c>
      <c r="D40" s="482">
        <v>0.87809999999999999</v>
      </c>
      <c r="E40" s="482">
        <v>0.87809999999999999</v>
      </c>
      <c r="F40" s="482">
        <v>0.87809999999999999</v>
      </c>
      <c r="G40" s="482">
        <v>0.87809999999999999</v>
      </c>
      <c r="H40" s="482">
        <v>0.87809999999999999</v>
      </c>
      <c r="I40" s="482">
        <v>0.73640000000000005</v>
      </c>
      <c r="J40" s="482">
        <v>0.73640000000000005</v>
      </c>
      <c r="K40" s="482">
        <v>0.73640000000000005</v>
      </c>
      <c r="L40" s="482">
        <v>0.73640000000000005</v>
      </c>
      <c r="M40" s="482">
        <v>0.73640000000000005</v>
      </c>
    </row>
    <row r="41" spans="1:13">
      <c r="A41" s="483">
        <v>3.9</v>
      </c>
      <c r="B41" s="482">
        <v>0.97509999999999997</v>
      </c>
      <c r="C41" s="482">
        <v>0.97509999999999997</v>
      </c>
      <c r="D41" s="482">
        <v>0.87209999999999999</v>
      </c>
      <c r="E41" s="482">
        <v>0.87209999999999999</v>
      </c>
      <c r="F41" s="482">
        <v>0.87209999999999999</v>
      </c>
      <c r="G41" s="482">
        <v>0.87209999999999999</v>
      </c>
      <c r="H41" s="482">
        <v>0.87209999999999999</v>
      </c>
      <c r="I41" s="482">
        <v>0.7288</v>
      </c>
      <c r="J41" s="482">
        <v>0.7288</v>
      </c>
      <c r="K41" s="482">
        <v>0.7288</v>
      </c>
      <c r="L41" s="482">
        <v>0.7288</v>
      </c>
      <c r="M41" s="482">
        <v>0.7288</v>
      </c>
    </row>
    <row r="42" spans="1:13">
      <c r="A42" s="483">
        <v>4</v>
      </c>
      <c r="B42" s="482">
        <v>0.96989999999999998</v>
      </c>
      <c r="C42" s="482">
        <v>0.96989999999999998</v>
      </c>
      <c r="D42" s="482">
        <v>0.86650000000000005</v>
      </c>
      <c r="E42" s="482">
        <v>0.86650000000000005</v>
      </c>
      <c r="F42" s="482">
        <v>0.86650000000000005</v>
      </c>
      <c r="G42" s="482">
        <v>0.86650000000000005</v>
      </c>
      <c r="H42" s="482">
        <v>0.86650000000000005</v>
      </c>
      <c r="I42" s="482">
        <v>0.7218</v>
      </c>
      <c r="J42" s="482">
        <v>0.7218</v>
      </c>
      <c r="K42" s="482">
        <v>0.7218</v>
      </c>
      <c r="L42" s="482">
        <v>0.7218</v>
      </c>
      <c r="M42" s="482">
        <v>0.7218</v>
      </c>
    </row>
    <row r="43" spans="1:13">
      <c r="A43" s="483">
        <v>4.0999999999999996</v>
      </c>
      <c r="B43" s="482">
        <v>0.96479999999999999</v>
      </c>
      <c r="C43" s="482">
        <v>0.96479999999999999</v>
      </c>
      <c r="D43" s="482">
        <v>0.86109999999999998</v>
      </c>
      <c r="E43" s="482">
        <v>0.86109999999999998</v>
      </c>
      <c r="F43" s="482">
        <v>0.86109999999999998</v>
      </c>
      <c r="G43" s="482">
        <v>0.86109999999999998</v>
      </c>
      <c r="H43" s="482">
        <v>0.86109999999999998</v>
      </c>
      <c r="I43" s="482">
        <v>0.71499999999999997</v>
      </c>
      <c r="J43" s="482">
        <v>0.71499999999999997</v>
      </c>
      <c r="K43" s="482">
        <v>0.71499999999999997</v>
      </c>
      <c r="L43" s="482">
        <v>0.71499999999999997</v>
      </c>
      <c r="M43" s="482">
        <v>0.71499999999999997</v>
      </c>
    </row>
    <row r="44" spans="1:13">
      <c r="A44" s="483">
        <v>4.2</v>
      </c>
      <c r="B44" s="482">
        <v>0.96</v>
      </c>
      <c r="C44" s="482">
        <v>0.96</v>
      </c>
      <c r="D44" s="482">
        <v>0.85599999999999998</v>
      </c>
      <c r="E44" s="482">
        <v>0.85599999999999998</v>
      </c>
      <c r="F44" s="482">
        <v>0.85599999999999998</v>
      </c>
      <c r="G44" s="482">
        <v>0.85599999999999998</v>
      </c>
      <c r="H44" s="482">
        <v>0.85599999999999998</v>
      </c>
      <c r="I44" s="482">
        <v>0.70840000000000003</v>
      </c>
      <c r="J44" s="482">
        <v>0.70840000000000003</v>
      </c>
      <c r="K44" s="482">
        <v>0.70840000000000003</v>
      </c>
      <c r="L44" s="482">
        <v>0.70840000000000003</v>
      </c>
      <c r="M44" s="482">
        <v>0.70840000000000003</v>
      </c>
    </row>
    <row r="45" spans="1:13">
      <c r="A45" s="483">
        <v>4.3</v>
      </c>
      <c r="B45" s="482">
        <v>0.95530000000000004</v>
      </c>
      <c r="C45" s="482">
        <v>0.95530000000000004</v>
      </c>
      <c r="D45" s="482">
        <v>0.85099999999999998</v>
      </c>
      <c r="E45" s="482">
        <v>0.85099999999999998</v>
      </c>
      <c r="F45" s="482">
        <v>0.85099999999999998</v>
      </c>
      <c r="G45" s="482">
        <v>0.85099999999999998</v>
      </c>
      <c r="H45" s="482">
        <v>0.85099999999999998</v>
      </c>
      <c r="I45" s="482">
        <v>0.70199999999999996</v>
      </c>
      <c r="J45" s="482">
        <v>0.70199999999999996</v>
      </c>
      <c r="K45" s="482">
        <v>0.70199999999999996</v>
      </c>
      <c r="L45" s="482">
        <v>0.70199999999999996</v>
      </c>
      <c r="M45" s="482">
        <v>0.70199999999999996</v>
      </c>
    </row>
    <row r="46" spans="1:13">
      <c r="A46" s="483">
        <v>4.4000000000000004</v>
      </c>
      <c r="B46" s="482">
        <v>0.95079999999999998</v>
      </c>
      <c r="C46" s="482">
        <v>0.95079999999999998</v>
      </c>
      <c r="D46" s="482">
        <v>0.84619999999999995</v>
      </c>
      <c r="E46" s="482">
        <v>0.84619999999999995</v>
      </c>
      <c r="F46" s="482">
        <v>0.84619999999999995</v>
      </c>
      <c r="G46" s="482">
        <v>0.84619999999999995</v>
      </c>
      <c r="H46" s="482">
        <v>0.84619999999999995</v>
      </c>
      <c r="I46" s="482">
        <v>0.69579999999999997</v>
      </c>
      <c r="J46" s="482">
        <v>0.69579999999999997</v>
      </c>
      <c r="K46" s="482">
        <v>0.69579999999999997</v>
      </c>
      <c r="L46" s="482">
        <v>0.69579999999999997</v>
      </c>
      <c r="M46" s="482">
        <v>0.69579999999999997</v>
      </c>
    </row>
    <row r="47" spans="1:13">
      <c r="A47" s="483">
        <v>4.5</v>
      </c>
      <c r="B47" s="482">
        <v>0.94640000000000002</v>
      </c>
      <c r="C47" s="482">
        <v>0.94640000000000002</v>
      </c>
      <c r="D47" s="482">
        <v>0.84150000000000003</v>
      </c>
      <c r="E47" s="482">
        <v>0.84150000000000003</v>
      </c>
      <c r="F47" s="482">
        <v>0.84150000000000003</v>
      </c>
      <c r="G47" s="482">
        <v>0.84150000000000003</v>
      </c>
      <c r="H47" s="482">
        <v>0.84150000000000003</v>
      </c>
      <c r="I47" s="482">
        <v>0.68989999999999996</v>
      </c>
      <c r="J47" s="482">
        <v>0.68989999999999996</v>
      </c>
      <c r="K47" s="482">
        <v>0.68989999999999996</v>
      </c>
      <c r="L47" s="482">
        <v>0.68989999999999996</v>
      </c>
      <c r="M47" s="482">
        <v>0.68989999999999996</v>
      </c>
    </row>
    <row r="48" spans="1:13">
      <c r="A48" s="483">
        <v>4.5999999999999996</v>
      </c>
      <c r="B48" s="482">
        <v>0.94230000000000003</v>
      </c>
      <c r="C48" s="482">
        <v>0.94230000000000003</v>
      </c>
      <c r="D48" s="482">
        <v>0.83709999999999996</v>
      </c>
      <c r="E48" s="482">
        <v>0.83709999999999996</v>
      </c>
      <c r="F48" s="482">
        <v>0.83709999999999996</v>
      </c>
      <c r="G48" s="482">
        <v>0.83709999999999996</v>
      </c>
      <c r="H48" s="482">
        <v>0.83709999999999996</v>
      </c>
      <c r="I48" s="482">
        <v>0.68430000000000002</v>
      </c>
      <c r="J48" s="482">
        <v>0.68430000000000002</v>
      </c>
      <c r="K48" s="482">
        <v>0.68430000000000002</v>
      </c>
      <c r="L48" s="482">
        <v>0.68430000000000002</v>
      </c>
      <c r="M48" s="482">
        <v>0.68430000000000002</v>
      </c>
    </row>
    <row r="49" spans="1:13">
      <c r="A49" s="483">
        <v>4.7</v>
      </c>
      <c r="B49" s="482">
        <v>0.93830000000000002</v>
      </c>
      <c r="C49" s="482">
        <v>0.93830000000000002</v>
      </c>
      <c r="D49" s="482">
        <v>0.83279999999999998</v>
      </c>
      <c r="E49" s="482">
        <v>0.83279999999999998</v>
      </c>
      <c r="F49" s="482">
        <v>0.83279999999999998</v>
      </c>
      <c r="G49" s="482">
        <v>0.83279999999999998</v>
      </c>
      <c r="H49" s="482">
        <v>0.83279999999999998</v>
      </c>
      <c r="I49" s="482">
        <v>0.67879999999999996</v>
      </c>
      <c r="J49" s="482">
        <v>0.67879999999999996</v>
      </c>
      <c r="K49" s="482">
        <v>0.67879999999999996</v>
      </c>
      <c r="L49" s="482">
        <v>0.67879999999999996</v>
      </c>
      <c r="M49" s="482">
        <v>0.67879999999999996</v>
      </c>
    </row>
    <row r="50" spans="1:13">
      <c r="A50" s="483">
        <v>4.8</v>
      </c>
      <c r="B50" s="482">
        <v>0.9345</v>
      </c>
      <c r="C50" s="482">
        <v>0.9345</v>
      </c>
      <c r="D50" s="482">
        <v>0.82869999999999999</v>
      </c>
      <c r="E50" s="482">
        <v>0.82869999999999999</v>
      </c>
      <c r="F50" s="482">
        <v>0.82869999999999999</v>
      </c>
      <c r="G50" s="482">
        <v>0.82869999999999999</v>
      </c>
      <c r="H50" s="482">
        <v>0.82869999999999999</v>
      </c>
      <c r="I50" s="482">
        <v>0.67359999999999998</v>
      </c>
      <c r="J50" s="482">
        <v>0.67359999999999998</v>
      </c>
      <c r="K50" s="482">
        <v>0.67359999999999998</v>
      </c>
      <c r="L50" s="482">
        <v>0.67359999999999998</v>
      </c>
      <c r="M50" s="482">
        <v>0.67359999999999998</v>
      </c>
    </row>
    <row r="51" spans="1:13">
      <c r="A51" s="483">
        <v>4.9000000000000004</v>
      </c>
      <c r="B51" s="482">
        <v>0.93079999999999996</v>
      </c>
      <c r="C51" s="482">
        <v>0.93079999999999996</v>
      </c>
      <c r="D51" s="482">
        <v>0.82479999999999998</v>
      </c>
      <c r="E51" s="482">
        <v>0.82479999999999998</v>
      </c>
      <c r="F51" s="482">
        <v>0.82479999999999998</v>
      </c>
      <c r="G51" s="482">
        <v>0.82479999999999998</v>
      </c>
      <c r="H51" s="482">
        <v>0.82479999999999998</v>
      </c>
      <c r="I51" s="482">
        <v>0.66849999999999998</v>
      </c>
      <c r="J51" s="482">
        <v>0.66849999999999998</v>
      </c>
      <c r="K51" s="482">
        <v>0.66849999999999998</v>
      </c>
      <c r="L51" s="482">
        <v>0.66849999999999998</v>
      </c>
      <c r="M51" s="482">
        <v>0.66849999999999998</v>
      </c>
    </row>
    <row r="52" spans="1:13">
      <c r="A52" s="483">
        <v>5</v>
      </c>
      <c r="B52" s="482">
        <v>0.9274</v>
      </c>
      <c r="C52" s="482">
        <v>0.9274</v>
      </c>
      <c r="D52" s="482">
        <v>0.82110000000000005</v>
      </c>
      <c r="E52" s="482">
        <v>0.82110000000000005</v>
      </c>
      <c r="F52" s="482">
        <v>0.82110000000000005</v>
      </c>
      <c r="G52" s="482">
        <v>0.82110000000000005</v>
      </c>
      <c r="H52" s="482">
        <v>0.82110000000000005</v>
      </c>
      <c r="I52" s="482">
        <v>0.66369999999999996</v>
      </c>
      <c r="J52" s="482">
        <v>0.66369999999999996</v>
      </c>
      <c r="K52" s="482">
        <v>0.66369999999999996</v>
      </c>
      <c r="L52" s="482">
        <v>0.66369999999999996</v>
      </c>
      <c r="M52" s="482">
        <v>0.66369999999999996</v>
      </c>
    </row>
    <row r="53" spans="1:13">
      <c r="A53" s="479">
        <v>5.0999999999999996</v>
      </c>
      <c r="B53" s="482">
        <v>0.92410000000000003</v>
      </c>
      <c r="C53" s="482">
        <v>0.92410000000000003</v>
      </c>
      <c r="D53" s="482">
        <v>0.8175</v>
      </c>
      <c r="E53" s="482">
        <v>0.8175</v>
      </c>
      <c r="F53" s="482">
        <v>0.8175</v>
      </c>
      <c r="G53" s="482">
        <v>0.8175</v>
      </c>
      <c r="H53" s="482">
        <v>0.8175</v>
      </c>
      <c r="I53" s="482">
        <v>0.65900000000000003</v>
      </c>
      <c r="J53" s="482">
        <v>0.65900000000000003</v>
      </c>
      <c r="K53" s="482">
        <v>0.65900000000000003</v>
      </c>
      <c r="L53" s="482">
        <v>0.65900000000000003</v>
      </c>
      <c r="M53" s="482">
        <v>0.65900000000000003</v>
      </c>
    </row>
    <row r="54" spans="1:13">
      <c r="A54" s="479">
        <v>5.2</v>
      </c>
      <c r="B54" s="482">
        <v>0.92090000000000005</v>
      </c>
      <c r="C54" s="482">
        <v>0.92090000000000005</v>
      </c>
      <c r="D54" s="482">
        <v>0.81399999999999995</v>
      </c>
      <c r="E54" s="482">
        <v>0.81399999999999995</v>
      </c>
      <c r="F54" s="482">
        <v>0.81399999999999995</v>
      </c>
      <c r="G54" s="482">
        <v>0.81399999999999995</v>
      </c>
      <c r="H54" s="482">
        <v>0.81399999999999995</v>
      </c>
      <c r="I54" s="482">
        <v>0.65449999999999997</v>
      </c>
      <c r="J54" s="482">
        <v>0.65449999999999997</v>
      </c>
      <c r="K54" s="482">
        <v>0.65449999999999997</v>
      </c>
      <c r="L54" s="482">
        <v>0.65449999999999997</v>
      </c>
      <c r="M54" s="482">
        <v>0.65449999999999997</v>
      </c>
    </row>
    <row r="55" spans="1:13">
      <c r="A55" s="479">
        <v>5.3</v>
      </c>
      <c r="B55" s="482">
        <v>0.91790000000000005</v>
      </c>
      <c r="C55" s="482">
        <v>0.91790000000000005</v>
      </c>
      <c r="D55" s="482">
        <v>0.81059999999999999</v>
      </c>
      <c r="E55" s="482">
        <v>0.81059999999999999</v>
      </c>
      <c r="F55" s="482">
        <v>0.81059999999999999</v>
      </c>
      <c r="G55" s="482">
        <v>0.81059999999999999</v>
      </c>
      <c r="H55" s="482">
        <v>0.81059999999999999</v>
      </c>
      <c r="I55" s="482">
        <v>0.6502</v>
      </c>
      <c r="J55" s="482">
        <v>0.6502</v>
      </c>
      <c r="K55" s="482">
        <v>0.6502</v>
      </c>
      <c r="L55" s="482">
        <v>0.6502</v>
      </c>
      <c r="M55" s="482">
        <v>0.6502</v>
      </c>
    </row>
    <row r="56" spans="1:13">
      <c r="A56" s="479">
        <v>5.4</v>
      </c>
      <c r="B56" s="482">
        <v>0.91490000000000005</v>
      </c>
      <c r="C56" s="482">
        <v>0.91490000000000005</v>
      </c>
      <c r="D56" s="482">
        <v>0.80740000000000001</v>
      </c>
      <c r="E56" s="482">
        <v>0.80740000000000001</v>
      </c>
      <c r="F56" s="482">
        <v>0.80740000000000001</v>
      </c>
      <c r="G56" s="482">
        <v>0.80740000000000001</v>
      </c>
      <c r="H56" s="482">
        <v>0.80740000000000001</v>
      </c>
      <c r="I56" s="482">
        <v>0.64590000000000003</v>
      </c>
      <c r="J56" s="482">
        <v>0.64590000000000003</v>
      </c>
      <c r="K56" s="482">
        <v>0.64590000000000003</v>
      </c>
      <c r="L56" s="482">
        <v>0.64590000000000003</v>
      </c>
      <c r="M56" s="482">
        <v>0.64590000000000003</v>
      </c>
    </row>
    <row r="57" spans="1:13">
      <c r="A57" s="479">
        <v>5.5</v>
      </c>
      <c r="B57" s="482">
        <v>0.91200000000000003</v>
      </c>
      <c r="C57" s="482">
        <v>0.91200000000000003</v>
      </c>
      <c r="D57" s="482">
        <v>0.80420000000000003</v>
      </c>
      <c r="E57" s="482">
        <v>0.80420000000000003</v>
      </c>
      <c r="F57" s="482">
        <v>0.80420000000000003</v>
      </c>
      <c r="G57" s="482">
        <v>0.80420000000000003</v>
      </c>
      <c r="H57" s="482">
        <v>0.80420000000000003</v>
      </c>
      <c r="I57" s="482">
        <v>0.64180000000000004</v>
      </c>
      <c r="J57" s="482">
        <v>0.64180000000000004</v>
      </c>
      <c r="K57" s="482">
        <v>0.64180000000000004</v>
      </c>
      <c r="L57" s="482">
        <v>0.64180000000000004</v>
      </c>
      <c r="M57" s="482">
        <v>0.64180000000000004</v>
      </c>
    </row>
    <row r="58" spans="1:13">
      <c r="A58" s="479">
        <v>5.6</v>
      </c>
      <c r="B58" s="482">
        <v>0.90910000000000002</v>
      </c>
      <c r="C58" s="482">
        <v>0.90910000000000002</v>
      </c>
      <c r="D58" s="482">
        <v>0.80120000000000002</v>
      </c>
      <c r="E58" s="482">
        <v>0.80120000000000002</v>
      </c>
      <c r="F58" s="482">
        <v>0.80120000000000002</v>
      </c>
      <c r="G58" s="482">
        <v>0.80120000000000002</v>
      </c>
      <c r="H58" s="482">
        <v>0.80120000000000002</v>
      </c>
      <c r="I58" s="482">
        <v>0.63790000000000002</v>
      </c>
      <c r="J58" s="482">
        <v>0.63790000000000002</v>
      </c>
      <c r="K58" s="482">
        <v>0.63790000000000002</v>
      </c>
      <c r="L58" s="482">
        <v>0.63790000000000002</v>
      </c>
      <c r="M58" s="482">
        <v>0.63790000000000002</v>
      </c>
    </row>
    <row r="59" spans="1:13">
      <c r="A59" s="483">
        <v>5.7</v>
      </c>
      <c r="B59" s="482">
        <v>0.90639999999999998</v>
      </c>
      <c r="C59" s="482">
        <v>0.90639999999999998</v>
      </c>
      <c r="D59" s="482">
        <v>0.79820000000000002</v>
      </c>
      <c r="E59" s="482">
        <v>0.79820000000000002</v>
      </c>
      <c r="F59" s="482">
        <v>0.79820000000000002</v>
      </c>
      <c r="G59" s="482">
        <v>0.79820000000000002</v>
      </c>
      <c r="H59" s="482">
        <v>0.79820000000000002</v>
      </c>
      <c r="I59" s="482">
        <v>0.6341</v>
      </c>
      <c r="J59" s="482">
        <v>0.6341</v>
      </c>
      <c r="K59" s="482">
        <v>0.6341</v>
      </c>
      <c r="L59" s="482">
        <v>0.6341</v>
      </c>
      <c r="M59" s="482">
        <v>0.6341</v>
      </c>
    </row>
    <row r="60" spans="1:13">
      <c r="A60" s="479">
        <v>5.8</v>
      </c>
      <c r="B60" s="482">
        <v>0.90380000000000005</v>
      </c>
      <c r="C60" s="482">
        <v>0.90380000000000005</v>
      </c>
      <c r="D60" s="482">
        <v>0.7954</v>
      </c>
      <c r="E60" s="482">
        <v>0.7954</v>
      </c>
      <c r="F60" s="482">
        <v>0.7954</v>
      </c>
      <c r="G60" s="482">
        <v>0.7954</v>
      </c>
      <c r="H60" s="482">
        <v>0.7954</v>
      </c>
      <c r="I60" s="482">
        <v>0.63039999999999996</v>
      </c>
      <c r="J60" s="482">
        <v>0.63039999999999996</v>
      </c>
      <c r="K60" s="482">
        <v>0.63039999999999996</v>
      </c>
      <c r="L60" s="482">
        <v>0.63039999999999996</v>
      </c>
      <c r="M60" s="482">
        <v>0.63039999999999996</v>
      </c>
    </row>
    <row r="61" spans="1:13">
      <c r="A61" s="479">
        <v>5.9</v>
      </c>
      <c r="B61" s="482">
        <v>0.90129999999999999</v>
      </c>
      <c r="C61" s="482">
        <v>0.90129999999999999</v>
      </c>
      <c r="D61" s="482">
        <v>0.79269999999999996</v>
      </c>
      <c r="E61" s="482">
        <v>0.79269999999999996</v>
      </c>
      <c r="F61" s="482">
        <v>0.79269999999999996</v>
      </c>
      <c r="G61" s="482">
        <v>0.79269999999999996</v>
      </c>
      <c r="H61" s="482">
        <v>0.79269999999999996</v>
      </c>
      <c r="I61" s="482">
        <v>0.62690000000000001</v>
      </c>
      <c r="J61" s="482">
        <v>0.62690000000000001</v>
      </c>
      <c r="K61" s="482">
        <v>0.62690000000000001</v>
      </c>
      <c r="L61" s="482">
        <v>0.62690000000000001</v>
      </c>
      <c r="M61" s="482">
        <v>0.62690000000000001</v>
      </c>
    </row>
    <row r="62" spans="1:13">
      <c r="A62" s="479">
        <v>6</v>
      </c>
      <c r="B62" s="482">
        <v>0.89890000000000003</v>
      </c>
      <c r="C62" s="482">
        <v>0.89890000000000003</v>
      </c>
      <c r="D62" s="482">
        <v>0.79020000000000001</v>
      </c>
      <c r="E62" s="482">
        <v>0.79020000000000001</v>
      </c>
      <c r="F62" s="482">
        <v>0.79020000000000001</v>
      </c>
      <c r="G62" s="482">
        <v>0.79020000000000001</v>
      </c>
      <c r="H62" s="482">
        <v>0.79020000000000001</v>
      </c>
      <c r="I62" s="482">
        <v>0.62350000000000005</v>
      </c>
      <c r="J62" s="482">
        <v>0.62350000000000005</v>
      </c>
      <c r="K62" s="482">
        <v>0.62350000000000005</v>
      </c>
      <c r="L62" s="482">
        <v>0.62350000000000005</v>
      </c>
      <c r="M62" s="482">
        <v>0.62350000000000005</v>
      </c>
    </row>
    <row r="63" spans="1:13">
      <c r="A63" s="479">
        <v>6.1</v>
      </c>
      <c r="B63" s="482">
        <v>0.89649999999999996</v>
      </c>
      <c r="C63" s="482">
        <v>0.89649999999999996</v>
      </c>
      <c r="D63" s="482">
        <v>0.78769999999999996</v>
      </c>
      <c r="E63" s="482">
        <v>0.78769999999999996</v>
      </c>
      <c r="F63" s="482">
        <v>0.78769999999999996</v>
      </c>
      <c r="G63" s="482">
        <v>0.78769999999999996</v>
      </c>
      <c r="H63" s="482">
        <v>0.78769999999999996</v>
      </c>
      <c r="I63" s="482">
        <v>0.62029999999999996</v>
      </c>
      <c r="J63" s="482">
        <v>0.62029999999999996</v>
      </c>
      <c r="K63" s="482">
        <v>0.62029999999999996</v>
      </c>
      <c r="L63" s="482">
        <v>0.62029999999999996</v>
      </c>
      <c r="M63" s="482">
        <v>0.62029999999999996</v>
      </c>
    </row>
    <row r="64" spans="1:13">
      <c r="A64" s="479">
        <v>6.2</v>
      </c>
      <c r="B64" s="482">
        <v>0.89429999999999998</v>
      </c>
      <c r="C64" s="482">
        <v>0.89429999999999998</v>
      </c>
      <c r="D64" s="482">
        <v>0.78520000000000001</v>
      </c>
      <c r="E64" s="482">
        <v>0.78520000000000001</v>
      </c>
      <c r="F64" s="482">
        <v>0.78520000000000001</v>
      </c>
      <c r="G64" s="482">
        <v>0.78520000000000001</v>
      </c>
      <c r="H64" s="482">
        <v>0.78520000000000001</v>
      </c>
      <c r="I64" s="482">
        <v>0.61719999999999997</v>
      </c>
      <c r="J64" s="482">
        <v>0.61719999999999997</v>
      </c>
      <c r="K64" s="482">
        <v>0.61719999999999997</v>
      </c>
      <c r="L64" s="482">
        <v>0.61719999999999997</v>
      </c>
      <c r="M64" s="482">
        <v>0.61719999999999997</v>
      </c>
    </row>
    <row r="65" spans="1:13">
      <c r="A65" s="479">
        <v>6.3</v>
      </c>
      <c r="B65" s="482">
        <v>0.89200000000000002</v>
      </c>
      <c r="C65" s="482">
        <v>0.89200000000000002</v>
      </c>
      <c r="D65" s="482">
        <v>0.78280000000000005</v>
      </c>
      <c r="E65" s="482">
        <v>0.78280000000000005</v>
      </c>
      <c r="F65" s="482">
        <v>0.78280000000000005</v>
      </c>
      <c r="G65" s="482">
        <v>0.78280000000000005</v>
      </c>
      <c r="H65" s="482">
        <v>0.78280000000000005</v>
      </c>
      <c r="I65" s="482">
        <v>0.61409999999999998</v>
      </c>
      <c r="J65" s="482">
        <v>0.61409999999999998</v>
      </c>
      <c r="K65" s="482">
        <v>0.61409999999999998</v>
      </c>
      <c r="L65" s="482">
        <v>0.61409999999999998</v>
      </c>
      <c r="M65" s="482">
        <v>0.61409999999999998</v>
      </c>
    </row>
    <row r="66" spans="1:13">
      <c r="A66" s="479">
        <v>6.4</v>
      </c>
      <c r="B66" s="482">
        <v>0.88990000000000002</v>
      </c>
      <c r="C66" s="482">
        <v>0.88990000000000002</v>
      </c>
      <c r="D66" s="482">
        <v>0.78039999999999998</v>
      </c>
      <c r="E66" s="482">
        <v>0.78039999999999998</v>
      </c>
      <c r="F66" s="482">
        <v>0.78039999999999998</v>
      </c>
      <c r="G66" s="482">
        <v>0.78039999999999998</v>
      </c>
      <c r="H66" s="482">
        <v>0.78039999999999998</v>
      </c>
      <c r="I66" s="482">
        <v>0.61099999999999999</v>
      </c>
      <c r="J66" s="482">
        <v>0.61099999999999999</v>
      </c>
      <c r="K66" s="482">
        <v>0.61099999999999999</v>
      </c>
      <c r="L66" s="482">
        <v>0.61099999999999999</v>
      </c>
      <c r="M66" s="482">
        <v>0.61099999999999999</v>
      </c>
    </row>
    <row r="67" spans="1:13">
      <c r="A67" s="479">
        <v>6.5</v>
      </c>
      <c r="B67" s="482">
        <v>0.88780000000000003</v>
      </c>
      <c r="C67" s="482">
        <v>0.88780000000000003</v>
      </c>
      <c r="D67" s="482">
        <v>0.77810000000000001</v>
      </c>
      <c r="E67" s="482">
        <v>0.77810000000000001</v>
      </c>
      <c r="F67" s="482">
        <v>0.77810000000000001</v>
      </c>
      <c r="G67" s="482">
        <v>0.77810000000000001</v>
      </c>
      <c r="H67" s="482">
        <v>0.77810000000000001</v>
      </c>
      <c r="I67" s="482">
        <v>0.60799999999999998</v>
      </c>
      <c r="J67" s="482">
        <v>0.60799999999999998</v>
      </c>
      <c r="K67" s="482">
        <v>0.60799999999999998</v>
      </c>
      <c r="L67" s="482">
        <v>0.60799999999999998</v>
      </c>
      <c r="M67" s="482">
        <v>0.60799999999999998</v>
      </c>
    </row>
    <row r="68" spans="1:13">
      <c r="A68" s="479">
        <v>6.6</v>
      </c>
      <c r="B68" s="482">
        <v>0.88580000000000003</v>
      </c>
      <c r="C68" s="482">
        <v>0.88580000000000003</v>
      </c>
      <c r="D68" s="482">
        <v>0.77580000000000005</v>
      </c>
      <c r="E68" s="482">
        <v>0.77580000000000005</v>
      </c>
      <c r="F68" s="482">
        <v>0.77580000000000005</v>
      </c>
      <c r="G68" s="482">
        <v>0.77580000000000005</v>
      </c>
      <c r="H68" s="482">
        <v>0.77580000000000005</v>
      </c>
      <c r="I68" s="482">
        <v>0.60499999999999998</v>
      </c>
      <c r="J68" s="482">
        <v>0.60499999999999998</v>
      </c>
      <c r="K68" s="482">
        <v>0.60499999999999998</v>
      </c>
      <c r="L68" s="482">
        <v>0.60499999999999998</v>
      </c>
      <c r="M68" s="482">
        <v>0.60499999999999998</v>
      </c>
    </row>
    <row r="69" spans="1:13">
      <c r="A69" s="479">
        <v>6.7</v>
      </c>
      <c r="B69" s="482">
        <v>0.88380000000000003</v>
      </c>
      <c r="C69" s="482">
        <v>0.88380000000000003</v>
      </c>
      <c r="D69" s="482">
        <v>0.77359999999999995</v>
      </c>
      <c r="E69" s="482">
        <v>0.77359999999999995</v>
      </c>
      <c r="F69" s="482">
        <v>0.77359999999999995</v>
      </c>
      <c r="G69" s="482">
        <v>0.77359999999999995</v>
      </c>
      <c r="H69" s="482">
        <v>0.77359999999999995</v>
      </c>
      <c r="I69" s="482">
        <v>0.60209999999999997</v>
      </c>
      <c r="J69" s="482">
        <v>0.60209999999999997</v>
      </c>
      <c r="K69" s="482">
        <v>0.60209999999999997</v>
      </c>
      <c r="L69" s="482">
        <v>0.60209999999999997</v>
      </c>
      <c r="M69" s="482">
        <v>0.60209999999999997</v>
      </c>
    </row>
    <row r="70" spans="1:13">
      <c r="A70" s="479">
        <v>6.8</v>
      </c>
      <c r="B70" s="482">
        <v>0.88190000000000002</v>
      </c>
      <c r="C70" s="482">
        <v>0.88190000000000002</v>
      </c>
      <c r="D70" s="482">
        <v>0.77159999999999995</v>
      </c>
      <c r="E70" s="482">
        <v>0.77159999999999995</v>
      </c>
      <c r="F70" s="482">
        <v>0.77159999999999995</v>
      </c>
      <c r="G70" s="482">
        <v>0.77159999999999995</v>
      </c>
      <c r="H70" s="482">
        <v>0.77159999999999995</v>
      </c>
      <c r="I70" s="482">
        <v>0.59930000000000005</v>
      </c>
      <c r="J70" s="482">
        <v>0.59930000000000005</v>
      </c>
      <c r="K70" s="482">
        <v>0.59930000000000005</v>
      </c>
      <c r="L70" s="482">
        <v>0.59930000000000005</v>
      </c>
      <c r="M70" s="482">
        <v>0.59930000000000005</v>
      </c>
    </row>
    <row r="71" spans="1:13">
      <c r="A71" s="479">
        <v>6.9</v>
      </c>
      <c r="B71" s="482">
        <v>0.88</v>
      </c>
      <c r="C71" s="482">
        <v>0.88</v>
      </c>
      <c r="D71" s="482">
        <v>0.76949999999999996</v>
      </c>
      <c r="E71" s="482">
        <v>0.76949999999999996</v>
      </c>
      <c r="F71" s="482">
        <v>0.76949999999999996</v>
      </c>
      <c r="G71" s="482">
        <v>0.76949999999999996</v>
      </c>
      <c r="H71" s="482">
        <v>0.76949999999999996</v>
      </c>
      <c r="I71" s="482">
        <v>0.59640000000000004</v>
      </c>
      <c r="J71" s="482">
        <v>0.59640000000000004</v>
      </c>
      <c r="K71" s="482">
        <v>0.59640000000000004</v>
      </c>
      <c r="L71" s="482">
        <v>0.59640000000000004</v>
      </c>
      <c r="M71" s="482">
        <v>0.59640000000000004</v>
      </c>
    </row>
    <row r="72" spans="1:13">
      <c r="A72" s="479">
        <v>7</v>
      </c>
      <c r="B72" s="482">
        <v>0.87819999999999998</v>
      </c>
      <c r="C72" s="482">
        <v>0.87819999999999998</v>
      </c>
      <c r="D72" s="482">
        <v>0.76749999999999996</v>
      </c>
      <c r="E72" s="482">
        <v>0.76749999999999996</v>
      </c>
      <c r="F72" s="482">
        <v>0.76749999999999996</v>
      </c>
      <c r="G72" s="482">
        <v>0.76749999999999996</v>
      </c>
      <c r="H72" s="482">
        <v>0.76749999999999996</v>
      </c>
      <c r="I72" s="482">
        <v>0.59360000000000002</v>
      </c>
      <c r="J72" s="482">
        <v>0.59360000000000002</v>
      </c>
      <c r="K72" s="482">
        <v>0.59360000000000002</v>
      </c>
      <c r="L72" s="482">
        <v>0.59360000000000002</v>
      </c>
      <c r="M72" s="482">
        <v>0.59360000000000002</v>
      </c>
    </row>
    <row r="73" spans="1:13">
      <c r="A73" s="479">
        <v>7.1</v>
      </c>
      <c r="B73" s="482">
        <v>0.87660000000000005</v>
      </c>
      <c r="C73" s="482">
        <v>0.87660000000000005</v>
      </c>
      <c r="D73" s="482">
        <v>0.76570000000000005</v>
      </c>
      <c r="E73" s="482">
        <v>0.76570000000000005</v>
      </c>
      <c r="F73" s="482">
        <v>0.76570000000000005</v>
      </c>
      <c r="G73" s="482">
        <v>0.76570000000000005</v>
      </c>
      <c r="H73" s="482">
        <v>0.76570000000000005</v>
      </c>
      <c r="I73" s="482">
        <v>0.59109999999999996</v>
      </c>
      <c r="J73" s="482">
        <v>0.59109999999999996</v>
      </c>
      <c r="K73" s="482">
        <v>0.59109999999999996</v>
      </c>
      <c r="L73" s="482">
        <v>0.59109999999999996</v>
      </c>
      <c r="M73" s="482">
        <v>0.59109999999999996</v>
      </c>
    </row>
    <row r="74" spans="1:13">
      <c r="A74" s="479">
        <v>7.2</v>
      </c>
      <c r="B74" s="482">
        <v>0.87490000000000001</v>
      </c>
      <c r="C74" s="482">
        <v>0.87490000000000001</v>
      </c>
      <c r="D74" s="482">
        <v>0.76380000000000003</v>
      </c>
      <c r="E74" s="482">
        <v>0.76380000000000003</v>
      </c>
      <c r="F74" s="482">
        <v>0.76380000000000003</v>
      </c>
      <c r="G74" s="482">
        <v>0.76380000000000003</v>
      </c>
      <c r="H74" s="482">
        <v>0.76380000000000003</v>
      </c>
      <c r="I74" s="482">
        <v>0.58860000000000001</v>
      </c>
      <c r="J74" s="482">
        <v>0.58860000000000001</v>
      </c>
      <c r="K74" s="482">
        <v>0.58860000000000001</v>
      </c>
      <c r="L74" s="482">
        <v>0.58860000000000001</v>
      </c>
      <c r="M74" s="482">
        <v>0.58860000000000001</v>
      </c>
    </row>
    <row r="75" spans="1:13">
      <c r="A75" s="479">
        <v>7.3</v>
      </c>
      <c r="B75" s="482">
        <v>0.87329999999999997</v>
      </c>
      <c r="C75" s="482">
        <v>0.87329999999999997</v>
      </c>
      <c r="D75" s="482">
        <v>0.76200000000000001</v>
      </c>
      <c r="E75" s="482">
        <v>0.76200000000000001</v>
      </c>
      <c r="F75" s="482">
        <v>0.76200000000000001</v>
      </c>
      <c r="G75" s="482">
        <v>0.76200000000000001</v>
      </c>
      <c r="H75" s="482">
        <v>0.76200000000000001</v>
      </c>
      <c r="I75" s="482">
        <v>0.58620000000000005</v>
      </c>
      <c r="J75" s="482">
        <v>0.58620000000000005</v>
      </c>
      <c r="K75" s="482">
        <v>0.58620000000000005</v>
      </c>
      <c r="L75" s="482">
        <v>0.58620000000000005</v>
      </c>
      <c r="M75" s="482">
        <v>0.58620000000000005</v>
      </c>
    </row>
    <row r="76" spans="1:13">
      <c r="A76" s="479">
        <v>7.4</v>
      </c>
      <c r="B76" s="482">
        <v>0.87160000000000004</v>
      </c>
      <c r="C76" s="482">
        <v>0.87160000000000004</v>
      </c>
      <c r="D76" s="482">
        <v>0.76029999999999998</v>
      </c>
      <c r="E76" s="482">
        <v>0.76029999999999998</v>
      </c>
      <c r="F76" s="482">
        <v>0.76029999999999998</v>
      </c>
      <c r="G76" s="482">
        <v>0.76029999999999998</v>
      </c>
      <c r="H76" s="482">
        <v>0.76029999999999998</v>
      </c>
      <c r="I76" s="482">
        <v>0.58379999999999999</v>
      </c>
      <c r="J76" s="482">
        <v>0.58379999999999999</v>
      </c>
      <c r="K76" s="482">
        <v>0.58379999999999999</v>
      </c>
      <c r="L76" s="482">
        <v>0.58379999999999999</v>
      </c>
      <c r="M76" s="482">
        <v>0.58379999999999999</v>
      </c>
    </row>
    <row r="77" spans="1:13">
      <c r="A77" s="479">
        <v>7.5</v>
      </c>
      <c r="B77" s="482">
        <v>0.87</v>
      </c>
      <c r="C77" s="482">
        <v>0.87</v>
      </c>
      <c r="D77" s="482">
        <v>0.75849999999999995</v>
      </c>
      <c r="E77" s="482">
        <v>0.75849999999999995</v>
      </c>
      <c r="F77" s="482">
        <v>0.75849999999999995</v>
      </c>
      <c r="G77" s="482">
        <v>0.75849999999999995</v>
      </c>
      <c r="H77" s="482">
        <v>0.75849999999999995</v>
      </c>
      <c r="I77" s="482">
        <v>0.58140000000000003</v>
      </c>
      <c r="J77" s="482">
        <v>0.58140000000000003</v>
      </c>
      <c r="K77" s="482">
        <v>0.58140000000000003</v>
      </c>
      <c r="L77" s="482">
        <v>0.58140000000000003</v>
      </c>
      <c r="M77" s="482">
        <v>0.58140000000000003</v>
      </c>
    </row>
    <row r="78" spans="1:13">
      <c r="A78" s="479">
        <v>7.6</v>
      </c>
      <c r="B78" s="482">
        <v>0.86839999999999995</v>
      </c>
      <c r="C78" s="482">
        <v>0.86839999999999995</v>
      </c>
      <c r="D78" s="482">
        <v>0.75680000000000003</v>
      </c>
      <c r="E78" s="482">
        <v>0.75680000000000003</v>
      </c>
      <c r="F78" s="482">
        <v>0.75680000000000003</v>
      </c>
      <c r="G78" s="482">
        <v>0.75680000000000003</v>
      </c>
      <c r="H78" s="482">
        <v>0.75680000000000003</v>
      </c>
      <c r="I78" s="482">
        <v>0.57899999999999996</v>
      </c>
      <c r="J78" s="482">
        <v>0.57899999999999996</v>
      </c>
      <c r="K78" s="482">
        <v>0.57899999999999996</v>
      </c>
      <c r="L78" s="482">
        <v>0.57899999999999996</v>
      </c>
      <c r="M78" s="482">
        <v>0.57899999999999996</v>
      </c>
    </row>
    <row r="79" spans="1:13">
      <c r="A79" s="479">
        <v>7.7</v>
      </c>
      <c r="B79" s="482">
        <v>0.8669</v>
      </c>
      <c r="C79" s="482">
        <v>0.8669</v>
      </c>
      <c r="D79" s="482">
        <v>0.755</v>
      </c>
      <c r="E79" s="482">
        <v>0.755</v>
      </c>
      <c r="F79" s="482">
        <v>0.755</v>
      </c>
      <c r="G79" s="482">
        <v>0.755</v>
      </c>
      <c r="H79" s="482">
        <v>0.755</v>
      </c>
      <c r="I79" s="482">
        <v>0.57669999999999999</v>
      </c>
      <c r="J79" s="482">
        <v>0.57669999999999999</v>
      </c>
      <c r="K79" s="482">
        <v>0.57669999999999999</v>
      </c>
      <c r="L79" s="482">
        <v>0.57669999999999999</v>
      </c>
      <c r="M79" s="482">
        <v>0.57669999999999999</v>
      </c>
    </row>
    <row r="80" spans="1:13">
      <c r="A80" s="479">
        <v>7.8</v>
      </c>
      <c r="B80" s="482">
        <v>0.86539999999999995</v>
      </c>
      <c r="C80" s="482">
        <v>0.86539999999999995</v>
      </c>
      <c r="D80" s="482">
        <v>0.75329999999999997</v>
      </c>
      <c r="E80" s="482">
        <v>0.75329999999999997</v>
      </c>
      <c r="F80" s="482">
        <v>0.75329999999999997</v>
      </c>
      <c r="G80" s="482">
        <v>0.75329999999999997</v>
      </c>
      <c r="H80" s="482">
        <v>0.75329999999999997</v>
      </c>
      <c r="I80" s="482">
        <v>0.57450000000000001</v>
      </c>
      <c r="J80" s="482">
        <v>0.57450000000000001</v>
      </c>
      <c r="K80" s="482">
        <v>0.57450000000000001</v>
      </c>
      <c r="L80" s="482">
        <v>0.57450000000000001</v>
      </c>
      <c r="M80" s="482">
        <v>0.57450000000000001</v>
      </c>
    </row>
    <row r="81" spans="1:13">
      <c r="A81" s="479">
        <v>7.9</v>
      </c>
      <c r="B81" s="482">
        <v>0.86380000000000001</v>
      </c>
      <c r="C81" s="482">
        <v>0.86380000000000001</v>
      </c>
      <c r="D81" s="482">
        <v>0.75170000000000003</v>
      </c>
      <c r="E81" s="482">
        <v>0.75170000000000003</v>
      </c>
      <c r="F81" s="482">
        <v>0.75170000000000003</v>
      </c>
      <c r="G81" s="482">
        <v>0.75170000000000003</v>
      </c>
      <c r="H81" s="482">
        <v>0.75170000000000003</v>
      </c>
      <c r="I81" s="482">
        <v>0.57220000000000004</v>
      </c>
      <c r="J81" s="482">
        <v>0.57220000000000004</v>
      </c>
      <c r="K81" s="482">
        <v>0.57220000000000004</v>
      </c>
      <c r="L81" s="482">
        <v>0.57220000000000004</v>
      </c>
      <c r="M81" s="482">
        <v>0.57220000000000004</v>
      </c>
    </row>
    <row r="82" spans="1:13">
      <c r="A82" s="479">
        <v>8</v>
      </c>
      <c r="B82" s="482">
        <v>0.86240000000000006</v>
      </c>
      <c r="C82" s="482">
        <v>0.86240000000000006</v>
      </c>
      <c r="D82" s="482">
        <v>0.75</v>
      </c>
      <c r="E82" s="482">
        <v>0.75</v>
      </c>
      <c r="F82" s="482">
        <v>0.75</v>
      </c>
      <c r="G82" s="482">
        <v>0.75</v>
      </c>
      <c r="H82" s="482">
        <v>0.75</v>
      </c>
      <c r="I82" s="482">
        <v>0.56989999999999996</v>
      </c>
      <c r="J82" s="482">
        <v>0.56989999999999996</v>
      </c>
      <c r="K82" s="482">
        <v>0.56989999999999996</v>
      </c>
      <c r="L82" s="482">
        <v>0.56989999999999996</v>
      </c>
      <c r="M82" s="482">
        <v>0.56989999999999996</v>
      </c>
    </row>
    <row r="83" spans="1:13">
      <c r="A83" s="479">
        <v>8.1</v>
      </c>
      <c r="B83" s="482">
        <v>0.86099999999999999</v>
      </c>
      <c r="C83" s="482">
        <v>0.86099999999999999</v>
      </c>
      <c r="D83" s="482">
        <v>0.74850000000000005</v>
      </c>
      <c r="E83" s="482">
        <v>0.74850000000000005</v>
      </c>
      <c r="F83" s="482">
        <v>0.74850000000000005</v>
      </c>
      <c r="G83" s="482">
        <v>0.74850000000000005</v>
      </c>
      <c r="H83" s="482">
        <v>0.74850000000000005</v>
      </c>
      <c r="I83" s="482">
        <v>0.56779999999999997</v>
      </c>
      <c r="J83" s="482">
        <v>0.56779999999999997</v>
      </c>
      <c r="K83" s="482">
        <v>0.56779999999999997</v>
      </c>
      <c r="L83" s="482">
        <v>0.56779999999999997</v>
      </c>
      <c r="M83" s="482">
        <v>0.56779999999999997</v>
      </c>
    </row>
    <row r="84" spans="1:13">
      <c r="A84" s="479">
        <v>8.1999999999999993</v>
      </c>
      <c r="B84" s="482">
        <v>0.85970000000000002</v>
      </c>
      <c r="C84" s="482">
        <v>0.85970000000000002</v>
      </c>
      <c r="D84" s="482">
        <v>0.747</v>
      </c>
      <c r="E84" s="482">
        <v>0.747</v>
      </c>
      <c r="F84" s="482">
        <v>0.747</v>
      </c>
      <c r="G84" s="482">
        <v>0.747</v>
      </c>
      <c r="H84" s="482">
        <v>0.747</v>
      </c>
      <c r="I84" s="482">
        <v>0.56589999999999996</v>
      </c>
      <c r="J84" s="482">
        <v>0.56589999999999996</v>
      </c>
      <c r="K84" s="482">
        <v>0.56589999999999996</v>
      </c>
      <c r="L84" s="482">
        <v>0.56589999999999996</v>
      </c>
      <c r="M84" s="482">
        <v>0.56589999999999996</v>
      </c>
    </row>
    <row r="85" spans="1:13">
      <c r="A85" s="479">
        <v>8.3000000000000007</v>
      </c>
      <c r="B85" s="482">
        <v>0.85840000000000005</v>
      </c>
      <c r="C85" s="482">
        <v>0.85840000000000005</v>
      </c>
      <c r="D85" s="482">
        <v>0.74560000000000004</v>
      </c>
      <c r="E85" s="482">
        <v>0.74560000000000004</v>
      </c>
      <c r="F85" s="482">
        <v>0.74560000000000004</v>
      </c>
      <c r="G85" s="482">
        <v>0.74560000000000004</v>
      </c>
      <c r="H85" s="482">
        <v>0.74560000000000004</v>
      </c>
      <c r="I85" s="482">
        <v>0.56389999999999996</v>
      </c>
      <c r="J85" s="482">
        <v>0.56389999999999996</v>
      </c>
      <c r="K85" s="482">
        <v>0.56389999999999996</v>
      </c>
      <c r="L85" s="482">
        <v>0.56389999999999996</v>
      </c>
      <c r="M85" s="482">
        <v>0.56389999999999996</v>
      </c>
    </row>
    <row r="86" spans="1:13">
      <c r="A86" s="479">
        <v>8.4</v>
      </c>
      <c r="B86" s="482">
        <v>0.85709999999999997</v>
      </c>
      <c r="C86" s="482">
        <v>0.85709999999999997</v>
      </c>
      <c r="D86" s="482">
        <v>0.74419999999999997</v>
      </c>
      <c r="E86" s="482">
        <v>0.74419999999999997</v>
      </c>
      <c r="F86" s="482">
        <v>0.74419999999999997</v>
      </c>
      <c r="G86" s="482">
        <v>0.74419999999999997</v>
      </c>
      <c r="H86" s="482">
        <v>0.74419999999999997</v>
      </c>
      <c r="I86" s="482">
        <v>0.56189999999999996</v>
      </c>
      <c r="J86" s="482">
        <v>0.56189999999999996</v>
      </c>
      <c r="K86" s="482">
        <v>0.56189999999999996</v>
      </c>
      <c r="L86" s="482">
        <v>0.56189999999999996</v>
      </c>
      <c r="M86" s="482">
        <v>0.56189999999999996</v>
      </c>
    </row>
    <row r="87" spans="1:13">
      <c r="A87" s="479">
        <v>8.5</v>
      </c>
      <c r="B87" s="482">
        <v>0.85580000000000001</v>
      </c>
      <c r="C87" s="482">
        <v>0.85580000000000001</v>
      </c>
      <c r="D87" s="482">
        <v>0.74270000000000003</v>
      </c>
      <c r="E87" s="482">
        <v>0.74270000000000003</v>
      </c>
      <c r="F87" s="482">
        <v>0.74270000000000003</v>
      </c>
      <c r="G87" s="482">
        <v>0.74270000000000003</v>
      </c>
      <c r="H87" s="482">
        <v>0.74270000000000003</v>
      </c>
      <c r="I87" s="482">
        <v>0.55989999999999995</v>
      </c>
      <c r="J87" s="482">
        <v>0.55989999999999995</v>
      </c>
      <c r="K87" s="482">
        <v>0.55989999999999995</v>
      </c>
      <c r="L87" s="482">
        <v>0.55989999999999995</v>
      </c>
      <c r="M87" s="482">
        <v>0.55989999999999995</v>
      </c>
    </row>
    <row r="88" spans="1:13">
      <c r="A88" s="479">
        <v>8.6</v>
      </c>
      <c r="B88" s="482">
        <v>0.85450000000000004</v>
      </c>
      <c r="C88" s="482">
        <v>0.85450000000000004</v>
      </c>
      <c r="D88" s="482">
        <v>0.74129999999999996</v>
      </c>
      <c r="E88" s="482">
        <v>0.74129999999999996</v>
      </c>
      <c r="F88" s="482">
        <v>0.74129999999999996</v>
      </c>
      <c r="G88" s="482">
        <v>0.74129999999999996</v>
      </c>
      <c r="H88" s="482">
        <v>0.74129999999999996</v>
      </c>
      <c r="I88" s="482">
        <v>0.55800000000000005</v>
      </c>
      <c r="J88" s="482">
        <v>0.55800000000000005</v>
      </c>
      <c r="K88" s="482">
        <v>0.55800000000000005</v>
      </c>
      <c r="L88" s="482">
        <v>0.55800000000000005</v>
      </c>
      <c r="M88" s="482">
        <v>0.55800000000000005</v>
      </c>
    </row>
    <row r="89" spans="1:13">
      <c r="A89" s="479">
        <v>8.6999999999999993</v>
      </c>
      <c r="B89" s="482">
        <v>0.85329999999999995</v>
      </c>
      <c r="C89" s="482">
        <v>0.85329999999999995</v>
      </c>
      <c r="D89" s="482">
        <v>0.7399</v>
      </c>
      <c r="E89" s="482">
        <v>0.7399</v>
      </c>
      <c r="F89" s="482">
        <v>0.7399</v>
      </c>
      <c r="G89" s="482">
        <v>0.7399</v>
      </c>
      <c r="H89" s="482">
        <v>0.7399</v>
      </c>
      <c r="I89" s="482">
        <v>0.55600000000000005</v>
      </c>
      <c r="J89" s="482">
        <v>0.55600000000000005</v>
      </c>
      <c r="K89" s="482">
        <v>0.55600000000000005</v>
      </c>
      <c r="L89" s="482">
        <v>0.55600000000000005</v>
      </c>
      <c r="M89" s="482">
        <v>0.55600000000000005</v>
      </c>
    </row>
    <row r="90" spans="1:13">
      <c r="A90" s="479">
        <v>8.8000000000000007</v>
      </c>
      <c r="B90" s="482">
        <v>0.85209999999999997</v>
      </c>
      <c r="C90" s="482">
        <v>0.85209999999999997</v>
      </c>
      <c r="D90" s="482">
        <v>0.73850000000000005</v>
      </c>
      <c r="E90" s="482">
        <v>0.73850000000000005</v>
      </c>
      <c r="F90" s="482">
        <v>0.73850000000000005</v>
      </c>
      <c r="G90" s="482">
        <v>0.73850000000000005</v>
      </c>
      <c r="H90" s="482">
        <v>0.73850000000000005</v>
      </c>
      <c r="I90" s="482">
        <v>0.55420000000000003</v>
      </c>
      <c r="J90" s="482">
        <v>0.55420000000000003</v>
      </c>
      <c r="K90" s="482">
        <v>0.55420000000000003</v>
      </c>
      <c r="L90" s="482">
        <v>0.55420000000000003</v>
      </c>
      <c r="M90" s="482">
        <v>0.55420000000000003</v>
      </c>
    </row>
    <row r="91" spans="1:13">
      <c r="A91" s="479">
        <v>8.9</v>
      </c>
      <c r="B91" s="482">
        <v>0.85099999999999998</v>
      </c>
      <c r="C91" s="482">
        <v>0.85099999999999998</v>
      </c>
      <c r="D91" s="482">
        <v>0.73719999999999997</v>
      </c>
      <c r="E91" s="482">
        <v>0.73719999999999997</v>
      </c>
      <c r="F91" s="482">
        <v>0.73719999999999997</v>
      </c>
      <c r="G91" s="482">
        <v>0.73719999999999997</v>
      </c>
      <c r="H91" s="482">
        <v>0.73719999999999997</v>
      </c>
      <c r="I91" s="482">
        <v>0.55230000000000001</v>
      </c>
      <c r="J91" s="482">
        <v>0.55230000000000001</v>
      </c>
      <c r="K91" s="482">
        <v>0.55230000000000001</v>
      </c>
      <c r="L91" s="482">
        <v>0.55230000000000001</v>
      </c>
      <c r="M91" s="482">
        <v>0.55230000000000001</v>
      </c>
    </row>
    <row r="92" spans="1:13">
      <c r="A92" s="483">
        <v>9</v>
      </c>
      <c r="B92" s="482">
        <v>0.8498</v>
      </c>
      <c r="C92" s="482">
        <v>0.8498</v>
      </c>
      <c r="D92" s="482">
        <v>0.7359</v>
      </c>
      <c r="E92" s="482">
        <v>0.7359</v>
      </c>
      <c r="F92" s="482">
        <v>0.7359</v>
      </c>
      <c r="G92" s="482">
        <v>0.7359</v>
      </c>
      <c r="H92" s="482">
        <v>0.7359</v>
      </c>
      <c r="I92" s="482">
        <v>0.55049999999999999</v>
      </c>
      <c r="J92" s="482">
        <v>0.55049999999999999</v>
      </c>
      <c r="K92" s="482">
        <v>0.55049999999999999</v>
      </c>
      <c r="L92" s="482">
        <v>0.55049999999999999</v>
      </c>
      <c r="M92" s="482">
        <v>0.55049999999999999</v>
      </c>
    </row>
    <row r="93" spans="1:13">
      <c r="A93" s="483">
        <v>9.1</v>
      </c>
      <c r="B93" s="482">
        <v>0.84870000000000001</v>
      </c>
      <c r="C93" s="482">
        <v>0.84870000000000001</v>
      </c>
      <c r="D93" s="482">
        <v>0.73470000000000002</v>
      </c>
      <c r="E93" s="482">
        <v>0.73470000000000002</v>
      </c>
      <c r="F93" s="482">
        <v>0.73470000000000002</v>
      </c>
      <c r="G93" s="482">
        <v>0.73470000000000002</v>
      </c>
      <c r="H93" s="482">
        <v>0.73470000000000002</v>
      </c>
      <c r="I93" s="482">
        <v>0.54879999999999995</v>
      </c>
      <c r="J93" s="482">
        <v>0.54879999999999995</v>
      </c>
      <c r="K93" s="482">
        <v>0.54879999999999995</v>
      </c>
      <c r="L93" s="482">
        <v>0.54879999999999995</v>
      </c>
      <c r="M93" s="482">
        <v>0.54879999999999995</v>
      </c>
    </row>
    <row r="94" spans="1:13">
      <c r="A94" s="483">
        <v>9.1999999999999993</v>
      </c>
      <c r="B94" s="482">
        <v>0.84770000000000001</v>
      </c>
      <c r="C94" s="482">
        <v>0.84770000000000001</v>
      </c>
      <c r="D94" s="482">
        <v>0.73350000000000004</v>
      </c>
      <c r="E94" s="482">
        <v>0.73350000000000004</v>
      </c>
      <c r="F94" s="482">
        <v>0.73350000000000004</v>
      </c>
      <c r="G94" s="482">
        <v>0.73350000000000004</v>
      </c>
      <c r="H94" s="482">
        <v>0.73350000000000004</v>
      </c>
      <c r="I94" s="482">
        <v>0.54710000000000003</v>
      </c>
      <c r="J94" s="482">
        <v>0.54710000000000003</v>
      </c>
      <c r="K94" s="482">
        <v>0.54710000000000003</v>
      </c>
      <c r="L94" s="482">
        <v>0.54710000000000003</v>
      </c>
      <c r="M94" s="482">
        <v>0.54710000000000003</v>
      </c>
    </row>
    <row r="95" spans="1:13">
      <c r="A95" s="483">
        <v>9.3000000000000007</v>
      </c>
      <c r="B95" s="482">
        <v>0.84660000000000002</v>
      </c>
      <c r="C95" s="482">
        <v>0.84660000000000002</v>
      </c>
      <c r="D95" s="482">
        <v>0.73229999999999995</v>
      </c>
      <c r="E95" s="482">
        <v>0.73229999999999995</v>
      </c>
      <c r="F95" s="482">
        <v>0.73229999999999995</v>
      </c>
      <c r="G95" s="482">
        <v>0.73229999999999995</v>
      </c>
      <c r="H95" s="482">
        <v>0.73229999999999995</v>
      </c>
      <c r="I95" s="482">
        <v>0.5454</v>
      </c>
      <c r="J95" s="482">
        <v>0.5454</v>
      </c>
      <c r="K95" s="482">
        <v>0.5454</v>
      </c>
      <c r="L95" s="482">
        <v>0.5454</v>
      </c>
      <c r="M95" s="482">
        <v>0.5454</v>
      </c>
    </row>
    <row r="96" spans="1:13">
      <c r="A96" s="483">
        <v>9.4</v>
      </c>
      <c r="B96" s="482">
        <v>0.84550000000000003</v>
      </c>
      <c r="C96" s="482">
        <v>0.84550000000000003</v>
      </c>
      <c r="D96" s="482">
        <v>0.73109999999999997</v>
      </c>
      <c r="E96" s="482">
        <v>0.73109999999999997</v>
      </c>
      <c r="F96" s="482">
        <v>0.73109999999999997</v>
      </c>
      <c r="G96" s="482">
        <v>0.73109999999999997</v>
      </c>
      <c r="H96" s="482">
        <v>0.73109999999999997</v>
      </c>
      <c r="I96" s="482">
        <v>0.54369999999999996</v>
      </c>
      <c r="J96" s="482">
        <v>0.54369999999999996</v>
      </c>
      <c r="K96" s="482">
        <v>0.54369999999999996</v>
      </c>
      <c r="L96" s="482">
        <v>0.54369999999999996</v>
      </c>
      <c r="M96" s="482">
        <v>0.54369999999999996</v>
      </c>
    </row>
    <row r="97" spans="1:14">
      <c r="A97" s="483">
        <v>9.5</v>
      </c>
      <c r="B97" s="482">
        <v>0.84450000000000003</v>
      </c>
      <c r="C97" s="482">
        <v>0.84450000000000003</v>
      </c>
      <c r="D97" s="482">
        <v>0.72989999999999999</v>
      </c>
      <c r="E97" s="482">
        <v>0.72989999999999999</v>
      </c>
      <c r="F97" s="482">
        <v>0.72989999999999999</v>
      </c>
      <c r="G97" s="482">
        <v>0.72989999999999999</v>
      </c>
      <c r="H97" s="482">
        <v>0.72989999999999999</v>
      </c>
      <c r="I97" s="482">
        <v>0.54200000000000004</v>
      </c>
      <c r="J97" s="482">
        <v>0.54200000000000004</v>
      </c>
      <c r="K97" s="482">
        <v>0.54200000000000004</v>
      </c>
      <c r="L97" s="482">
        <v>0.54200000000000004</v>
      </c>
      <c r="M97" s="482">
        <v>0.54200000000000004</v>
      </c>
    </row>
    <row r="98" spans="1:14">
      <c r="A98" s="483">
        <v>9.6</v>
      </c>
      <c r="B98" s="482">
        <v>0.84340000000000004</v>
      </c>
      <c r="C98" s="482">
        <v>0.84340000000000004</v>
      </c>
      <c r="D98" s="482">
        <v>0.72870000000000001</v>
      </c>
      <c r="E98" s="482">
        <v>0.72870000000000001</v>
      </c>
      <c r="F98" s="482">
        <v>0.72870000000000001</v>
      </c>
      <c r="G98" s="482">
        <v>0.72870000000000001</v>
      </c>
      <c r="H98" s="482">
        <v>0.72870000000000001</v>
      </c>
      <c r="I98" s="482">
        <v>0.5403</v>
      </c>
      <c r="J98" s="482">
        <v>0.5403</v>
      </c>
      <c r="K98" s="482">
        <v>0.5403</v>
      </c>
      <c r="L98" s="482">
        <v>0.5403</v>
      </c>
      <c r="M98" s="482">
        <v>0.5403</v>
      </c>
    </row>
    <row r="99" spans="1:14">
      <c r="A99" s="483">
        <v>9.6999999999999993</v>
      </c>
      <c r="B99" s="482">
        <v>0.84230000000000005</v>
      </c>
      <c r="C99" s="482">
        <v>0.84230000000000005</v>
      </c>
      <c r="D99" s="482">
        <v>0.72750000000000004</v>
      </c>
      <c r="E99" s="482">
        <v>0.72750000000000004</v>
      </c>
      <c r="F99" s="482">
        <v>0.72750000000000004</v>
      </c>
      <c r="G99" s="482">
        <v>0.72750000000000004</v>
      </c>
      <c r="H99" s="482">
        <v>0.72750000000000004</v>
      </c>
      <c r="I99" s="482">
        <v>0.53859999999999997</v>
      </c>
      <c r="J99" s="482">
        <v>0.53859999999999997</v>
      </c>
      <c r="K99" s="482">
        <v>0.53859999999999997</v>
      </c>
      <c r="L99" s="482">
        <v>0.53859999999999997</v>
      </c>
      <c r="M99" s="482">
        <v>0.53859999999999997</v>
      </c>
    </row>
    <row r="100" spans="1:14">
      <c r="A100" s="483">
        <v>9.8000000000000007</v>
      </c>
      <c r="B100" s="482">
        <v>0.84140000000000004</v>
      </c>
      <c r="C100" s="482">
        <v>0.84140000000000004</v>
      </c>
      <c r="D100" s="482">
        <v>0.72629999999999995</v>
      </c>
      <c r="E100" s="482">
        <v>0.72629999999999995</v>
      </c>
      <c r="F100" s="482">
        <v>0.72629999999999995</v>
      </c>
      <c r="G100" s="482">
        <v>0.72629999999999995</v>
      </c>
      <c r="H100" s="482">
        <v>0.72629999999999995</v>
      </c>
      <c r="I100" s="482">
        <v>0.53710000000000002</v>
      </c>
      <c r="J100" s="482">
        <v>0.53710000000000002</v>
      </c>
      <c r="K100" s="482">
        <v>0.53710000000000002</v>
      </c>
      <c r="L100" s="482">
        <v>0.53710000000000002</v>
      </c>
      <c r="M100" s="482">
        <v>0.53710000000000002</v>
      </c>
    </row>
    <row r="101" spans="1:14">
      <c r="A101" s="483">
        <v>9.9</v>
      </c>
      <c r="B101" s="482">
        <v>0.84050000000000002</v>
      </c>
      <c r="C101" s="482">
        <v>0.84050000000000002</v>
      </c>
      <c r="D101" s="482">
        <v>0.72519999999999996</v>
      </c>
      <c r="E101" s="482">
        <v>0.72519999999999996</v>
      </c>
      <c r="F101" s="482">
        <v>0.72519999999999996</v>
      </c>
      <c r="G101" s="482">
        <v>0.72519999999999996</v>
      </c>
      <c r="H101" s="482">
        <v>0.72519999999999996</v>
      </c>
      <c r="I101" s="482">
        <v>0.53549999999999998</v>
      </c>
      <c r="J101" s="482">
        <v>0.53549999999999998</v>
      </c>
      <c r="K101" s="482">
        <v>0.53549999999999998</v>
      </c>
      <c r="L101" s="482">
        <v>0.53549999999999998</v>
      </c>
      <c r="M101" s="482">
        <v>0.53549999999999998</v>
      </c>
    </row>
    <row r="102" spans="1:14">
      <c r="A102" s="483">
        <v>10</v>
      </c>
      <c r="B102" s="482">
        <v>0.83950000000000002</v>
      </c>
      <c r="C102" s="482">
        <v>0.83950000000000002</v>
      </c>
      <c r="D102" s="482">
        <v>0.72409999999999997</v>
      </c>
      <c r="E102" s="482">
        <v>0.72409999999999997</v>
      </c>
      <c r="F102" s="482">
        <v>0.72409999999999997</v>
      </c>
      <c r="G102" s="482">
        <v>0.72409999999999997</v>
      </c>
      <c r="H102" s="482">
        <v>0.72409999999999997</v>
      </c>
      <c r="I102" s="482">
        <v>0.53400000000000003</v>
      </c>
      <c r="J102" s="482">
        <v>0.53400000000000003</v>
      </c>
      <c r="K102" s="482">
        <v>0.53400000000000003</v>
      </c>
      <c r="L102" s="482">
        <v>0.53400000000000003</v>
      </c>
      <c r="M102" s="482">
        <v>0.53400000000000003</v>
      </c>
    </row>
    <row r="103" spans="1:14" ht="14.25">
      <c r="A103" s="477" t="s">
        <v>2403</v>
      </c>
      <c r="B103" s="478"/>
      <c r="C103" s="478"/>
      <c r="D103" s="478"/>
      <c r="E103" s="478"/>
      <c r="F103" s="478"/>
      <c r="G103" s="478"/>
      <c r="H103" s="478"/>
      <c r="I103" s="478"/>
      <c r="J103" s="478"/>
      <c r="K103" s="478"/>
      <c r="L103" s="478"/>
      <c r="M103" s="478"/>
      <c r="N103" s="478"/>
    </row>
    <row r="104" spans="1:14" ht="14.25">
      <c r="A104" s="479" t="s">
        <v>1065</v>
      </c>
      <c r="B104" s="480" t="s">
        <v>230</v>
      </c>
      <c r="C104" s="480" t="s">
        <v>241</v>
      </c>
      <c r="D104" s="480" t="s">
        <v>251</v>
      </c>
      <c r="E104" s="480" t="s">
        <v>259</v>
      </c>
      <c r="F104" s="480" t="s">
        <v>267</v>
      </c>
      <c r="G104" s="480" t="s">
        <v>273</v>
      </c>
      <c r="H104" s="481" t="s">
        <v>278</v>
      </c>
      <c r="I104" s="481" t="s">
        <v>283</v>
      </c>
      <c r="J104" s="484" t="s">
        <v>286</v>
      </c>
      <c r="K104" s="484" t="s">
        <v>289</v>
      </c>
      <c r="L104" s="484" t="s">
        <v>292</v>
      </c>
      <c r="M104" s="484" t="s">
        <v>295</v>
      </c>
      <c r="N104" s="478" t="e">
        <f>SUMPRODUCT((A105:A204=ROUNDDOWN(基准地价修正!G3,1))*(B104:M104=基准地价修正!G2)*(B105:M204))</f>
        <v>#DIV/0!</v>
      </c>
    </row>
    <row r="105" spans="1:14">
      <c r="A105" s="479">
        <v>0.1</v>
      </c>
      <c r="B105" s="482">
        <v>13.733000000000001</v>
      </c>
      <c r="C105" s="482">
        <v>13.733000000000001</v>
      </c>
      <c r="D105" s="482">
        <v>12.787000000000001</v>
      </c>
      <c r="E105" s="482">
        <v>12.787000000000001</v>
      </c>
      <c r="F105" s="482">
        <v>12.787000000000001</v>
      </c>
      <c r="G105" s="482">
        <v>12.787000000000001</v>
      </c>
      <c r="H105" s="482">
        <v>12.787000000000001</v>
      </c>
      <c r="I105" s="482">
        <v>12.384</v>
      </c>
      <c r="J105" s="482">
        <v>12.384</v>
      </c>
      <c r="K105" s="482">
        <v>12.384</v>
      </c>
      <c r="L105" s="482">
        <v>12.384</v>
      </c>
      <c r="M105" s="482">
        <v>12.384</v>
      </c>
    </row>
    <row r="106" spans="1:14">
      <c r="A106" s="479">
        <v>0.2</v>
      </c>
      <c r="B106" s="482">
        <v>6.8665000000000003</v>
      </c>
      <c r="C106" s="482">
        <v>6.8665000000000003</v>
      </c>
      <c r="D106" s="482">
        <v>6.3935000000000004</v>
      </c>
      <c r="E106" s="482">
        <v>6.3935000000000004</v>
      </c>
      <c r="F106" s="482">
        <v>6.3935000000000004</v>
      </c>
      <c r="G106" s="482">
        <v>6.3935000000000004</v>
      </c>
      <c r="H106" s="482">
        <v>6.3935000000000004</v>
      </c>
      <c r="I106" s="482">
        <v>6.1920000000000002</v>
      </c>
      <c r="J106" s="482">
        <v>6.1920000000000002</v>
      </c>
      <c r="K106" s="482">
        <v>6.1920000000000002</v>
      </c>
      <c r="L106" s="482">
        <v>6.1920000000000002</v>
      </c>
      <c r="M106" s="482">
        <v>6.1920000000000002</v>
      </c>
    </row>
    <row r="107" spans="1:14">
      <c r="A107" s="479">
        <v>0.3</v>
      </c>
      <c r="B107" s="482">
        <v>4.5777000000000001</v>
      </c>
      <c r="C107" s="482">
        <v>4.5777000000000001</v>
      </c>
      <c r="D107" s="482">
        <v>4.2622999999999998</v>
      </c>
      <c r="E107" s="482">
        <v>4.2622999999999998</v>
      </c>
      <c r="F107" s="482">
        <v>4.2622999999999998</v>
      </c>
      <c r="G107" s="482">
        <v>4.2622999999999998</v>
      </c>
      <c r="H107" s="482">
        <v>4.2622999999999998</v>
      </c>
      <c r="I107" s="482">
        <v>4.1280000000000001</v>
      </c>
      <c r="J107" s="482">
        <v>4.1280000000000001</v>
      </c>
      <c r="K107" s="482">
        <v>4.1280000000000001</v>
      </c>
      <c r="L107" s="482">
        <v>4.1280000000000001</v>
      </c>
      <c r="M107" s="482">
        <v>4.1280000000000001</v>
      </c>
    </row>
    <row r="108" spans="1:14">
      <c r="A108" s="479">
        <v>0.4</v>
      </c>
      <c r="B108" s="482">
        <v>3.4333</v>
      </c>
      <c r="C108" s="482">
        <v>3.4333</v>
      </c>
      <c r="D108" s="482">
        <v>3.1968000000000001</v>
      </c>
      <c r="E108" s="482">
        <v>3.1968000000000001</v>
      </c>
      <c r="F108" s="482">
        <v>3.1968000000000001</v>
      </c>
      <c r="G108" s="482">
        <v>3.1968000000000001</v>
      </c>
      <c r="H108" s="482">
        <v>3.1968000000000001</v>
      </c>
      <c r="I108" s="482">
        <v>3.0960000000000001</v>
      </c>
      <c r="J108" s="482">
        <v>3.0960000000000001</v>
      </c>
      <c r="K108" s="482">
        <v>3.0960000000000001</v>
      </c>
      <c r="L108" s="482">
        <v>3.0960000000000001</v>
      </c>
      <c r="M108" s="482">
        <v>3.0960000000000001</v>
      </c>
    </row>
    <row r="109" spans="1:14">
      <c r="A109" s="479">
        <v>0.5</v>
      </c>
      <c r="B109" s="482">
        <v>2.7465999999999999</v>
      </c>
      <c r="C109" s="482">
        <v>2.7465999999999999</v>
      </c>
      <c r="D109" s="482">
        <v>2.5573999999999999</v>
      </c>
      <c r="E109" s="482">
        <v>2.5573999999999999</v>
      </c>
      <c r="F109" s="482">
        <v>2.5573999999999999</v>
      </c>
      <c r="G109" s="482">
        <v>2.5573999999999999</v>
      </c>
      <c r="H109" s="482">
        <v>2.5573999999999999</v>
      </c>
      <c r="I109" s="482">
        <v>2.4767999999999999</v>
      </c>
      <c r="J109" s="482">
        <v>2.4767999999999999</v>
      </c>
      <c r="K109" s="482">
        <v>2.4767999999999999</v>
      </c>
      <c r="L109" s="482">
        <v>2.4767999999999999</v>
      </c>
      <c r="M109" s="482">
        <v>2.4767999999999999</v>
      </c>
    </row>
    <row r="110" spans="1:14">
      <c r="A110" s="479">
        <v>0.6</v>
      </c>
      <c r="B110" s="482">
        <v>2.2888000000000002</v>
      </c>
      <c r="C110" s="482">
        <v>2.2888000000000002</v>
      </c>
      <c r="D110" s="482">
        <v>2.1312000000000002</v>
      </c>
      <c r="E110" s="482">
        <v>2.1312000000000002</v>
      </c>
      <c r="F110" s="482">
        <v>2.1312000000000002</v>
      </c>
      <c r="G110" s="482">
        <v>2.1312000000000002</v>
      </c>
      <c r="H110" s="482">
        <v>2.1312000000000002</v>
      </c>
      <c r="I110" s="482">
        <v>2.0640000000000001</v>
      </c>
      <c r="J110" s="482">
        <v>2.0640000000000001</v>
      </c>
      <c r="K110" s="482">
        <v>2.0640000000000001</v>
      </c>
      <c r="L110" s="482">
        <v>2.0640000000000001</v>
      </c>
      <c r="M110" s="482">
        <v>2.0640000000000001</v>
      </c>
    </row>
    <row r="111" spans="1:14">
      <c r="A111" s="479">
        <v>0.7</v>
      </c>
      <c r="B111" s="482">
        <v>1.9619</v>
      </c>
      <c r="C111" s="482">
        <v>1.9619</v>
      </c>
      <c r="D111" s="482">
        <v>1.8267</v>
      </c>
      <c r="E111" s="482">
        <v>1.8267</v>
      </c>
      <c r="F111" s="482">
        <v>1.8267</v>
      </c>
      <c r="G111" s="482">
        <v>1.8267</v>
      </c>
      <c r="H111" s="482">
        <v>1.8267</v>
      </c>
      <c r="I111" s="482">
        <v>1.7690999999999999</v>
      </c>
      <c r="J111" s="482">
        <v>1.7690999999999999</v>
      </c>
      <c r="K111" s="482">
        <v>1.7690999999999999</v>
      </c>
      <c r="L111" s="482">
        <v>1.7690999999999999</v>
      </c>
      <c r="M111" s="482">
        <v>1.7690999999999999</v>
      </c>
    </row>
    <row r="112" spans="1:14">
      <c r="A112" s="479">
        <v>0.8</v>
      </c>
      <c r="B112" s="482">
        <v>1.7165999999999999</v>
      </c>
      <c r="C112" s="482">
        <v>1.7165999999999999</v>
      </c>
      <c r="D112" s="482">
        <v>1.5984</v>
      </c>
      <c r="E112" s="482">
        <v>1.5984</v>
      </c>
      <c r="F112" s="482">
        <v>1.5984</v>
      </c>
      <c r="G112" s="482">
        <v>1.5984</v>
      </c>
      <c r="H112" s="482">
        <v>1.5984</v>
      </c>
      <c r="I112" s="482">
        <v>1.548</v>
      </c>
      <c r="J112" s="482">
        <v>1.548</v>
      </c>
      <c r="K112" s="482">
        <v>1.548</v>
      </c>
      <c r="L112" s="482">
        <v>1.548</v>
      </c>
      <c r="M112" s="482">
        <v>1.548</v>
      </c>
    </row>
    <row r="113" spans="1:13">
      <c r="A113" s="479">
        <v>0.9</v>
      </c>
      <c r="B113" s="482">
        <v>1.5259</v>
      </c>
      <c r="C113" s="482">
        <v>1.5259</v>
      </c>
      <c r="D113" s="482">
        <v>1.4208000000000001</v>
      </c>
      <c r="E113" s="482">
        <v>1.4208000000000001</v>
      </c>
      <c r="F113" s="482">
        <v>1.4208000000000001</v>
      </c>
      <c r="G113" s="482">
        <v>1.4208000000000001</v>
      </c>
      <c r="H113" s="482">
        <v>1.4208000000000001</v>
      </c>
      <c r="I113" s="482">
        <v>1.3759999999999999</v>
      </c>
      <c r="J113" s="482">
        <v>1.3759999999999999</v>
      </c>
      <c r="K113" s="482">
        <v>1.3759999999999999</v>
      </c>
      <c r="L113" s="482">
        <v>1.3759999999999999</v>
      </c>
      <c r="M113" s="482">
        <v>1.3759999999999999</v>
      </c>
    </row>
    <row r="114" spans="1:13">
      <c r="A114" s="479">
        <v>1</v>
      </c>
      <c r="B114" s="482">
        <v>1.3733</v>
      </c>
      <c r="C114" s="482">
        <v>1.3733</v>
      </c>
      <c r="D114" s="482">
        <v>1.2786999999999999</v>
      </c>
      <c r="E114" s="482">
        <v>1.2786999999999999</v>
      </c>
      <c r="F114" s="482">
        <v>1.2786999999999999</v>
      </c>
      <c r="G114" s="482">
        <v>1.2786999999999999</v>
      </c>
      <c r="H114" s="482">
        <v>1.2786999999999999</v>
      </c>
      <c r="I114" s="482">
        <v>1.2383999999999999</v>
      </c>
      <c r="J114" s="482">
        <v>1.2383999999999999</v>
      </c>
      <c r="K114" s="482">
        <v>1.2383999999999999</v>
      </c>
      <c r="L114" s="482">
        <v>1.2383999999999999</v>
      </c>
      <c r="M114" s="482">
        <v>1.2383999999999999</v>
      </c>
    </row>
    <row r="115" spans="1:13">
      <c r="A115" s="479">
        <v>1.1000000000000001</v>
      </c>
      <c r="B115" s="482">
        <v>1.3489</v>
      </c>
      <c r="C115" s="482">
        <v>1.3489</v>
      </c>
      <c r="D115" s="482">
        <v>1.2542</v>
      </c>
      <c r="E115" s="482">
        <v>1.2542</v>
      </c>
      <c r="F115" s="482">
        <v>1.2542</v>
      </c>
      <c r="G115" s="482">
        <v>1.2542</v>
      </c>
      <c r="H115" s="482">
        <v>1.2542</v>
      </c>
      <c r="I115" s="482">
        <v>1.2050000000000001</v>
      </c>
      <c r="J115" s="482">
        <v>1.2050000000000001</v>
      </c>
      <c r="K115" s="482">
        <v>1.2050000000000001</v>
      </c>
      <c r="L115" s="482">
        <v>1.2050000000000001</v>
      </c>
      <c r="M115" s="482">
        <v>1.2050000000000001</v>
      </c>
    </row>
    <row r="116" spans="1:13">
      <c r="A116" s="479">
        <v>1.2</v>
      </c>
      <c r="B116" s="482">
        <v>1.3255999999999999</v>
      </c>
      <c r="C116" s="482">
        <v>1.3255999999999999</v>
      </c>
      <c r="D116" s="482">
        <v>1.2305999999999999</v>
      </c>
      <c r="E116" s="482">
        <v>1.2305999999999999</v>
      </c>
      <c r="F116" s="482">
        <v>1.2305999999999999</v>
      </c>
      <c r="G116" s="482">
        <v>1.2305999999999999</v>
      </c>
      <c r="H116" s="482">
        <v>1.2305999999999999</v>
      </c>
      <c r="I116" s="482">
        <v>1.1741999999999999</v>
      </c>
      <c r="J116" s="482">
        <v>1.1741999999999999</v>
      </c>
      <c r="K116" s="482">
        <v>1.1741999999999999</v>
      </c>
      <c r="L116" s="482">
        <v>1.1741999999999999</v>
      </c>
      <c r="M116" s="482">
        <v>1.1741999999999999</v>
      </c>
    </row>
    <row r="117" spans="1:13">
      <c r="A117" s="479">
        <v>1.3</v>
      </c>
      <c r="B117" s="482">
        <v>1.3032999999999999</v>
      </c>
      <c r="C117" s="482">
        <v>1.3032999999999999</v>
      </c>
      <c r="D117" s="482">
        <v>1.2079</v>
      </c>
      <c r="E117" s="482">
        <v>1.2079</v>
      </c>
      <c r="F117" s="482">
        <v>1.2079</v>
      </c>
      <c r="G117" s="482">
        <v>1.2079</v>
      </c>
      <c r="H117" s="482">
        <v>1.2079</v>
      </c>
      <c r="I117" s="482">
        <v>1.1459999999999999</v>
      </c>
      <c r="J117" s="482">
        <v>1.1459999999999999</v>
      </c>
      <c r="K117" s="482">
        <v>1.1459999999999999</v>
      </c>
      <c r="L117" s="482">
        <v>1.1459999999999999</v>
      </c>
      <c r="M117" s="482">
        <v>1.1459999999999999</v>
      </c>
    </row>
    <row r="118" spans="1:13">
      <c r="A118" s="479">
        <v>1.4</v>
      </c>
      <c r="B118" s="482">
        <v>1.282</v>
      </c>
      <c r="C118" s="482">
        <v>1.282</v>
      </c>
      <c r="D118" s="482">
        <v>1.1861999999999999</v>
      </c>
      <c r="E118" s="482">
        <v>1.1861999999999999</v>
      </c>
      <c r="F118" s="482">
        <v>1.1861999999999999</v>
      </c>
      <c r="G118" s="482">
        <v>1.1861999999999999</v>
      </c>
      <c r="H118" s="482">
        <v>1.1861999999999999</v>
      </c>
      <c r="I118" s="482">
        <v>1.1200000000000001</v>
      </c>
      <c r="J118" s="482">
        <v>1.1200000000000001</v>
      </c>
      <c r="K118" s="482">
        <v>1.1200000000000001</v>
      </c>
      <c r="L118" s="482">
        <v>1.1200000000000001</v>
      </c>
      <c r="M118" s="482">
        <v>1.1200000000000001</v>
      </c>
    </row>
    <row r="119" spans="1:13">
      <c r="A119" s="479">
        <v>1.5</v>
      </c>
      <c r="B119" s="482">
        <v>1.2617</v>
      </c>
      <c r="C119" s="482">
        <v>1.2617</v>
      </c>
      <c r="D119" s="482">
        <v>1.1653</v>
      </c>
      <c r="E119" s="482">
        <v>1.1653</v>
      </c>
      <c r="F119" s="482">
        <v>1.1653</v>
      </c>
      <c r="G119" s="482">
        <v>1.1653</v>
      </c>
      <c r="H119" s="482">
        <v>1.1653</v>
      </c>
      <c r="I119" s="482">
        <v>1.0961000000000001</v>
      </c>
      <c r="J119" s="482">
        <v>1.0961000000000001</v>
      </c>
      <c r="K119" s="482">
        <v>1.0961000000000001</v>
      </c>
      <c r="L119" s="482">
        <v>1.0961000000000001</v>
      </c>
      <c r="M119" s="482">
        <v>1.0961000000000001</v>
      </c>
    </row>
    <row r="120" spans="1:13">
      <c r="A120" s="479">
        <v>1.6</v>
      </c>
      <c r="B120" s="482">
        <v>1.2423</v>
      </c>
      <c r="C120" s="482">
        <v>1.2423</v>
      </c>
      <c r="D120" s="482">
        <v>1.1453</v>
      </c>
      <c r="E120" s="482">
        <v>1.1453</v>
      </c>
      <c r="F120" s="482">
        <v>1.1453</v>
      </c>
      <c r="G120" s="482">
        <v>1.1453</v>
      </c>
      <c r="H120" s="482">
        <v>1.1453</v>
      </c>
      <c r="I120" s="482">
        <v>1.0740000000000001</v>
      </c>
      <c r="J120" s="482">
        <v>1.0740000000000001</v>
      </c>
      <c r="K120" s="482">
        <v>1.0740000000000001</v>
      </c>
      <c r="L120" s="482">
        <v>1.0740000000000001</v>
      </c>
      <c r="M120" s="482">
        <v>1.0740000000000001</v>
      </c>
    </row>
    <row r="121" spans="1:13">
      <c r="A121" s="479">
        <v>1.7</v>
      </c>
      <c r="B121" s="482">
        <v>1.2237</v>
      </c>
      <c r="C121" s="482">
        <v>1.2237</v>
      </c>
      <c r="D121" s="482">
        <v>1.1261000000000001</v>
      </c>
      <c r="E121" s="482">
        <v>1.1261000000000001</v>
      </c>
      <c r="F121" s="482">
        <v>1.1261000000000001</v>
      </c>
      <c r="G121" s="482">
        <v>1.1261000000000001</v>
      </c>
      <c r="H121" s="482">
        <v>1.1261000000000001</v>
      </c>
      <c r="I121" s="482">
        <v>1.0535000000000001</v>
      </c>
      <c r="J121" s="482">
        <v>1.0535000000000001</v>
      </c>
      <c r="K121" s="482">
        <v>1.0535000000000001</v>
      </c>
      <c r="L121" s="482">
        <v>1.0535000000000001</v>
      </c>
      <c r="M121" s="482">
        <v>1.0535000000000001</v>
      </c>
    </row>
    <row r="122" spans="1:13">
      <c r="A122" s="479">
        <v>1.8</v>
      </c>
      <c r="B122" s="482">
        <v>1.206</v>
      </c>
      <c r="C122" s="482">
        <v>1.206</v>
      </c>
      <c r="D122" s="482">
        <v>1.1076999999999999</v>
      </c>
      <c r="E122" s="482">
        <v>1.1076999999999999</v>
      </c>
      <c r="F122" s="482">
        <v>1.1076999999999999</v>
      </c>
      <c r="G122" s="482">
        <v>1.1076999999999999</v>
      </c>
      <c r="H122" s="482">
        <v>1.1076999999999999</v>
      </c>
      <c r="I122" s="482">
        <v>1.0345</v>
      </c>
      <c r="J122" s="482">
        <v>1.0345</v>
      </c>
      <c r="K122" s="482">
        <v>1.0345</v>
      </c>
      <c r="L122" s="482">
        <v>1.0345</v>
      </c>
      <c r="M122" s="482">
        <v>1.0345</v>
      </c>
    </row>
    <row r="123" spans="1:13">
      <c r="A123" s="479">
        <v>1.9</v>
      </c>
      <c r="B123" s="482">
        <v>1.1891</v>
      </c>
      <c r="C123" s="482">
        <v>1.1891</v>
      </c>
      <c r="D123" s="482">
        <v>1.0901000000000001</v>
      </c>
      <c r="E123" s="482">
        <v>1.0901000000000001</v>
      </c>
      <c r="F123" s="482">
        <v>1.0901000000000001</v>
      </c>
      <c r="G123" s="482">
        <v>1.0901000000000001</v>
      </c>
      <c r="H123" s="482">
        <v>1.0901000000000001</v>
      </c>
      <c r="I123" s="482">
        <v>1.0166999999999999</v>
      </c>
      <c r="J123" s="482">
        <v>1.0166999999999999</v>
      </c>
      <c r="K123" s="482">
        <v>1.0166999999999999</v>
      </c>
      <c r="L123" s="482">
        <v>1.0166999999999999</v>
      </c>
      <c r="M123" s="482">
        <v>1.0166999999999999</v>
      </c>
    </row>
    <row r="124" spans="1:13">
      <c r="A124" s="479">
        <v>2</v>
      </c>
      <c r="B124" s="482">
        <v>1.1729000000000001</v>
      </c>
      <c r="C124" s="482">
        <v>1.1729000000000001</v>
      </c>
      <c r="D124" s="482">
        <v>1.0732999999999999</v>
      </c>
      <c r="E124" s="482">
        <v>1.0732999999999999</v>
      </c>
      <c r="F124" s="482">
        <v>1.0732999999999999</v>
      </c>
      <c r="G124" s="482">
        <v>1.0732999999999999</v>
      </c>
      <c r="H124" s="482">
        <v>1.0732999999999999</v>
      </c>
      <c r="I124" s="482">
        <v>1</v>
      </c>
      <c r="J124" s="482">
        <v>1</v>
      </c>
      <c r="K124" s="482">
        <v>1</v>
      </c>
      <c r="L124" s="482">
        <v>1</v>
      </c>
      <c r="M124" s="482">
        <v>1</v>
      </c>
    </row>
    <row r="125" spans="1:13">
      <c r="A125" s="483">
        <v>2.1</v>
      </c>
      <c r="B125" s="482">
        <v>1.1574</v>
      </c>
      <c r="C125" s="482">
        <v>1.1574</v>
      </c>
      <c r="D125" s="482">
        <v>1.0571999999999999</v>
      </c>
      <c r="E125" s="482">
        <v>1.0571999999999999</v>
      </c>
      <c r="F125" s="482">
        <v>1.0571999999999999</v>
      </c>
      <c r="G125" s="482">
        <v>1.0571999999999999</v>
      </c>
      <c r="H125" s="482">
        <v>1.0571999999999999</v>
      </c>
      <c r="I125" s="482">
        <v>0.98409999999999997</v>
      </c>
      <c r="J125" s="482">
        <v>0.98409999999999997</v>
      </c>
      <c r="K125" s="482">
        <v>0.98409999999999997</v>
      </c>
      <c r="L125" s="482">
        <v>0.98409999999999997</v>
      </c>
      <c r="M125" s="482">
        <v>0.98409999999999997</v>
      </c>
    </row>
    <row r="126" spans="1:13">
      <c r="A126" s="483">
        <v>2.2000000000000002</v>
      </c>
      <c r="B126" s="482">
        <v>1.1426000000000001</v>
      </c>
      <c r="C126" s="482">
        <v>1.1426000000000001</v>
      </c>
      <c r="D126" s="482">
        <v>1.0419</v>
      </c>
      <c r="E126" s="482">
        <v>1.0419</v>
      </c>
      <c r="F126" s="482">
        <v>1.0419</v>
      </c>
      <c r="G126" s="482">
        <v>1.0419</v>
      </c>
      <c r="H126" s="482">
        <v>1.0419</v>
      </c>
      <c r="I126" s="482">
        <v>0.96889999999999998</v>
      </c>
      <c r="J126" s="482">
        <v>0.96889999999999998</v>
      </c>
      <c r="K126" s="482">
        <v>0.96889999999999998</v>
      </c>
      <c r="L126" s="482">
        <v>0.96889999999999998</v>
      </c>
      <c r="M126" s="482">
        <v>0.96889999999999998</v>
      </c>
    </row>
    <row r="127" spans="1:13">
      <c r="A127" s="483">
        <v>2.2999999999999998</v>
      </c>
      <c r="B127" s="482">
        <v>1.1285000000000001</v>
      </c>
      <c r="C127" s="482">
        <v>1.1285000000000001</v>
      </c>
      <c r="D127" s="482">
        <v>1.0271999999999999</v>
      </c>
      <c r="E127" s="482">
        <v>1.0271999999999999</v>
      </c>
      <c r="F127" s="482">
        <v>1.0271999999999999</v>
      </c>
      <c r="G127" s="482">
        <v>1.0271999999999999</v>
      </c>
      <c r="H127" s="482">
        <v>1.0271999999999999</v>
      </c>
      <c r="I127" s="482">
        <v>0.95440000000000003</v>
      </c>
      <c r="J127" s="482">
        <v>0.95440000000000003</v>
      </c>
      <c r="K127" s="482">
        <v>0.95440000000000003</v>
      </c>
      <c r="L127" s="482">
        <v>0.95440000000000003</v>
      </c>
      <c r="M127" s="482">
        <v>0.95440000000000003</v>
      </c>
    </row>
    <row r="128" spans="1:13">
      <c r="A128" s="483">
        <v>2.4</v>
      </c>
      <c r="B128" s="482">
        <v>1.1149</v>
      </c>
      <c r="C128" s="482">
        <v>1.1149</v>
      </c>
      <c r="D128" s="482">
        <v>1.0133000000000001</v>
      </c>
      <c r="E128" s="482">
        <v>1.0133000000000001</v>
      </c>
      <c r="F128" s="482">
        <v>1.0133000000000001</v>
      </c>
      <c r="G128" s="482">
        <v>1.0133000000000001</v>
      </c>
      <c r="H128" s="482">
        <v>1.0133000000000001</v>
      </c>
      <c r="I128" s="482">
        <v>0.9405</v>
      </c>
      <c r="J128" s="482">
        <v>0.9405</v>
      </c>
      <c r="K128" s="482">
        <v>0.9405</v>
      </c>
      <c r="L128" s="482">
        <v>0.9405</v>
      </c>
      <c r="M128" s="482">
        <v>0.9405</v>
      </c>
    </row>
    <row r="129" spans="1:13">
      <c r="A129" s="483">
        <v>2.5</v>
      </c>
      <c r="B129" s="482">
        <v>1.1020000000000001</v>
      </c>
      <c r="C129" s="482">
        <v>1.1020000000000001</v>
      </c>
      <c r="D129" s="482">
        <v>1</v>
      </c>
      <c r="E129" s="482">
        <v>1</v>
      </c>
      <c r="F129" s="482">
        <v>1</v>
      </c>
      <c r="G129" s="482">
        <v>1</v>
      </c>
      <c r="H129" s="482">
        <v>1</v>
      </c>
      <c r="I129" s="482">
        <v>0.92730000000000001</v>
      </c>
      <c r="J129" s="482">
        <v>0.92730000000000001</v>
      </c>
      <c r="K129" s="482">
        <v>0.92730000000000001</v>
      </c>
      <c r="L129" s="482">
        <v>0.92730000000000001</v>
      </c>
      <c r="M129" s="482">
        <v>0.92730000000000001</v>
      </c>
    </row>
    <row r="130" spans="1:13">
      <c r="A130" s="483">
        <v>2.6</v>
      </c>
      <c r="B130" s="482">
        <v>1.0895999999999999</v>
      </c>
      <c r="C130" s="482">
        <v>1.0895999999999999</v>
      </c>
      <c r="D130" s="482">
        <v>0.98740000000000006</v>
      </c>
      <c r="E130" s="482">
        <v>0.98740000000000006</v>
      </c>
      <c r="F130" s="482">
        <v>0.98740000000000006</v>
      </c>
      <c r="G130" s="482">
        <v>0.98740000000000006</v>
      </c>
      <c r="H130" s="482">
        <v>0.98740000000000006</v>
      </c>
      <c r="I130" s="482">
        <v>0.91469999999999996</v>
      </c>
      <c r="J130" s="482">
        <v>0.91469999999999996</v>
      </c>
      <c r="K130" s="482">
        <v>0.91469999999999996</v>
      </c>
      <c r="L130" s="482">
        <v>0.91469999999999996</v>
      </c>
      <c r="M130" s="482">
        <v>0.91469999999999996</v>
      </c>
    </row>
    <row r="131" spans="1:13">
      <c r="A131" s="483">
        <v>2.7</v>
      </c>
      <c r="B131" s="482">
        <v>1.0778000000000001</v>
      </c>
      <c r="C131" s="482">
        <v>1.0778000000000001</v>
      </c>
      <c r="D131" s="482">
        <v>0.97540000000000004</v>
      </c>
      <c r="E131" s="482">
        <v>0.97540000000000004</v>
      </c>
      <c r="F131" s="482">
        <v>0.97540000000000004</v>
      </c>
      <c r="G131" s="482">
        <v>0.97540000000000004</v>
      </c>
      <c r="H131" s="482">
        <v>0.97540000000000004</v>
      </c>
      <c r="I131" s="482">
        <v>0.90269999999999995</v>
      </c>
      <c r="J131" s="482">
        <v>0.90269999999999995</v>
      </c>
      <c r="K131" s="482">
        <v>0.90269999999999995</v>
      </c>
      <c r="L131" s="482">
        <v>0.90269999999999995</v>
      </c>
      <c r="M131" s="482">
        <v>0.90269999999999995</v>
      </c>
    </row>
    <row r="132" spans="1:13">
      <c r="A132" s="483">
        <v>2.8</v>
      </c>
      <c r="B132" s="482">
        <v>1.0665</v>
      </c>
      <c r="C132" s="482">
        <v>1.0665</v>
      </c>
      <c r="D132" s="482">
        <v>0.96399999999999997</v>
      </c>
      <c r="E132" s="482">
        <v>0.96399999999999997</v>
      </c>
      <c r="F132" s="482">
        <v>0.96399999999999997</v>
      </c>
      <c r="G132" s="482">
        <v>0.96399999999999997</v>
      </c>
      <c r="H132" s="482">
        <v>0.96399999999999997</v>
      </c>
      <c r="I132" s="482">
        <v>0.89119999999999999</v>
      </c>
      <c r="J132" s="482">
        <v>0.89119999999999999</v>
      </c>
      <c r="K132" s="482">
        <v>0.89119999999999999</v>
      </c>
      <c r="L132" s="482">
        <v>0.89119999999999999</v>
      </c>
      <c r="M132" s="482">
        <v>0.89119999999999999</v>
      </c>
    </row>
    <row r="133" spans="1:13">
      <c r="A133" s="483">
        <v>2.9</v>
      </c>
      <c r="B133" s="482">
        <v>1.0556000000000001</v>
      </c>
      <c r="C133" s="482">
        <v>1.0556000000000001</v>
      </c>
      <c r="D133" s="482">
        <v>0.95330000000000004</v>
      </c>
      <c r="E133" s="482">
        <v>0.95330000000000004</v>
      </c>
      <c r="F133" s="482">
        <v>0.95330000000000004</v>
      </c>
      <c r="G133" s="482">
        <v>0.95330000000000004</v>
      </c>
      <c r="H133" s="482">
        <v>0.95330000000000004</v>
      </c>
      <c r="I133" s="482">
        <v>0.88019999999999998</v>
      </c>
      <c r="J133" s="482">
        <v>0.88019999999999998</v>
      </c>
      <c r="K133" s="482">
        <v>0.88019999999999998</v>
      </c>
      <c r="L133" s="482">
        <v>0.88019999999999998</v>
      </c>
      <c r="M133" s="482">
        <v>0.88019999999999998</v>
      </c>
    </row>
    <row r="134" spans="1:13">
      <c r="A134" s="483">
        <v>3</v>
      </c>
      <c r="B134" s="482">
        <v>1.0452999999999999</v>
      </c>
      <c r="C134" s="482">
        <v>1.0452999999999999</v>
      </c>
      <c r="D134" s="482">
        <v>0.94299999999999995</v>
      </c>
      <c r="E134" s="482">
        <v>0.94299999999999995</v>
      </c>
      <c r="F134" s="482">
        <v>0.94299999999999995</v>
      </c>
      <c r="G134" s="482">
        <v>0.94299999999999995</v>
      </c>
      <c r="H134" s="482">
        <v>0.94299999999999995</v>
      </c>
      <c r="I134" s="482">
        <v>0.86970000000000003</v>
      </c>
      <c r="J134" s="482">
        <v>0.86970000000000003</v>
      </c>
      <c r="K134" s="482">
        <v>0.86970000000000003</v>
      </c>
      <c r="L134" s="482">
        <v>0.86970000000000003</v>
      </c>
      <c r="M134" s="482">
        <v>0.86970000000000003</v>
      </c>
    </row>
    <row r="135" spans="1:13">
      <c r="A135" s="483">
        <v>3.1</v>
      </c>
      <c r="B135" s="482">
        <v>1.0354000000000001</v>
      </c>
      <c r="C135" s="482">
        <v>1.0354000000000001</v>
      </c>
      <c r="D135" s="482">
        <v>0.93330000000000002</v>
      </c>
      <c r="E135" s="482">
        <v>0.93330000000000002</v>
      </c>
      <c r="F135" s="482">
        <v>0.93330000000000002</v>
      </c>
      <c r="G135" s="482">
        <v>0.93330000000000002</v>
      </c>
      <c r="H135" s="482">
        <v>0.93330000000000002</v>
      </c>
      <c r="I135" s="482">
        <v>0.85970000000000002</v>
      </c>
      <c r="J135" s="482">
        <v>0.85970000000000002</v>
      </c>
      <c r="K135" s="482">
        <v>0.85970000000000002</v>
      </c>
      <c r="L135" s="482">
        <v>0.85970000000000002</v>
      </c>
      <c r="M135" s="482">
        <v>0.85970000000000002</v>
      </c>
    </row>
    <row r="136" spans="1:13">
      <c r="A136" s="483">
        <v>3.2</v>
      </c>
      <c r="B136" s="482">
        <v>1.0259</v>
      </c>
      <c r="C136" s="482">
        <v>1.0259</v>
      </c>
      <c r="D136" s="482">
        <v>0.92410000000000003</v>
      </c>
      <c r="E136" s="482">
        <v>0.92410000000000003</v>
      </c>
      <c r="F136" s="482">
        <v>0.92410000000000003</v>
      </c>
      <c r="G136" s="482">
        <v>0.92410000000000003</v>
      </c>
      <c r="H136" s="482">
        <v>0.92410000000000003</v>
      </c>
      <c r="I136" s="482">
        <v>0.85019999999999996</v>
      </c>
      <c r="J136" s="482">
        <v>0.85019999999999996</v>
      </c>
      <c r="K136" s="482">
        <v>0.85019999999999996</v>
      </c>
      <c r="L136" s="482">
        <v>0.85019999999999996</v>
      </c>
      <c r="M136" s="482">
        <v>0.85019999999999996</v>
      </c>
    </row>
    <row r="137" spans="1:13">
      <c r="A137" s="483">
        <v>3.3</v>
      </c>
      <c r="B137" s="482">
        <v>1.0168999999999999</v>
      </c>
      <c r="C137" s="482">
        <v>1.0168999999999999</v>
      </c>
      <c r="D137" s="482">
        <v>0.91539999999999999</v>
      </c>
      <c r="E137" s="482">
        <v>0.91539999999999999</v>
      </c>
      <c r="F137" s="482">
        <v>0.91539999999999999</v>
      </c>
      <c r="G137" s="482">
        <v>0.91539999999999999</v>
      </c>
      <c r="H137" s="482">
        <v>0.91539999999999999</v>
      </c>
      <c r="I137" s="482">
        <v>0.84109999999999996</v>
      </c>
      <c r="J137" s="482">
        <v>0.84109999999999996</v>
      </c>
      <c r="K137" s="482">
        <v>0.84109999999999996</v>
      </c>
      <c r="L137" s="482">
        <v>0.84109999999999996</v>
      </c>
      <c r="M137" s="482">
        <v>0.84109999999999996</v>
      </c>
    </row>
    <row r="138" spans="1:13">
      <c r="A138" s="483">
        <v>3.4</v>
      </c>
      <c r="B138" s="482">
        <v>1.0082</v>
      </c>
      <c r="C138" s="482">
        <v>1.0082</v>
      </c>
      <c r="D138" s="482">
        <v>0.90710000000000002</v>
      </c>
      <c r="E138" s="482">
        <v>0.90710000000000002</v>
      </c>
      <c r="F138" s="482">
        <v>0.90710000000000002</v>
      </c>
      <c r="G138" s="482">
        <v>0.90710000000000002</v>
      </c>
      <c r="H138" s="482">
        <v>0.90710000000000002</v>
      </c>
      <c r="I138" s="482">
        <v>0.83240000000000003</v>
      </c>
      <c r="J138" s="482">
        <v>0.83240000000000003</v>
      </c>
      <c r="K138" s="482">
        <v>0.83240000000000003</v>
      </c>
      <c r="L138" s="482">
        <v>0.83240000000000003</v>
      </c>
      <c r="M138" s="482">
        <v>0.83240000000000003</v>
      </c>
    </row>
    <row r="139" spans="1:13">
      <c r="A139" s="483">
        <v>3.5</v>
      </c>
      <c r="B139" s="482">
        <v>1</v>
      </c>
      <c r="C139" s="482">
        <v>1</v>
      </c>
      <c r="D139" s="482">
        <v>0.89929999999999999</v>
      </c>
      <c r="E139" s="482">
        <v>0.89929999999999999</v>
      </c>
      <c r="F139" s="482">
        <v>0.89929999999999999</v>
      </c>
      <c r="G139" s="482">
        <v>0.89929999999999999</v>
      </c>
      <c r="H139" s="482">
        <v>0.89929999999999999</v>
      </c>
      <c r="I139" s="482">
        <v>0.82410000000000005</v>
      </c>
      <c r="J139" s="482">
        <v>0.82410000000000005</v>
      </c>
      <c r="K139" s="482">
        <v>0.82410000000000005</v>
      </c>
      <c r="L139" s="482">
        <v>0.82410000000000005</v>
      </c>
      <c r="M139" s="482">
        <v>0.82410000000000005</v>
      </c>
    </row>
    <row r="140" spans="1:13">
      <c r="A140" s="483">
        <v>3.6</v>
      </c>
      <c r="B140" s="482">
        <v>0.99219999999999997</v>
      </c>
      <c r="C140" s="482">
        <v>0.99219999999999997</v>
      </c>
      <c r="D140" s="482">
        <v>0.89190000000000003</v>
      </c>
      <c r="E140" s="482">
        <v>0.89190000000000003</v>
      </c>
      <c r="F140" s="482">
        <v>0.89190000000000003</v>
      </c>
      <c r="G140" s="482">
        <v>0.89190000000000003</v>
      </c>
      <c r="H140" s="482">
        <v>0.89190000000000003</v>
      </c>
      <c r="I140" s="482">
        <v>0.81620000000000004</v>
      </c>
      <c r="J140" s="482">
        <v>0.81620000000000004</v>
      </c>
      <c r="K140" s="482">
        <v>0.81620000000000004</v>
      </c>
      <c r="L140" s="482">
        <v>0.81620000000000004</v>
      </c>
      <c r="M140" s="482">
        <v>0.81620000000000004</v>
      </c>
    </row>
    <row r="141" spans="1:13">
      <c r="A141" s="483">
        <v>3.7</v>
      </c>
      <c r="B141" s="482">
        <v>0.98480000000000001</v>
      </c>
      <c r="C141" s="482">
        <v>0.98480000000000001</v>
      </c>
      <c r="D141" s="482">
        <v>0.88480000000000003</v>
      </c>
      <c r="E141" s="482">
        <v>0.88480000000000003</v>
      </c>
      <c r="F141" s="482">
        <v>0.88480000000000003</v>
      </c>
      <c r="G141" s="482">
        <v>0.88480000000000003</v>
      </c>
      <c r="H141" s="482">
        <v>0.88480000000000003</v>
      </c>
      <c r="I141" s="482">
        <v>0.80869999999999997</v>
      </c>
      <c r="J141" s="482">
        <v>0.80869999999999997</v>
      </c>
      <c r="K141" s="482">
        <v>0.80869999999999997</v>
      </c>
      <c r="L141" s="482">
        <v>0.80869999999999997</v>
      </c>
      <c r="M141" s="482">
        <v>0.80869999999999997</v>
      </c>
    </row>
    <row r="142" spans="1:13">
      <c r="A142" s="483">
        <v>3.8</v>
      </c>
      <c r="B142" s="482">
        <v>0.9778</v>
      </c>
      <c r="C142" s="482">
        <v>0.9778</v>
      </c>
      <c r="D142" s="482">
        <v>0.87809999999999999</v>
      </c>
      <c r="E142" s="482">
        <v>0.87809999999999999</v>
      </c>
      <c r="F142" s="482">
        <v>0.87809999999999999</v>
      </c>
      <c r="G142" s="482">
        <v>0.87809999999999999</v>
      </c>
      <c r="H142" s="482">
        <v>0.87809999999999999</v>
      </c>
      <c r="I142" s="482">
        <v>0.80159999999999998</v>
      </c>
      <c r="J142" s="482">
        <v>0.80159999999999998</v>
      </c>
      <c r="K142" s="482">
        <v>0.80159999999999998</v>
      </c>
      <c r="L142" s="482">
        <v>0.80159999999999998</v>
      </c>
      <c r="M142" s="482">
        <v>0.80159999999999998</v>
      </c>
    </row>
    <row r="143" spans="1:13">
      <c r="A143" s="483">
        <v>3.9</v>
      </c>
      <c r="B143" s="482">
        <v>0.97119999999999995</v>
      </c>
      <c r="C143" s="482">
        <v>0.97119999999999995</v>
      </c>
      <c r="D143" s="482">
        <v>0.87180000000000002</v>
      </c>
      <c r="E143" s="482">
        <v>0.87180000000000002</v>
      </c>
      <c r="F143" s="482">
        <v>0.87180000000000002</v>
      </c>
      <c r="G143" s="482">
        <v>0.87180000000000002</v>
      </c>
      <c r="H143" s="482">
        <v>0.87180000000000002</v>
      </c>
      <c r="I143" s="482">
        <v>0.79479999999999995</v>
      </c>
      <c r="J143" s="482">
        <v>0.79479999999999995</v>
      </c>
      <c r="K143" s="482">
        <v>0.79479999999999995</v>
      </c>
      <c r="L143" s="482">
        <v>0.79479999999999995</v>
      </c>
      <c r="M143" s="482">
        <v>0.79479999999999995</v>
      </c>
    </row>
    <row r="144" spans="1:13">
      <c r="A144" s="483">
        <v>4</v>
      </c>
      <c r="B144" s="482">
        <v>0.96499999999999997</v>
      </c>
      <c r="C144" s="482">
        <v>0.96499999999999997</v>
      </c>
      <c r="D144" s="482">
        <v>0.86580000000000001</v>
      </c>
      <c r="E144" s="482">
        <v>0.86580000000000001</v>
      </c>
      <c r="F144" s="482">
        <v>0.86580000000000001</v>
      </c>
      <c r="G144" s="482">
        <v>0.86580000000000001</v>
      </c>
      <c r="H144" s="482">
        <v>0.86580000000000001</v>
      </c>
      <c r="I144" s="482">
        <v>0.7883</v>
      </c>
      <c r="J144" s="482">
        <v>0.7883</v>
      </c>
      <c r="K144" s="482">
        <v>0.7883</v>
      </c>
      <c r="L144" s="482">
        <v>0.7883</v>
      </c>
      <c r="M144" s="482">
        <v>0.7883</v>
      </c>
    </row>
    <row r="145" spans="1:13">
      <c r="A145" s="483">
        <v>4.0999999999999996</v>
      </c>
      <c r="B145" s="482">
        <v>0.95909999999999995</v>
      </c>
      <c r="C145" s="482">
        <v>0.95909999999999995</v>
      </c>
      <c r="D145" s="482">
        <v>0.86009999999999998</v>
      </c>
      <c r="E145" s="482">
        <v>0.86009999999999998</v>
      </c>
      <c r="F145" s="482">
        <v>0.86009999999999998</v>
      </c>
      <c r="G145" s="482">
        <v>0.86009999999999998</v>
      </c>
      <c r="H145" s="482">
        <v>0.86009999999999998</v>
      </c>
      <c r="I145" s="482">
        <v>0.78200000000000003</v>
      </c>
      <c r="J145" s="482">
        <v>0.78200000000000003</v>
      </c>
      <c r="K145" s="482">
        <v>0.78200000000000003</v>
      </c>
      <c r="L145" s="482">
        <v>0.78200000000000003</v>
      </c>
      <c r="M145" s="482">
        <v>0.78200000000000003</v>
      </c>
    </row>
    <row r="146" spans="1:13">
      <c r="A146" s="483">
        <v>4.2</v>
      </c>
      <c r="B146" s="482">
        <v>0.95350000000000001</v>
      </c>
      <c r="C146" s="482">
        <v>0.95350000000000001</v>
      </c>
      <c r="D146" s="482">
        <v>0.85470000000000002</v>
      </c>
      <c r="E146" s="482">
        <v>0.85470000000000002</v>
      </c>
      <c r="F146" s="482">
        <v>0.85470000000000002</v>
      </c>
      <c r="G146" s="482">
        <v>0.85470000000000002</v>
      </c>
      <c r="H146" s="482">
        <v>0.85470000000000002</v>
      </c>
      <c r="I146" s="482">
        <v>0.77600000000000002</v>
      </c>
      <c r="J146" s="482">
        <v>0.77600000000000002</v>
      </c>
      <c r="K146" s="482">
        <v>0.77600000000000002</v>
      </c>
      <c r="L146" s="482">
        <v>0.77600000000000002</v>
      </c>
      <c r="M146" s="482">
        <v>0.77600000000000002</v>
      </c>
    </row>
    <row r="147" spans="1:13">
      <c r="A147" s="483">
        <v>4.3</v>
      </c>
      <c r="B147" s="482">
        <v>0.94820000000000004</v>
      </c>
      <c r="C147" s="482">
        <v>0.94820000000000004</v>
      </c>
      <c r="D147" s="482">
        <v>0.84960000000000002</v>
      </c>
      <c r="E147" s="482">
        <v>0.84960000000000002</v>
      </c>
      <c r="F147" s="482">
        <v>0.84960000000000002</v>
      </c>
      <c r="G147" s="482">
        <v>0.84960000000000002</v>
      </c>
      <c r="H147" s="482">
        <v>0.84960000000000002</v>
      </c>
      <c r="I147" s="482">
        <v>0.77029999999999998</v>
      </c>
      <c r="J147" s="482">
        <v>0.77029999999999998</v>
      </c>
      <c r="K147" s="482">
        <v>0.77029999999999998</v>
      </c>
      <c r="L147" s="482">
        <v>0.77029999999999998</v>
      </c>
      <c r="M147" s="482">
        <v>0.77029999999999998</v>
      </c>
    </row>
    <row r="148" spans="1:13">
      <c r="A148" s="483">
        <v>4.4000000000000004</v>
      </c>
      <c r="B148" s="482">
        <v>0.94320000000000004</v>
      </c>
      <c r="C148" s="482">
        <v>0.94320000000000004</v>
      </c>
      <c r="D148" s="482">
        <v>0.8448</v>
      </c>
      <c r="E148" s="482">
        <v>0.8448</v>
      </c>
      <c r="F148" s="482">
        <v>0.8448</v>
      </c>
      <c r="G148" s="482">
        <v>0.8448</v>
      </c>
      <c r="H148" s="482">
        <v>0.8448</v>
      </c>
      <c r="I148" s="482">
        <v>0.76490000000000002</v>
      </c>
      <c r="J148" s="482">
        <v>0.76490000000000002</v>
      </c>
      <c r="K148" s="482">
        <v>0.76490000000000002</v>
      </c>
      <c r="L148" s="482">
        <v>0.76490000000000002</v>
      </c>
      <c r="M148" s="482">
        <v>0.76490000000000002</v>
      </c>
    </row>
    <row r="149" spans="1:13">
      <c r="A149" s="483">
        <v>4.5</v>
      </c>
      <c r="B149" s="482">
        <v>0.9385</v>
      </c>
      <c r="C149" s="482">
        <v>0.9385</v>
      </c>
      <c r="D149" s="482">
        <v>0.84019999999999995</v>
      </c>
      <c r="E149" s="482">
        <v>0.84019999999999995</v>
      </c>
      <c r="F149" s="482">
        <v>0.84019999999999995</v>
      </c>
      <c r="G149" s="482">
        <v>0.84019999999999995</v>
      </c>
      <c r="H149" s="482">
        <v>0.84019999999999995</v>
      </c>
      <c r="I149" s="482">
        <v>0.75970000000000004</v>
      </c>
      <c r="J149" s="482">
        <v>0.75970000000000004</v>
      </c>
      <c r="K149" s="482">
        <v>0.75970000000000004</v>
      </c>
      <c r="L149" s="482">
        <v>0.75970000000000004</v>
      </c>
      <c r="M149" s="482">
        <v>0.75970000000000004</v>
      </c>
    </row>
    <row r="150" spans="1:13">
      <c r="A150" s="483">
        <v>4.5999999999999996</v>
      </c>
      <c r="B150" s="482">
        <v>0.93410000000000004</v>
      </c>
      <c r="C150" s="482">
        <v>0.93410000000000004</v>
      </c>
      <c r="D150" s="482">
        <v>0.83579999999999999</v>
      </c>
      <c r="E150" s="482">
        <v>0.83579999999999999</v>
      </c>
      <c r="F150" s="482">
        <v>0.83579999999999999</v>
      </c>
      <c r="G150" s="482">
        <v>0.83579999999999999</v>
      </c>
      <c r="H150" s="482">
        <v>0.83579999999999999</v>
      </c>
      <c r="I150" s="482">
        <v>0.75470000000000004</v>
      </c>
      <c r="J150" s="482">
        <v>0.75470000000000004</v>
      </c>
      <c r="K150" s="482">
        <v>0.75470000000000004</v>
      </c>
      <c r="L150" s="482">
        <v>0.75470000000000004</v>
      </c>
      <c r="M150" s="482">
        <v>0.75470000000000004</v>
      </c>
    </row>
    <row r="151" spans="1:13">
      <c r="A151" s="483">
        <v>4.7</v>
      </c>
      <c r="B151" s="482">
        <v>0.92989999999999995</v>
      </c>
      <c r="C151" s="482">
        <v>0.92989999999999995</v>
      </c>
      <c r="D151" s="482">
        <v>0.83160000000000001</v>
      </c>
      <c r="E151" s="482">
        <v>0.83160000000000001</v>
      </c>
      <c r="F151" s="482">
        <v>0.83160000000000001</v>
      </c>
      <c r="G151" s="482">
        <v>0.83160000000000001</v>
      </c>
      <c r="H151" s="482">
        <v>0.83160000000000001</v>
      </c>
      <c r="I151" s="482">
        <v>0.74990000000000001</v>
      </c>
      <c r="J151" s="482">
        <v>0.74990000000000001</v>
      </c>
      <c r="K151" s="482">
        <v>0.74990000000000001</v>
      </c>
      <c r="L151" s="482">
        <v>0.74990000000000001</v>
      </c>
      <c r="M151" s="482">
        <v>0.74990000000000001</v>
      </c>
    </row>
    <row r="152" spans="1:13">
      <c r="A152" s="483">
        <v>4.8</v>
      </c>
      <c r="B152" s="482">
        <v>0.92589999999999995</v>
      </c>
      <c r="C152" s="482">
        <v>0.92589999999999995</v>
      </c>
      <c r="D152" s="482">
        <v>0.82769999999999999</v>
      </c>
      <c r="E152" s="482">
        <v>0.82769999999999999</v>
      </c>
      <c r="F152" s="482">
        <v>0.82769999999999999</v>
      </c>
      <c r="G152" s="482">
        <v>0.82769999999999999</v>
      </c>
      <c r="H152" s="482">
        <v>0.82769999999999999</v>
      </c>
      <c r="I152" s="482">
        <v>0.74529999999999996</v>
      </c>
      <c r="J152" s="482">
        <v>0.74529999999999996</v>
      </c>
      <c r="K152" s="482">
        <v>0.74529999999999996</v>
      </c>
      <c r="L152" s="482">
        <v>0.74529999999999996</v>
      </c>
      <c r="M152" s="482">
        <v>0.74529999999999996</v>
      </c>
    </row>
    <row r="153" spans="1:13">
      <c r="A153" s="483">
        <v>4.9000000000000004</v>
      </c>
      <c r="B153" s="482">
        <v>0.92210000000000003</v>
      </c>
      <c r="C153" s="482">
        <v>0.92210000000000003</v>
      </c>
      <c r="D153" s="482">
        <v>0.82389999999999997</v>
      </c>
      <c r="E153" s="482">
        <v>0.82389999999999997</v>
      </c>
      <c r="F153" s="482">
        <v>0.82389999999999997</v>
      </c>
      <c r="G153" s="482">
        <v>0.82389999999999997</v>
      </c>
      <c r="H153" s="482">
        <v>0.82389999999999997</v>
      </c>
      <c r="I153" s="482">
        <v>0.7409</v>
      </c>
      <c r="J153" s="482">
        <v>0.7409</v>
      </c>
      <c r="K153" s="482">
        <v>0.7409</v>
      </c>
      <c r="L153" s="482">
        <v>0.7409</v>
      </c>
      <c r="M153" s="482">
        <v>0.7409</v>
      </c>
    </row>
    <row r="154" spans="1:13">
      <c r="A154" s="483">
        <v>5</v>
      </c>
      <c r="B154" s="482">
        <v>0.91849999999999998</v>
      </c>
      <c r="C154" s="482">
        <v>0.91849999999999998</v>
      </c>
      <c r="D154" s="482">
        <v>0.82030000000000003</v>
      </c>
      <c r="E154" s="482">
        <v>0.82030000000000003</v>
      </c>
      <c r="F154" s="482">
        <v>0.82030000000000003</v>
      </c>
      <c r="G154" s="482">
        <v>0.82030000000000003</v>
      </c>
      <c r="H154" s="482">
        <v>0.82030000000000003</v>
      </c>
      <c r="I154" s="482">
        <v>0.73670000000000002</v>
      </c>
      <c r="J154" s="482">
        <v>0.73670000000000002</v>
      </c>
      <c r="K154" s="482">
        <v>0.73670000000000002</v>
      </c>
      <c r="L154" s="482">
        <v>0.73670000000000002</v>
      </c>
      <c r="M154" s="482">
        <v>0.73670000000000002</v>
      </c>
    </row>
    <row r="155" spans="1:13">
      <c r="A155" s="479">
        <v>5.0999999999999996</v>
      </c>
      <c r="B155" s="482">
        <v>0.91510000000000002</v>
      </c>
      <c r="C155" s="482">
        <v>0.91510000000000002</v>
      </c>
      <c r="D155" s="482">
        <v>0.81689999999999996</v>
      </c>
      <c r="E155" s="482">
        <v>0.81689999999999996</v>
      </c>
      <c r="F155" s="482">
        <v>0.81689999999999996</v>
      </c>
      <c r="G155" s="482">
        <v>0.81689999999999996</v>
      </c>
      <c r="H155" s="482">
        <v>0.81689999999999996</v>
      </c>
      <c r="I155" s="482">
        <v>0.73270000000000002</v>
      </c>
      <c r="J155" s="482">
        <v>0.73270000000000002</v>
      </c>
      <c r="K155" s="482">
        <v>0.73270000000000002</v>
      </c>
      <c r="L155" s="482">
        <v>0.73270000000000002</v>
      </c>
      <c r="M155" s="482">
        <v>0.73270000000000002</v>
      </c>
    </row>
    <row r="156" spans="1:13">
      <c r="A156" s="479">
        <v>5.2</v>
      </c>
      <c r="B156" s="482">
        <v>0.91190000000000004</v>
      </c>
      <c r="C156" s="482">
        <v>0.91190000000000004</v>
      </c>
      <c r="D156" s="482">
        <v>0.81359999999999999</v>
      </c>
      <c r="E156" s="482">
        <v>0.81359999999999999</v>
      </c>
      <c r="F156" s="482">
        <v>0.81359999999999999</v>
      </c>
      <c r="G156" s="482">
        <v>0.81359999999999999</v>
      </c>
      <c r="H156" s="482">
        <v>0.81359999999999999</v>
      </c>
      <c r="I156" s="482">
        <v>0.72889999999999999</v>
      </c>
      <c r="J156" s="482">
        <v>0.72889999999999999</v>
      </c>
      <c r="K156" s="482">
        <v>0.72889999999999999</v>
      </c>
      <c r="L156" s="482">
        <v>0.72889999999999999</v>
      </c>
      <c r="M156" s="482">
        <v>0.72889999999999999</v>
      </c>
    </row>
    <row r="157" spans="1:13">
      <c r="A157" s="479">
        <v>5.3</v>
      </c>
      <c r="B157" s="482">
        <v>0.90880000000000005</v>
      </c>
      <c r="C157" s="482">
        <v>0.90880000000000005</v>
      </c>
      <c r="D157" s="482">
        <v>0.8105</v>
      </c>
      <c r="E157" s="482">
        <v>0.8105</v>
      </c>
      <c r="F157" s="482">
        <v>0.8105</v>
      </c>
      <c r="G157" s="482">
        <v>0.8105</v>
      </c>
      <c r="H157" s="482">
        <v>0.8105</v>
      </c>
      <c r="I157" s="482">
        <v>0.72529999999999994</v>
      </c>
      <c r="J157" s="482">
        <v>0.72529999999999994</v>
      </c>
      <c r="K157" s="482">
        <v>0.72529999999999994</v>
      </c>
      <c r="L157" s="482">
        <v>0.72529999999999994</v>
      </c>
      <c r="M157" s="482">
        <v>0.72529999999999994</v>
      </c>
    </row>
    <row r="158" spans="1:13">
      <c r="A158" s="479">
        <v>5.4</v>
      </c>
      <c r="B158" s="482">
        <v>0.90580000000000005</v>
      </c>
      <c r="C158" s="482">
        <v>0.90580000000000005</v>
      </c>
      <c r="D158" s="482">
        <v>0.8075</v>
      </c>
      <c r="E158" s="482">
        <v>0.8075</v>
      </c>
      <c r="F158" s="482">
        <v>0.8075</v>
      </c>
      <c r="G158" s="482">
        <v>0.8075</v>
      </c>
      <c r="H158" s="482">
        <v>0.8075</v>
      </c>
      <c r="I158" s="482">
        <v>0.7218</v>
      </c>
      <c r="J158" s="482">
        <v>0.7218</v>
      </c>
      <c r="K158" s="482">
        <v>0.7218</v>
      </c>
      <c r="L158" s="482">
        <v>0.7218</v>
      </c>
      <c r="M158" s="482">
        <v>0.7218</v>
      </c>
    </row>
    <row r="159" spans="1:13">
      <c r="A159" s="479">
        <v>5.5</v>
      </c>
      <c r="B159" s="482">
        <v>0.90290000000000004</v>
      </c>
      <c r="C159" s="482">
        <v>0.90290000000000004</v>
      </c>
      <c r="D159" s="482">
        <v>0.80469999999999997</v>
      </c>
      <c r="E159" s="482">
        <v>0.80469999999999997</v>
      </c>
      <c r="F159" s="482">
        <v>0.80469999999999997</v>
      </c>
      <c r="G159" s="482">
        <v>0.80469999999999997</v>
      </c>
      <c r="H159" s="482">
        <v>0.80469999999999997</v>
      </c>
      <c r="I159" s="482">
        <v>0.71840000000000004</v>
      </c>
      <c r="J159" s="482">
        <v>0.71840000000000004</v>
      </c>
      <c r="K159" s="482">
        <v>0.71840000000000004</v>
      </c>
      <c r="L159" s="482">
        <v>0.71840000000000004</v>
      </c>
      <c r="M159" s="482">
        <v>0.71840000000000004</v>
      </c>
    </row>
    <row r="160" spans="1:13">
      <c r="A160" s="479">
        <v>5.6</v>
      </c>
      <c r="B160" s="482">
        <v>0.90010000000000001</v>
      </c>
      <c r="C160" s="482">
        <v>0.90010000000000001</v>
      </c>
      <c r="D160" s="482">
        <v>0.80200000000000005</v>
      </c>
      <c r="E160" s="482">
        <v>0.80200000000000005</v>
      </c>
      <c r="F160" s="482">
        <v>0.80200000000000005</v>
      </c>
      <c r="G160" s="482">
        <v>0.80200000000000005</v>
      </c>
      <c r="H160" s="482">
        <v>0.80200000000000005</v>
      </c>
      <c r="I160" s="482">
        <v>0.71509999999999996</v>
      </c>
      <c r="J160" s="482">
        <v>0.71509999999999996</v>
      </c>
      <c r="K160" s="482">
        <v>0.71509999999999996</v>
      </c>
      <c r="L160" s="482">
        <v>0.71509999999999996</v>
      </c>
      <c r="M160" s="482">
        <v>0.71509999999999996</v>
      </c>
    </row>
    <row r="161" spans="1:13">
      <c r="A161" s="483">
        <v>5.7</v>
      </c>
      <c r="B161" s="482">
        <v>0.89749999999999996</v>
      </c>
      <c r="C161" s="482">
        <v>0.89749999999999996</v>
      </c>
      <c r="D161" s="482">
        <v>0.79930000000000001</v>
      </c>
      <c r="E161" s="482">
        <v>0.79930000000000001</v>
      </c>
      <c r="F161" s="482">
        <v>0.79930000000000001</v>
      </c>
      <c r="G161" s="482">
        <v>0.79930000000000001</v>
      </c>
      <c r="H161" s="482">
        <v>0.79930000000000001</v>
      </c>
      <c r="I161" s="482">
        <v>0.71189999999999998</v>
      </c>
      <c r="J161" s="482">
        <v>0.71189999999999998</v>
      </c>
      <c r="K161" s="482">
        <v>0.71189999999999998</v>
      </c>
      <c r="L161" s="482">
        <v>0.71189999999999998</v>
      </c>
      <c r="M161" s="482">
        <v>0.71189999999999998</v>
      </c>
    </row>
    <row r="162" spans="1:13">
      <c r="A162" s="479">
        <v>5.8</v>
      </c>
      <c r="B162" s="482">
        <v>0.89500000000000002</v>
      </c>
      <c r="C162" s="482">
        <v>0.89500000000000002</v>
      </c>
      <c r="D162" s="482">
        <v>0.79679999999999995</v>
      </c>
      <c r="E162" s="482">
        <v>0.79679999999999995</v>
      </c>
      <c r="F162" s="482">
        <v>0.79679999999999995</v>
      </c>
      <c r="G162" s="482">
        <v>0.79679999999999995</v>
      </c>
      <c r="H162" s="482">
        <v>0.79679999999999995</v>
      </c>
      <c r="I162" s="482">
        <v>0.70879999999999999</v>
      </c>
      <c r="J162" s="482">
        <v>0.70879999999999999</v>
      </c>
      <c r="K162" s="482">
        <v>0.70879999999999999</v>
      </c>
      <c r="L162" s="482">
        <v>0.70879999999999999</v>
      </c>
      <c r="M162" s="482">
        <v>0.70879999999999999</v>
      </c>
    </row>
    <row r="163" spans="1:13">
      <c r="A163" s="479">
        <v>5.9</v>
      </c>
      <c r="B163" s="482">
        <v>0.89259999999999995</v>
      </c>
      <c r="C163" s="482">
        <v>0.89259999999999995</v>
      </c>
      <c r="D163" s="482">
        <v>0.7944</v>
      </c>
      <c r="E163" s="482">
        <v>0.7944</v>
      </c>
      <c r="F163" s="482">
        <v>0.7944</v>
      </c>
      <c r="G163" s="482">
        <v>0.7944</v>
      </c>
      <c r="H163" s="482">
        <v>0.7944</v>
      </c>
      <c r="I163" s="482">
        <v>0.70579999999999998</v>
      </c>
      <c r="J163" s="482">
        <v>0.70579999999999998</v>
      </c>
      <c r="K163" s="482">
        <v>0.70579999999999998</v>
      </c>
      <c r="L163" s="482">
        <v>0.70579999999999998</v>
      </c>
      <c r="M163" s="482">
        <v>0.70579999999999998</v>
      </c>
    </row>
    <row r="164" spans="1:13">
      <c r="A164" s="479">
        <v>6</v>
      </c>
      <c r="B164" s="482">
        <v>0.89029999999999998</v>
      </c>
      <c r="C164" s="482">
        <v>0.89029999999999998</v>
      </c>
      <c r="D164" s="482">
        <v>0.79200000000000004</v>
      </c>
      <c r="E164" s="482">
        <v>0.79200000000000004</v>
      </c>
      <c r="F164" s="482">
        <v>0.79200000000000004</v>
      </c>
      <c r="G164" s="482">
        <v>0.79200000000000004</v>
      </c>
      <c r="H164" s="482">
        <v>0.79200000000000004</v>
      </c>
      <c r="I164" s="482">
        <v>0.70289999999999997</v>
      </c>
      <c r="J164" s="482">
        <v>0.70289999999999997</v>
      </c>
      <c r="K164" s="482">
        <v>0.70289999999999997</v>
      </c>
      <c r="L164" s="482">
        <v>0.70289999999999997</v>
      </c>
      <c r="M164" s="482">
        <v>0.70289999999999997</v>
      </c>
    </row>
    <row r="165" spans="1:13">
      <c r="A165" s="479">
        <v>6.1</v>
      </c>
      <c r="B165" s="482">
        <v>0.8881</v>
      </c>
      <c r="C165" s="482">
        <v>0.8881</v>
      </c>
      <c r="D165" s="482">
        <v>0.78979999999999995</v>
      </c>
      <c r="E165" s="482">
        <v>0.78979999999999995</v>
      </c>
      <c r="F165" s="482">
        <v>0.78979999999999995</v>
      </c>
      <c r="G165" s="482">
        <v>0.78979999999999995</v>
      </c>
      <c r="H165" s="482">
        <v>0.78979999999999995</v>
      </c>
      <c r="I165" s="482">
        <v>0.70009999999999994</v>
      </c>
      <c r="J165" s="482">
        <v>0.70009999999999994</v>
      </c>
      <c r="K165" s="482">
        <v>0.70009999999999994</v>
      </c>
      <c r="L165" s="482">
        <v>0.70009999999999994</v>
      </c>
      <c r="M165" s="482">
        <v>0.70009999999999994</v>
      </c>
    </row>
    <row r="166" spans="1:13">
      <c r="A166" s="479">
        <v>6.2</v>
      </c>
      <c r="B166" s="482">
        <v>0.88600000000000001</v>
      </c>
      <c r="C166" s="482">
        <v>0.88600000000000001</v>
      </c>
      <c r="D166" s="482">
        <v>0.78759999999999997</v>
      </c>
      <c r="E166" s="482">
        <v>0.78759999999999997</v>
      </c>
      <c r="F166" s="482">
        <v>0.78759999999999997</v>
      </c>
      <c r="G166" s="482">
        <v>0.78759999999999997</v>
      </c>
      <c r="H166" s="482">
        <v>0.78759999999999997</v>
      </c>
      <c r="I166" s="482">
        <v>0.69740000000000002</v>
      </c>
      <c r="J166" s="482">
        <v>0.69740000000000002</v>
      </c>
      <c r="K166" s="482">
        <v>0.69740000000000002</v>
      </c>
      <c r="L166" s="482">
        <v>0.69740000000000002</v>
      </c>
      <c r="M166" s="482">
        <v>0.69740000000000002</v>
      </c>
    </row>
    <row r="167" spans="1:13">
      <c r="A167" s="479">
        <v>6.3</v>
      </c>
      <c r="B167" s="482">
        <v>0.88390000000000002</v>
      </c>
      <c r="C167" s="482">
        <v>0.88390000000000002</v>
      </c>
      <c r="D167" s="482">
        <v>0.78549999999999998</v>
      </c>
      <c r="E167" s="482">
        <v>0.78549999999999998</v>
      </c>
      <c r="F167" s="482">
        <v>0.78549999999999998</v>
      </c>
      <c r="G167" s="482">
        <v>0.78549999999999998</v>
      </c>
      <c r="H167" s="482">
        <v>0.78549999999999998</v>
      </c>
      <c r="I167" s="482">
        <v>0.69479999999999997</v>
      </c>
      <c r="J167" s="482">
        <v>0.69479999999999997</v>
      </c>
      <c r="K167" s="482">
        <v>0.69479999999999997</v>
      </c>
      <c r="L167" s="482">
        <v>0.69479999999999997</v>
      </c>
      <c r="M167" s="482">
        <v>0.69479999999999997</v>
      </c>
    </row>
    <row r="168" spans="1:13">
      <c r="A168" s="479">
        <v>6.4</v>
      </c>
      <c r="B168" s="482">
        <v>0.88190000000000002</v>
      </c>
      <c r="C168" s="482">
        <v>0.88190000000000002</v>
      </c>
      <c r="D168" s="482">
        <v>0.78339999999999999</v>
      </c>
      <c r="E168" s="482">
        <v>0.78339999999999999</v>
      </c>
      <c r="F168" s="482">
        <v>0.78339999999999999</v>
      </c>
      <c r="G168" s="482">
        <v>0.78339999999999999</v>
      </c>
      <c r="H168" s="482">
        <v>0.78339999999999999</v>
      </c>
      <c r="I168" s="482">
        <v>0.69230000000000003</v>
      </c>
      <c r="J168" s="482">
        <v>0.69230000000000003</v>
      </c>
      <c r="K168" s="482">
        <v>0.69230000000000003</v>
      </c>
      <c r="L168" s="482">
        <v>0.69230000000000003</v>
      </c>
      <c r="M168" s="482">
        <v>0.69230000000000003</v>
      </c>
    </row>
    <row r="169" spans="1:13">
      <c r="A169" s="479">
        <v>6.5</v>
      </c>
      <c r="B169" s="482">
        <v>0.88</v>
      </c>
      <c r="C169" s="482">
        <v>0.88</v>
      </c>
      <c r="D169" s="482">
        <v>0.78139999999999998</v>
      </c>
      <c r="E169" s="482">
        <v>0.78139999999999998</v>
      </c>
      <c r="F169" s="482">
        <v>0.78139999999999998</v>
      </c>
      <c r="G169" s="482">
        <v>0.78139999999999998</v>
      </c>
      <c r="H169" s="482">
        <v>0.78139999999999998</v>
      </c>
      <c r="I169" s="482">
        <v>0.68989999999999996</v>
      </c>
      <c r="J169" s="482">
        <v>0.68989999999999996</v>
      </c>
      <c r="K169" s="482">
        <v>0.68989999999999996</v>
      </c>
      <c r="L169" s="482">
        <v>0.68989999999999996</v>
      </c>
      <c r="M169" s="482">
        <v>0.68989999999999996</v>
      </c>
    </row>
    <row r="170" spans="1:13">
      <c r="A170" s="479">
        <v>6.6</v>
      </c>
      <c r="B170" s="482">
        <v>0.87809999999999999</v>
      </c>
      <c r="C170" s="482">
        <v>0.87809999999999999</v>
      </c>
      <c r="D170" s="482">
        <v>0.77949999999999997</v>
      </c>
      <c r="E170" s="482">
        <v>0.77949999999999997</v>
      </c>
      <c r="F170" s="482">
        <v>0.77949999999999997</v>
      </c>
      <c r="G170" s="482">
        <v>0.77949999999999997</v>
      </c>
      <c r="H170" s="482">
        <v>0.77949999999999997</v>
      </c>
      <c r="I170" s="482">
        <v>0.68759999999999999</v>
      </c>
      <c r="J170" s="482">
        <v>0.68759999999999999</v>
      </c>
      <c r="K170" s="482">
        <v>0.68759999999999999</v>
      </c>
      <c r="L170" s="482">
        <v>0.68759999999999999</v>
      </c>
      <c r="M170" s="482">
        <v>0.68759999999999999</v>
      </c>
    </row>
    <row r="171" spans="1:13">
      <c r="A171" s="479">
        <v>6.7</v>
      </c>
      <c r="B171" s="482">
        <v>0.87629999999999997</v>
      </c>
      <c r="C171" s="482">
        <v>0.87629999999999997</v>
      </c>
      <c r="D171" s="482">
        <v>0.77759999999999996</v>
      </c>
      <c r="E171" s="482">
        <v>0.77759999999999996</v>
      </c>
      <c r="F171" s="482">
        <v>0.77759999999999996</v>
      </c>
      <c r="G171" s="482">
        <v>0.77759999999999996</v>
      </c>
      <c r="H171" s="482">
        <v>0.77759999999999996</v>
      </c>
      <c r="I171" s="482">
        <v>0.68530000000000002</v>
      </c>
      <c r="J171" s="482">
        <v>0.68530000000000002</v>
      </c>
      <c r="K171" s="482">
        <v>0.68530000000000002</v>
      </c>
      <c r="L171" s="482">
        <v>0.68530000000000002</v>
      </c>
      <c r="M171" s="482">
        <v>0.68530000000000002</v>
      </c>
    </row>
    <row r="172" spans="1:13">
      <c r="A172" s="479">
        <v>6.8</v>
      </c>
      <c r="B172" s="482">
        <v>0.87450000000000006</v>
      </c>
      <c r="C172" s="482">
        <v>0.87450000000000006</v>
      </c>
      <c r="D172" s="482">
        <v>0.77569999999999995</v>
      </c>
      <c r="E172" s="482">
        <v>0.77569999999999995</v>
      </c>
      <c r="F172" s="482">
        <v>0.77569999999999995</v>
      </c>
      <c r="G172" s="482">
        <v>0.77569999999999995</v>
      </c>
      <c r="H172" s="482">
        <v>0.77569999999999995</v>
      </c>
      <c r="I172" s="482">
        <v>0.68310000000000004</v>
      </c>
      <c r="J172" s="482">
        <v>0.68310000000000004</v>
      </c>
      <c r="K172" s="482">
        <v>0.68310000000000004</v>
      </c>
      <c r="L172" s="482">
        <v>0.68310000000000004</v>
      </c>
      <c r="M172" s="482">
        <v>0.68310000000000004</v>
      </c>
    </row>
    <row r="173" spans="1:13">
      <c r="A173" s="479">
        <v>6.9</v>
      </c>
      <c r="B173" s="482">
        <v>0.87280000000000002</v>
      </c>
      <c r="C173" s="482">
        <v>0.87280000000000002</v>
      </c>
      <c r="D173" s="482">
        <v>0.77390000000000003</v>
      </c>
      <c r="E173" s="482">
        <v>0.77390000000000003</v>
      </c>
      <c r="F173" s="482">
        <v>0.77390000000000003</v>
      </c>
      <c r="G173" s="482">
        <v>0.77390000000000003</v>
      </c>
      <c r="H173" s="482">
        <v>0.77390000000000003</v>
      </c>
      <c r="I173" s="482">
        <v>0.68089999999999995</v>
      </c>
      <c r="J173" s="482">
        <v>0.68089999999999995</v>
      </c>
      <c r="K173" s="482">
        <v>0.68089999999999995</v>
      </c>
      <c r="L173" s="482">
        <v>0.68089999999999995</v>
      </c>
      <c r="M173" s="482">
        <v>0.68089999999999995</v>
      </c>
    </row>
    <row r="174" spans="1:13">
      <c r="A174" s="479">
        <v>7</v>
      </c>
      <c r="B174" s="482">
        <v>0.87109999999999999</v>
      </c>
      <c r="C174" s="482">
        <v>0.87109999999999999</v>
      </c>
      <c r="D174" s="482">
        <v>0.77210000000000001</v>
      </c>
      <c r="E174" s="482">
        <v>0.77210000000000001</v>
      </c>
      <c r="F174" s="482">
        <v>0.77210000000000001</v>
      </c>
      <c r="G174" s="482">
        <v>0.77210000000000001</v>
      </c>
      <c r="H174" s="482">
        <v>0.77210000000000001</v>
      </c>
      <c r="I174" s="482">
        <v>0.67879999999999996</v>
      </c>
      <c r="J174" s="482">
        <v>0.67879999999999996</v>
      </c>
      <c r="K174" s="482">
        <v>0.67879999999999996</v>
      </c>
      <c r="L174" s="482">
        <v>0.67879999999999996</v>
      </c>
      <c r="M174" s="482">
        <v>0.67879999999999996</v>
      </c>
    </row>
    <row r="175" spans="1:13">
      <c r="A175" s="479">
        <v>7.1</v>
      </c>
      <c r="B175" s="482">
        <v>0.86939999999999995</v>
      </c>
      <c r="C175" s="482">
        <v>0.86939999999999995</v>
      </c>
      <c r="D175" s="482">
        <v>0.77039999999999997</v>
      </c>
      <c r="E175" s="482">
        <v>0.77039999999999997</v>
      </c>
      <c r="F175" s="482">
        <v>0.77039999999999997</v>
      </c>
      <c r="G175" s="482">
        <v>0.77039999999999997</v>
      </c>
      <c r="H175" s="482">
        <v>0.77039999999999997</v>
      </c>
      <c r="I175" s="482">
        <v>0.67669999999999997</v>
      </c>
      <c r="J175" s="482">
        <v>0.67669999999999997</v>
      </c>
      <c r="K175" s="482">
        <v>0.67669999999999997</v>
      </c>
      <c r="L175" s="482">
        <v>0.67669999999999997</v>
      </c>
      <c r="M175" s="482">
        <v>0.67669999999999997</v>
      </c>
    </row>
    <row r="176" spans="1:13">
      <c r="A176" s="479">
        <v>7.2</v>
      </c>
      <c r="B176" s="482">
        <v>0.86770000000000003</v>
      </c>
      <c r="C176" s="482">
        <v>0.86770000000000003</v>
      </c>
      <c r="D176" s="482">
        <v>0.76870000000000005</v>
      </c>
      <c r="E176" s="482">
        <v>0.76870000000000005</v>
      </c>
      <c r="F176" s="482">
        <v>0.76870000000000005</v>
      </c>
      <c r="G176" s="482">
        <v>0.76870000000000005</v>
      </c>
      <c r="H176" s="482">
        <v>0.76870000000000005</v>
      </c>
      <c r="I176" s="482">
        <v>0.67469999999999997</v>
      </c>
      <c r="J176" s="482">
        <v>0.67469999999999997</v>
      </c>
      <c r="K176" s="482">
        <v>0.67469999999999997</v>
      </c>
      <c r="L176" s="482">
        <v>0.67469999999999997</v>
      </c>
      <c r="M176" s="482">
        <v>0.67469999999999997</v>
      </c>
    </row>
    <row r="177" spans="1:13">
      <c r="A177" s="479">
        <v>7.3</v>
      </c>
      <c r="B177" s="482">
        <v>0.86609999999999998</v>
      </c>
      <c r="C177" s="482">
        <v>0.86609999999999998</v>
      </c>
      <c r="D177" s="482">
        <v>0.76700000000000002</v>
      </c>
      <c r="E177" s="482">
        <v>0.76700000000000002</v>
      </c>
      <c r="F177" s="482">
        <v>0.76700000000000002</v>
      </c>
      <c r="G177" s="482">
        <v>0.76700000000000002</v>
      </c>
      <c r="H177" s="482">
        <v>0.76700000000000002</v>
      </c>
      <c r="I177" s="482">
        <v>0.67269999999999996</v>
      </c>
      <c r="J177" s="482">
        <v>0.67269999999999996</v>
      </c>
      <c r="K177" s="482">
        <v>0.67269999999999996</v>
      </c>
      <c r="L177" s="482">
        <v>0.67269999999999996</v>
      </c>
      <c r="M177" s="482">
        <v>0.67269999999999996</v>
      </c>
    </row>
    <row r="178" spans="1:13">
      <c r="A178" s="479">
        <v>7.4</v>
      </c>
      <c r="B178" s="482">
        <v>0.86450000000000005</v>
      </c>
      <c r="C178" s="482">
        <v>0.86450000000000005</v>
      </c>
      <c r="D178" s="482">
        <v>0.76529999999999998</v>
      </c>
      <c r="E178" s="482">
        <v>0.76529999999999998</v>
      </c>
      <c r="F178" s="482">
        <v>0.76529999999999998</v>
      </c>
      <c r="G178" s="482">
        <v>0.76529999999999998</v>
      </c>
      <c r="H178" s="482">
        <v>0.76529999999999998</v>
      </c>
      <c r="I178" s="482">
        <v>0.67079999999999995</v>
      </c>
      <c r="J178" s="482">
        <v>0.67079999999999995</v>
      </c>
      <c r="K178" s="482">
        <v>0.67079999999999995</v>
      </c>
      <c r="L178" s="482">
        <v>0.67079999999999995</v>
      </c>
      <c r="M178" s="482">
        <v>0.67079999999999995</v>
      </c>
    </row>
    <row r="179" spans="1:13">
      <c r="A179" s="479">
        <v>7.5</v>
      </c>
      <c r="B179" s="482">
        <v>0.86299999999999999</v>
      </c>
      <c r="C179" s="482">
        <v>0.86299999999999999</v>
      </c>
      <c r="D179" s="482">
        <v>0.76359999999999995</v>
      </c>
      <c r="E179" s="482">
        <v>0.76359999999999995</v>
      </c>
      <c r="F179" s="482">
        <v>0.76359999999999995</v>
      </c>
      <c r="G179" s="482">
        <v>0.76359999999999995</v>
      </c>
      <c r="H179" s="482">
        <v>0.76359999999999995</v>
      </c>
      <c r="I179" s="482">
        <v>0.66890000000000005</v>
      </c>
      <c r="J179" s="482">
        <v>0.66890000000000005</v>
      </c>
      <c r="K179" s="482">
        <v>0.66890000000000005</v>
      </c>
      <c r="L179" s="482">
        <v>0.66890000000000005</v>
      </c>
      <c r="M179" s="482">
        <v>0.66890000000000005</v>
      </c>
    </row>
    <row r="180" spans="1:13">
      <c r="A180" s="479">
        <v>7.6</v>
      </c>
      <c r="B180" s="482">
        <v>0.86150000000000004</v>
      </c>
      <c r="C180" s="482">
        <v>0.86150000000000004</v>
      </c>
      <c r="D180" s="482">
        <v>0.76200000000000001</v>
      </c>
      <c r="E180" s="482">
        <v>0.76200000000000001</v>
      </c>
      <c r="F180" s="482">
        <v>0.76200000000000001</v>
      </c>
      <c r="G180" s="482">
        <v>0.76200000000000001</v>
      </c>
      <c r="H180" s="482">
        <v>0.76200000000000001</v>
      </c>
      <c r="I180" s="482">
        <v>0.66700000000000004</v>
      </c>
      <c r="J180" s="482">
        <v>0.66700000000000004</v>
      </c>
      <c r="K180" s="482">
        <v>0.66700000000000004</v>
      </c>
      <c r="L180" s="482">
        <v>0.66700000000000004</v>
      </c>
      <c r="M180" s="482">
        <v>0.66700000000000004</v>
      </c>
    </row>
    <row r="181" spans="1:13">
      <c r="A181" s="479">
        <v>7.7</v>
      </c>
      <c r="B181" s="482">
        <v>0.86</v>
      </c>
      <c r="C181" s="482">
        <v>0.86</v>
      </c>
      <c r="D181" s="482">
        <v>0.76039999999999996</v>
      </c>
      <c r="E181" s="482">
        <v>0.76039999999999996</v>
      </c>
      <c r="F181" s="482">
        <v>0.76039999999999996</v>
      </c>
      <c r="G181" s="482">
        <v>0.76039999999999996</v>
      </c>
      <c r="H181" s="482">
        <v>0.76039999999999996</v>
      </c>
      <c r="I181" s="482">
        <v>0.66510000000000002</v>
      </c>
      <c r="J181" s="482">
        <v>0.66510000000000002</v>
      </c>
      <c r="K181" s="482">
        <v>0.66510000000000002</v>
      </c>
      <c r="L181" s="482">
        <v>0.66510000000000002</v>
      </c>
      <c r="M181" s="482">
        <v>0.66510000000000002</v>
      </c>
    </row>
    <row r="182" spans="1:13">
      <c r="A182" s="479">
        <v>7.8</v>
      </c>
      <c r="B182" s="482">
        <v>0.85850000000000004</v>
      </c>
      <c r="C182" s="482">
        <v>0.85850000000000004</v>
      </c>
      <c r="D182" s="482">
        <v>0.75880000000000003</v>
      </c>
      <c r="E182" s="482">
        <v>0.75880000000000003</v>
      </c>
      <c r="F182" s="482">
        <v>0.75880000000000003</v>
      </c>
      <c r="G182" s="482">
        <v>0.75880000000000003</v>
      </c>
      <c r="H182" s="482">
        <v>0.75880000000000003</v>
      </c>
      <c r="I182" s="482">
        <v>0.6633</v>
      </c>
      <c r="J182" s="482">
        <v>0.6633</v>
      </c>
      <c r="K182" s="482">
        <v>0.6633</v>
      </c>
      <c r="L182" s="482">
        <v>0.6633</v>
      </c>
      <c r="M182" s="482">
        <v>0.6633</v>
      </c>
    </row>
    <row r="183" spans="1:13">
      <c r="A183" s="479">
        <v>7.9</v>
      </c>
      <c r="B183" s="482">
        <v>0.85699999999999998</v>
      </c>
      <c r="C183" s="482">
        <v>0.85699999999999998</v>
      </c>
      <c r="D183" s="482">
        <v>0.75719999999999998</v>
      </c>
      <c r="E183" s="482">
        <v>0.75719999999999998</v>
      </c>
      <c r="F183" s="482">
        <v>0.75719999999999998</v>
      </c>
      <c r="G183" s="482">
        <v>0.75719999999999998</v>
      </c>
      <c r="H183" s="482">
        <v>0.75719999999999998</v>
      </c>
      <c r="I183" s="482">
        <v>0.66149999999999998</v>
      </c>
      <c r="J183" s="482">
        <v>0.66149999999999998</v>
      </c>
      <c r="K183" s="482">
        <v>0.66149999999999998</v>
      </c>
      <c r="L183" s="482">
        <v>0.66149999999999998</v>
      </c>
      <c r="M183" s="482">
        <v>0.66149999999999998</v>
      </c>
    </row>
    <row r="184" spans="1:13">
      <c r="A184" s="479">
        <v>8</v>
      </c>
      <c r="B184" s="482">
        <v>0.85550000000000004</v>
      </c>
      <c r="C184" s="482">
        <v>0.85550000000000004</v>
      </c>
      <c r="D184" s="482">
        <v>0.75570000000000004</v>
      </c>
      <c r="E184" s="482">
        <v>0.75570000000000004</v>
      </c>
      <c r="F184" s="482">
        <v>0.75570000000000004</v>
      </c>
      <c r="G184" s="482">
        <v>0.75570000000000004</v>
      </c>
      <c r="H184" s="482">
        <v>0.75570000000000004</v>
      </c>
      <c r="I184" s="482">
        <v>0.65969999999999995</v>
      </c>
      <c r="J184" s="482">
        <v>0.65969999999999995</v>
      </c>
      <c r="K184" s="482">
        <v>0.65969999999999995</v>
      </c>
      <c r="L184" s="482">
        <v>0.65969999999999995</v>
      </c>
      <c r="M184" s="482">
        <v>0.65969999999999995</v>
      </c>
    </row>
    <row r="185" spans="1:13">
      <c r="A185" s="479">
        <v>8.1</v>
      </c>
      <c r="B185" s="482">
        <v>0.85399999999999998</v>
      </c>
      <c r="C185" s="482">
        <v>0.85399999999999998</v>
      </c>
      <c r="D185" s="482">
        <v>0.75419999999999998</v>
      </c>
      <c r="E185" s="482">
        <v>0.75419999999999998</v>
      </c>
      <c r="F185" s="482">
        <v>0.75419999999999998</v>
      </c>
      <c r="G185" s="482">
        <v>0.75419999999999998</v>
      </c>
      <c r="H185" s="482">
        <v>0.75419999999999998</v>
      </c>
      <c r="I185" s="482">
        <v>0.65800000000000003</v>
      </c>
      <c r="J185" s="482">
        <v>0.65800000000000003</v>
      </c>
      <c r="K185" s="482">
        <v>0.65800000000000003</v>
      </c>
      <c r="L185" s="482">
        <v>0.65800000000000003</v>
      </c>
      <c r="M185" s="482">
        <v>0.65800000000000003</v>
      </c>
    </row>
    <row r="186" spans="1:13">
      <c r="A186" s="479">
        <v>8.1999999999999993</v>
      </c>
      <c r="B186" s="482">
        <v>0.85250000000000004</v>
      </c>
      <c r="C186" s="482">
        <v>0.85250000000000004</v>
      </c>
      <c r="D186" s="482">
        <v>0.75270000000000004</v>
      </c>
      <c r="E186" s="482">
        <v>0.75270000000000004</v>
      </c>
      <c r="F186" s="482">
        <v>0.75270000000000004</v>
      </c>
      <c r="G186" s="482">
        <v>0.75270000000000004</v>
      </c>
      <c r="H186" s="482">
        <v>0.75270000000000004</v>
      </c>
      <c r="I186" s="482">
        <v>0.65629999999999999</v>
      </c>
      <c r="J186" s="482">
        <v>0.65629999999999999</v>
      </c>
      <c r="K186" s="482">
        <v>0.65629999999999999</v>
      </c>
      <c r="L186" s="482">
        <v>0.65629999999999999</v>
      </c>
      <c r="M186" s="482">
        <v>0.65629999999999999</v>
      </c>
    </row>
    <row r="187" spans="1:13">
      <c r="A187" s="479">
        <v>8.3000000000000007</v>
      </c>
      <c r="B187" s="482">
        <v>0.85109999999999997</v>
      </c>
      <c r="C187" s="482">
        <v>0.85109999999999997</v>
      </c>
      <c r="D187" s="482">
        <v>0.75119999999999998</v>
      </c>
      <c r="E187" s="482">
        <v>0.75119999999999998</v>
      </c>
      <c r="F187" s="482">
        <v>0.75119999999999998</v>
      </c>
      <c r="G187" s="482">
        <v>0.75119999999999998</v>
      </c>
      <c r="H187" s="482">
        <v>0.75119999999999998</v>
      </c>
      <c r="I187" s="482">
        <v>0.65459999999999996</v>
      </c>
      <c r="J187" s="482">
        <v>0.65459999999999996</v>
      </c>
      <c r="K187" s="482">
        <v>0.65459999999999996</v>
      </c>
      <c r="L187" s="482">
        <v>0.65459999999999996</v>
      </c>
      <c r="M187" s="482">
        <v>0.65459999999999996</v>
      </c>
    </row>
    <row r="188" spans="1:13">
      <c r="A188" s="479">
        <v>8.4</v>
      </c>
      <c r="B188" s="482">
        <v>0.84970000000000001</v>
      </c>
      <c r="C188" s="482">
        <v>0.84970000000000001</v>
      </c>
      <c r="D188" s="482">
        <v>0.74970000000000003</v>
      </c>
      <c r="E188" s="482">
        <v>0.74970000000000003</v>
      </c>
      <c r="F188" s="482">
        <v>0.74970000000000003</v>
      </c>
      <c r="G188" s="482">
        <v>0.74970000000000003</v>
      </c>
      <c r="H188" s="482">
        <v>0.74970000000000003</v>
      </c>
      <c r="I188" s="482">
        <v>0.65300000000000002</v>
      </c>
      <c r="J188" s="482">
        <v>0.65300000000000002</v>
      </c>
      <c r="K188" s="482">
        <v>0.65300000000000002</v>
      </c>
      <c r="L188" s="482">
        <v>0.65300000000000002</v>
      </c>
      <c r="M188" s="482">
        <v>0.65300000000000002</v>
      </c>
    </row>
    <row r="189" spans="1:13">
      <c r="A189" s="479">
        <v>8.5</v>
      </c>
      <c r="B189" s="482">
        <v>0.84830000000000005</v>
      </c>
      <c r="C189" s="482">
        <v>0.84830000000000005</v>
      </c>
      <c r="D189" s="482">
        <v>0.74819999999999998</v>
      </c>
      <c r="E189" s="482">
        <v>0.74819999999999998</v>
      </c>
      <c r="F189" s="482">
        <v>0.74819999999999998</v>
      </c>
      <c r="G189" s="482">
        <v>0.74819999999999998</v>
      </c>
      <c r="H189" s="482">
        <v>0.74819999999999998</v>
      </c>
      <c r="I189" s="482">
        <v>0.65139999999999998</v>
      </c>
      <c r="J189" s="482">
        <v>0.65139999999999998</v>
      </c>
      <c r="K189" s="482">
        <v>0.65139999999999998</v>
      </c>
      <c r="L189" s="482">
        <v>0.65139999999999998</v>
      </c>
      <c r="M189" s="482">
        <v>0.65139999999999998</v>
      </c>
    </row>
    <row r="190" spans="1:13">
      <c r="A190" s="479">
        <v>8.6</v>
      </c>
      <c r="B190" s="482">
        <v>0.84689999999999999</v>
      </c>
      <c r="C190" s="482">
        <v>0.84689999999999999</v>
      </c>
      <c r="D190" s="482">
        <v>0.74670000000000003</v>
      </c>
      <c r="E190" s="482">
        <v>0.74670000000000003</v>
      </c>
      <c r="F190" s="482">
        <v>0.74670000000000003</v>
      </c>
      <c r="G190" s="482">
        <v>0.74670000000000003</v>
      </c>
      <c r="H190" s="482">
        <v>0.74670000000000003</v>
      </c>
      <c r="I190" s="482">
        <v>0.64980000000000004</v>
      </c>
      <c r="J190" s="482">
        <v>0.64980000000000004</v>
      </c>
      <c r="K190" s="482">
        <v>0.64980000000000004</v>
      </c>
      <c r="L190" s="482">
        <v>0.64980000000000004</v>
      </c>
      <c r="M190" s="482">
        <v>0.64980000000000004</v>
      </c>
    </row>
    <row r="191" spans="1:13">
      <c r="A191" s="479">
        <v>8.6999999999999993</v>
      </c>
      <c r="B191" s="482">
        <v>0.84550000000000003</v>
      </c>
      <c r="C191" s="482">
        <v>0.84550000000000003</v>
      </c>
      <c r="D191" s="482">
        <v>0.74519999999999997</v>
      </c>
      <c r="E191" s="482">
        <v>0.74519999999999997</v>
      </c>
      <c r="F191" s="482">
        <v>0.74519999999999997</v>
      </c>
      <c r="G191" s="482">
        <v>0.74519999999999997</v>
      </c>
      <c r="H191" s="482">
        <v>0.74519999999999997</v>
      </c>
      <c r="I191" s="482">
        <v>0.6482</v>
      </c>
      <c r="J191" s="482">
        <v>0.6482</v>
      </c>
      <c r="K191" s="482">
        <v>0.6482</v>
      </c>
      <c r="L191" s="482">
        <v>0.6482</v>
      </c>
      <c r="M191" s="482">
        <v>0.6482</v>
      </c>
    </row>
    <row r="192" spans="1:13">
      <c r="A192" s="479">
        <v>8.8000000000000007</v>
      </c>
      <c r="B192" s="482">
        <v>0.84409999999999996</v>
      </c>
      <c r="C192" s="482">
        <v>0.84409999999999996</v>
      </c>
      <c r="D192" s="482">
        <v>0.74370000000000003</v>
      </c>
      <c r="E192" s="482">
        <v>0.74370000000000003</v>
      </c>
      <c r="F192" s="482">
        <v>0.74370000000000003</v>
      </c>
      <c r="G192" s="482">
        <v>0.74370000000000003</v>
      </c>
      <c r="H192" s="482">
        <v>0.74370000000000003</v>
      </c>
      <c r="I192" s="482">
        <v>0.64659999999999995</v>
      </c>
      <c r="J192" s="482">
        <v>0.64659999999999995</v>
      </c>
      <c r="K192" s="482">
        <v>0.64659999999999995</v>
      </c>
      <c r="L192" s="482">
        <v>0.64659999999999995</v>
      </c>
      <c r="M192" s="482">
        <v>0.64659999999999995</v>
      </c>
    </row>
    <row r="193" spans="1:13">
      <c r="A193" s="479">
        <v>8.9</v>
      </c>
      <c r="B193" s="482">
        <v>0.84279999999999999</v>
      </c>
      <c r="C193" s="482">
        <v>0.84279999999999999</v>
      </c>
      <c r="D193" s="482">
        <v>0.74219999999999997</v>
      </c>
      <c r="E193" s="482">
        <v>0.74219999999999997</v>
      </c>
      <c r="F193" s="482">
        <v>0.74219999999999997</v>
      </c>
      <c r="G193" s="482">
        <v>0.74219999999999997</v>
      </c>
      <c r="H193" s="482">
        <v>0.74219999999999997</v>
      </c>
      <c r="I193" s="482">
        <v>0.64500000000000002</v>
      </c>
      <c r="J193" s="482">
        <v>0.64500000000000002</v>
      </c>
      <c r="K193" s="482">
        <v>0.64500000000000002</v>
      </c>
      <c r="L193" s="482">
        <v>0.64500000000000002</v>
      </c>
      <c r="M193" s="482">
        <v>0.64500000000000002</v>
      </c>
    </row>
    <row r="194" spans="1:13">
      <c r="A194" s="483">
        <v>9</v>
      </c>
      <c r="B194" s="482">
        <v>0.84150000000000003</v>
      </c>
      <c r="C194" s="482">
        <v>0.84150000000000003</v>
      </c>
      <c r="D194" s="482">
        <v>0.74070000000000003</v>
      </c>
      <c r="E194" s="482">
        <v>0.74070000000000003</v>
      </c>
      <c r="F194" s="482">
        <v>0.74070000000000003</v>
      </c>
      <c r="G194" s="482">
        <v>0.74070000000000003</v>
      </c>
      <c r="H194" s="482">
        <v>0.74070000000000003</v>
      </c>
      <c r="I194" s="482">
        <v>0.64349999999999996</v>
      </c>
      <c r="J194" s="482">
        <v>0.64349999999999996</v>
      </c>
      <c r="K194" s="482">
        <v>0.64349999999999996</v>
      </c>
      <c r="L194" s="482">
        <v>0.64349999999999996</v>
      </c>
      <c r="M194" s="482">
        <v>0.64349999999999996</v>
      </c>
    </row>
    <row r="195" spans="1:13">
      <c r="A195" s="483">
        <v>9.1</v>
      </c>
      <c r="B195" s="482">
        <v>0.84019999999999995</v>
      </c>
      <c r="C195" s="482">
        <v>0.84019999999999995</v>
      </c>
      <c r="D195" s="482">
        <v>0.73919999999999997</v>
      </c>
      <c r="E195" s="482">
        <v>0.73919999999999997</v>
      </c>
      <c r="F195" s="482">
        <v>0.73919999999999997</v>
      </c>
      <c r="G195" s="482">
        <v>0.73919999999999997</v>
      </c>
      <c r="H195" s="482">
        <v>0.73919999999999997</v>
      </c>
      <c r="I195" s="482">
        <v>0.64200000000000002</v>
      </c>
      <c r="J195" s="482">
        <v>0.64200000000000002</v>
      </c>
      <c r="K195" s="482">
        <v>0.64200000000000002</v>
      </c>
      <c r="L195" s="482">
        <v>0.64200000000000002</v>
      </c>
      <c r="M195" s="482">
        <v>0.64200000000000002</v>
      </c>
    </row>
    <row r="196" spans="1:13">
      <c r="A196" s="483">
        <v>9.1999999999999993</v>
      </c>
      <c r="B196" s="482">
        <v>0.83889999999999998</v>
      </c>
      <c r="C196" s="482">
        <v>0.83889999999999998</v>
      </c>
      <c r="D196" s="482">
        <v>0.73770000000000002</v>
      </c>
      <c r="E196" s="482">
        <v>0.73770000000000002</v>
      </c>
      <c r="F196" s="482">
        <v>0.73770000000000002</v>
      </c>
      <c r="G196" s="482">
        <v>0.73770000000000002</v>
      </c>
      <c r="H196" s="482">
        <v>0.73770000000000002</v>
      </c>
      <c r="I196" s="482">
        <v>0.64059999999999995</v>
      </c>
      <c r="J196" s="482">
        <v>0.64059999999999995</v>
      </c>
      <c r="K196" s="482">
        <v>0.64059999999999995</v>
      </c>
      <c r="L196" s="482">
        <v>0.64059999999999995</v>
      </c>
      <c r="M196" s="482">
        <v>0.64059999999999995</v>
      </c>
    </row>
    <row r="197" spans="1:13">
      <c r="A197" s="483">
        <v>9.3000000000000007</v>
      </c>
      <c r="B197" s="482">
        <v>0.83760000000000001</v>
      </c>
      <c r="C197" s="482">
        <v>0.83760000000000001</v>
      </c>
      <c r="D197" s="482">
        <v>0.73629999999999995</v>
      </c>
      <c r="E197" s="482">
        <v>0.73629999999999995</v>
      </c>
      <c r="F197" s="482">
        <v>0.73629999999999995</v>
      </c>
      <c r="G197" s="482">
        <v>0.73629999999999995</v>
      </c>
      <c r="H197" s="482">
        <v>0.73629999999999995</v>
      </c>
      <c r="I197" s="482">
        <v>0.63919999999999999</v>
      </c>
      <c r="J197" s="482">
        <v>0.63919999999999999</v>
      </c>
      <c r="K197" s="482">
        <v>0.63919999999999999</v>
      </c>
      <c r="L197" s="482">
        <v>0.63919999999999999</v>
      </c>
      <c r="M197" s="482">
        <v>0.63919999999999999</v>
      </c>
    </row>
    <row r="198" spans="1:13">
      <c r="A198" s="483">
        <v>9.4</v>
      </c>
      <c r="B198" s="482">
        <v>0.83630000000000004</v>
      </c>
      <c r="C198" s="482">
        <v>0.83630000000000004</v>
      </c>
      <c r="D198" s="482">
        <v>0.7349</v>
      </c>
      <c r="E198" s="482">
        <v>0.7349</v>
      </c>
      <c r="F198" s="482">
        <v>0.7349</v>
      </c>
      <c r="G198" s="482">
        <v>0.7349</v>
      </c>
      <c r="H198" s="482">
        <v>0.7349</v>
      </c>
      <c r="I198" s="482">
        <v>0.63780000000000003</v>
      </c>
      <c r="J198" s="482">
        <v>0.63780000000000003</v>
      </c>
      <c r="K198" s="482">
        <v>0.63780000000000003</v>
      </c>
      <c r="L198" s="482">
        <v>0.63780000000000003</v>
      </c>
      <c r="M198" s="482">
        <v>0.63780000000000003</v>
      </c>
    </row>
    <row r="199" spans="1:13">
      <c r="A199" s="483">
        <v>9.5</v>
      </c>
      <c r="B199" s="482">
        <v>0.83499999999999996</v>
      </c>
      <c r="C199" s="482">
        <v>0.83499999999999996</v>
      </c>
      <c r="D199" s="482">
        <v>0.73350000000000004</v>
      </c>
      <c r="E199" s="482">
        <v>0.73350000000000004</v>
      </c>
      <c r="F199" s="482">
        <v>0.73350000000000004</v>
      </c>
      <c r="G199" s="482">
        <v>0.73350000000000004</v>
      </c>
      <c r="H199" s="482">
        <v>0.73350000000000004</v>
      </c>
      <c r="I199" s="482">
        <v>0.63639999999999997</v>
      </c>
      <c r="J199" s="482">
        <v>0.63639999999999997</v>
      </c>
      <c r="K199" s="482">
        <v>0.63639999999999997</v>
      </c>
      <c r="L199" s="482">
        <v>0.63639999999999997</v>
      </c>
      <c r="M199" s="482">
        <v>0.63639999999999997</v>
      </c>
    </row>
    <row r="200" spans="1:13">
      <c r="A200" s="483">
        <v>9.6</v>
      </c>
      <c r="B200" s="482">
        <v>0.83379999999999999</v>
      </c>
      <c r="C200" s="482">
        <v>0.83379999999999999</v>
      </c>
      <c r="D200" s="482">
        <v>0.73209999999999997</v>
      </c>
      <c r="E200" s="482">
        <v>0.73209999999999997</v>
      </c>
      <c r="F200" s="482">
        <v>0.73209999999999997</v>
      </c>
      <c r="G200" s="482">
        <v>0.73209999999999997</v>
      </c>
      <c r="H200" s="482">
        <v>0.73209999999999997</v>
      </c>
      <c r="I200" s="482">
        <v>0.63500000000000001</v>
      </c>
      <c r="J200" s="482">
        <v>0.63500000000000001</v>
      </c>
      <c r="K200" s="482">
        <v>0.63500000000000001</v>
      </c>
      <c r="L200" s="482">
        <v>0.63500000000000001</v>
      </c>
      <c r="M200" s="482">
        <v>0.63500000000000001</v>
      </c>
    </row>
    <row r="201" spans="1:13">
      <c r="A201" s="483">
        <v>9.6999999999999993</v>
      </c>
      <c r="B201" s="482">
        <v>0.83260000000000001</v>
      </c>
      <c r="C201" s="482">
        <v>0.83260000000000001</v>
      </c>
      <c r="D201" s="482">
        <v>0.73070000000000002</v>
      </c>
      <c r="E201" s="482">
        <v>0.73070000000000002</v>
      </c>
      <c r="F201" s="482">
        <v>0.73070000000000002</v>
      </c>
      <c r="G201" s="482">
        <v>0.73070000000000002</v>
      </c>
      <c r="H201" s="482">
        <v>0.73070000000000002</v>
      </c>
      <c r="I201" s="482">
        <v>0.63360000000000005</v>
      </c>
      <c r="J201" s="482">
        <v>0.63360000000000005</v>
      </c>
      <c r="K201" s="482">
        <v>0.63360000000000005</v>
      </c>
      <c r="L201" s="482">
        <v>0.63360000000000005</v>
      </c>
      <c r="M201" s="482">
        <v>0.63360000000000005</v>
      </c>
    </row>
    <row r="202" spans="1:13">
      <c r="A202" s="483">
        <v>9.8000000000000007</v>
      </c>
      <c r="B202" s="482">
        <v>0.83140000000000003</v>
      </c>
      <c r="C202" s="482">
        <v>0.83140000000000003</v>
      </c>
      <c r="D202" s="482">
        <v>0.72929999999999995</v>
      </c>
      <c r="E202" s="482">
        <v>0.72929999999999995</v>
      </c>
      <c r="F202" s="482">
        <v>0.72929999999999995</v>
      </c>
      <c r="G202" s="482">
        <v>0.72929999999999995</v>
      </c>
      <c r="H202" s="482">
        <v>0.72929999999999995</v>
      </c>
      <c r="I202" s="482">
        <v>0.63219999999999998</v>
      </c>
      <c r="J202" s="482">
        <v>0.63219999999999998</v>
      </c>
      <c r="K202" s="482">
        <v>0.63219999999999998</v>
      </c>
      <c r="L202" s="482">
        <v>0.63219999999999998</v>
      </c>
      <c r="M202" s="482">
        <v>0.63219999999999998</v>
      </c>
    </row>
    <row r="203" spans="1:13">
      <c r="A203" s="483">
        <v>9.9</v>
      </c>
      <c r="B203" s="482">
        <v>0.83020000000000005</v>
      </c>
      <c r="C203" s="482">
        <v>0.83020000000000005</v>
      </c>
      <c r="D203" s="482">
        <v>0.72799999999999998</v>
      </c>
      <c r="E203" s="482">
        <v>0.72799999999999998</v>
      </c>
      <c r="F203" s="482">
        <v>0.72799999999999998</v>
      </c>
      <c r="G203" s="482">
        <v>0.72799999999999998</v>
      </c>
      <c r="H203" s="482">
        <v>0.72799999999999998</v>
      </c>
      <c r="I203" s="482">
        <v>0.63080000000000003</v>
      </c>
      <c r="J203" s="482">
        <v>0.63080000000000003</v>
      </c>
      <c r="K203" s="482">
        <v>0.63080000000000003</v>
      </c>
      <c r="L203" s="482">
        <v>0.63080000000000003</v>
      </c>
      <c r="M203" s="482">
        <v>0.63080000000000003</v>
      </c>
    </row>
    <row r="204" spans="1:13">
      <c r="A204" s="483">
        <v>10</v>
      </c>
      <c r="B204" s="482">
        <v>0.82899999999999996</v>
      </c>
      <c r="C204" s="482">
        <v>0.82899999999999996</v>
      </c>
      <c r="D204" s="482">
        <v>0.72670000000000001</v>
      </c>
      <c r="E204" s="482">
        <v>0.72670000000000001</v>
      </c>
      <c r="F204" s="482">
        <v>0.72670000000000001</v>
      </c>
      <c r="G204" s="482">
        <v>0.72670000000000001</v>
      </c>
      <c r="H204" s="482">
        <v>0.72670000000000001</v>
      </c>
      <c r="I204" s="482">
        <v>0.62939999999999996</v>
      </c>
      <c r="J204" s="482">
        <v>0.62939999999999996</v>
      </c>
      <c r="K204" s="482">
        <v>0.62939999999999996</v>
      </c>
      <c r="L204" s="482">
        <v>0.62939999999999996</v>
      </c>
      <c r="M204" s="482">
        <v>0.62939999999999996</v>
      </c>
    </row>
    <row r="205" spans="1:13" ht="14.25">
      <c r="A205" s="477" t="s">
        <v>2404</v>
      </c>
      <c r="B205" s="478"/>
      <c r="C205" s="478"/>
      <c r="D205" s="478"/>
      <c r="E205" s="478"/>
      <c r="F205" s="478"/>
      <c r="G205" s="478"/>
      <c r="H205" s="478"/>
      <c r="I205" s="478"/>
      <c r="J205" s="478"/>
      <c r="K205" s="478"/>
      <c r="L205" s="478"/>
      <c r="M205" s="478"/>
    </row>
    <row r="206" spans="1:13">
      <c r="A206" s="479" t="s">
        <v>1065</v>
      </c>
      <c r="B206" s="480" t="s">
        <v>230</v>
      </c>
      <c r="C206" s="480" t="s">
        <v>241</v>
      </c>
      <c r="D206" s="480" t="s">
        <v>251</v>
      </c>
      <c r="E206" s="480" t="s">
        <v>259</v>
      </c>
      <c r="F206" s="480" t="s">
        <v>267</v>
      </c>
      <c r="G206" s="480" t="s">
        <v>273</v>
      </c>
      <c r="H206" s="481" t="s">
        <v>278</v>
      </c>
      <c r="I206" s="481" t="s">
        <v>283</v>
      </c>
      <c r="J206" s="484" t="s">
        <v>286</v>
      </c>
      <c r="K206" s="484" t="s">
        <v>289</v>
      </c>
      <c r="L206" s="484" t="s">
        <v>292</v>
      </c>
      <c r="M206" s="484" t="s">
        <v>295</v>
      </c>
    </row>
    <row r="207" spans="1:13">
      <c r="A207" s="479">
        <v>0.1</v>
      </c>
      <c r="B207" s="482">
        <v>12.172000000000001</v>
      </c>
      <c r="C207" s="482">
        <v>12.172000000000001</v>
      </c>
      <c r="D207" s="482">
        <v>12.375999999999999</v>
      </c>
      <c r="E207" s="482">
        <v>12.375999999999999</v>
      </c>
      <c r="F207" s="482">
        <v>12.375999999999999</v>
      </c>
      <c r="G207" s="482">
        <v>12.375999999999999</v>
      </c>
      <c r="H207" s="482">
        <v>12.375999999999999</v>
      </c>
      <c r="I207" s="482">
        <v>11.071999999999999</v>
      </c>
      <c r="J207" s="482">
        <v>11.071999999999999</v>
      </c>
      <c r="K207" s="482">
        <v>11.071999999999999</v>
      </c>
      <c r="L207" s="482">
        <v>11.071999999999999</v>
      </c>
      <c r="M207" s="482">
        <v>11.071999999999999</v>
      </c>
    </row>
    <row r="208" spans="1:13">
      <c r="A208" s="479">
        <v>0.2</v>
      </c>
      <c r="B208" s="482">
        <v>6.0860000000000003</v>
      </c>
      <c r="C208" s="482">
        <v>6.0860000000000003</v>
      </c>
      <c r="D208" s="482">
        <v>6.1879999999999997</v>
      </c>
      <c r="E208" s="482">
        <v>6.1879999999999997</v>
      </c>
      <c r="F208" s="482">
        <v>6.1879999999999997</v>
      </c>
      <c r="G208" s="482">
        <v>6.1879999999999997</v>
      </c>
      <c r="H208" s="482">
        <v>6.1879999999999997</v>
      </c>
      <c r="I208" s="482">
        <v>5.5359999999999996</v>
      </c>
      <c r="J208" s="482">
        <v>5.5359999999999996</v>
      </c>
      <c r="K208" s="482">
        <v>5.5359999999999996</v>
      </c>
      <c r="L208" s="482">
        <v>5.5359999999999996</v>
      </c>
      <c r="M208" s="482">
        <v>5.5359999999999996</v>
      </c>
    </row>
    <row r="209" spans="1:13">
      <c r="A209" s="479">
        <v>0.3</v>
      </c>
      <c r="B209" s="482">
        <v>4.0572999999999997</v>
      </c>
      <c r="C209" s="482">
        <v>4.0572999999999997</v>
      </c>
      <c r="D209" s="482">
        <v>4.1253000000000002</v>
      </c>
      <c r="E209" s="482">
        <v>4.1253000000000002</v>
      </c>
      <c r="F209" s="482">
        <v>4.1253000000000002</v>
      </c>
      <c r="G209" s="482">
        <v>4.1253000000000002</v>
      </c>
      <c r="H209" s="482">
        <v>4.1253000000000002</v>
      </c>
      <c r="I209" s="482">
        <v>3.6907000000000001</v>
      </c>
      <c r="J209" s="482">
        <v>3.6907000000000001</v>
      </c>
      <c r="K209" s="482">
        <v>3.6907000000000001</v>
      </c>
      <c r="L209" s="482">
        <v>3.6907000000000001</v>
      </c>
      <c r="M209" s="482">
        <v>3.6907000000000001</v>
      </c>
    </row>
    <row r="210" spans="1:13">
      <c r="A210" s="479">
        <v>0.4</v>
      </c>
      <c r="B210" s="482">
        <v>3.0430000000000001</v>
      </c>
      <c r="C210" s="482">
        <v>3.0430000000000001</v>
      </c>
      <c r="D210" s="482">
        <v>3.0939999999999999</v>
      </c>
      <c r="E210" s="482">
        <v>3.0939999999999999</v>
      </c>
      <c r="F210" s="482">
        <v>3.0939999999999999</v>
      </c>
      <c r="G210" s="482">
        <v>3.0939999999999999</v>
      </c>
      <c r="H210" s="482">
        <v>3.0939999999999999</v>
      </c>
      <c r="I210" s="482">
        <v>2.7679999999999998</v>
      </c>
      <c r="J210" s="482">
        <v>2.7679999999999998</v>
      </c>
      <c r="K210" s="482">
        <v>2.7679999999999998</v>
      </c>
      <c r="L210" s="482">
        <v>2.7679999999999998</v>
      </c>
      <c r="M210" s="482">
        <v>2.7679999999999998</v>
      </c>
    </row>
    <row r="211" spans="1:13">
      <c r="A211" s="479">
        <v>0.5</v>
      </c>
      <c r="B211" s="482">
        <v>2.4344000000000001</v>
      </c>
      <c r="C211" s="482">
        <v>2.4344000000000001</v>
      </c>
      <c r="D211" s="482">
        <v>2.4752000000000001</v>
      </c>
      <c r="E211" s="482">
        <v>2.4752000000000001</v>
      </c>
      <c r="F211" s="482">
        <v>2.4752000000000001</v>
      </c>
      <c r="G211" s="482">
        <v>2.4752000000000001</v>
      </c>
      <c r="H211" s="482">
        <v>2.4752000000000001</v>
      </c>
      <c r="I211" s="482">
        <v>2.2143999999999999</v>
      </c>
      <c r="J211" s="482">
        <v>2.2143999999999999</v>
      </c>
      <c r="K211" s="482">
        <v>2.2143999999999999</v>
      </c>
      <c r="L211" s="482">
        <v>2.2143999999999999</v>
      </c>
      <c r="M211" s="482">
        <v>2.2143999999999999</v>
      </c>
    </row>
    <row r="212" spans="1:13">
      <c r="A212" s="479">
        <v>0.6</v>
      </c>
      <c r="B212" s="482">
        <v>2.0287000000000002</v>
      </c>
      <c r="C212" s="482">
        <v>2.0287000000000002</v>
      </c>
      <c r="D212" s="482">
        <v>2.0627</v>
      </c>
      <c r="E212" s="482">
        <v>2.0627</v>
      </c>
      <c r="F212" s="482">
        <v>2.0627</v>
      </c>
      <c r="G212" s="482">
        <v>2.0627</v>
      </c>
      <c r="H212" s="482">
        <v>2.0627</v>
      </c>
      <c r="I212" s="482">
        <v>1.8452999999999999</v>
      </c>
      <c r="J212" s="482">
        <v>1.8452999999999999</v>
      </c>
      <c r="K212" s="482">
        <v>1.8452999999999999</v>
      </c>
      <c r="L212" s="482">
        <v>1.8452999999999999</v>
      </c>
      <c r="M212" s="482">
        <v>1.8452999999999999</v>
      </c>
    </row>
    <row r="213" spans="1:13">
      <c r="A213" s="479">
        <v>0.7</v>
      </c>
      <c r="B213" s="482">
        <v>1.7388999999999999</v>
      </c>
      <c r="C213" s="482">
        <v>1.7388999999999999</v>
      </c>
      <c r="D213" s="482">
        <v>1.768</v>
      </c>
      <c r="E213" s="482">
        <v>1.768</v>
      </c>
      <c r="F213" s="482">
        <v>1.768</v>
      </c>
      <c r="G213" s="482">
        <v>1.768</v>
      </c>
      <c r="H213" s="482">
        <v>1.768</v>
      </c>
      <c r="I213" s="482">
        <v>1.5817000000000001</v>
      </c>
      <c r="J213" s="482">
        <v>1.5817000000000001</v>
      </c>
      <c r="K213" s="482">
        <v>1.5817000000000001</v>
      </c>
      <c r="L213" s="482">
        <v>1.5817000000000001</v>
      </c>
      <c r="M213" s="482">
        <v>1.5817000000000001</v>
      </c>
    </row>
    <row r="214" spans="1:13">
      <c r="A214" s="479">
        <v>0.8</v>
      </c>
      <c r="B214" s="482">
        <v>1.5215000000000001</v>
      </c>
      <c r="C214" s="482">
        <v>1.5215000000000001</v>
      </c>
      <c r="D214" s="482">
        <v>1.5469999999999999</v>
      </c>
      <c r="E214" s="482">
        <v>1.5469999999999999</v>
      </c>
      <c r="F214" s="482">
        <v>1.5469999999999999</v>
      </c>
      <c r="G214" s="482">
        <v>1.5469999999999999</v>
      </c>
      <c r="H214" s="482">
        <v>1.5469999999999999</v>
      </c>
      <c r="I214" s="482">
        <v>1.3839999999999999</v>
      </c>
      <c r="J214" s="482">
        <v>1.3839999999999999</v>
      </c>
      <c r="K214" s="482">
        <v>1.3839999999999999</v>
      </c>
      <c r="L214" s="482">
        <v>1.3839999999999999</v>
      </c>
      <c r="M214" s="482">
        <v>1.3839999999999999</v>
      </c>
    </row>
    <row r="215" spans="1:13">
      <c r="A215" s="479">
        <v>0.9</v>
      </c>
      <c r="B215" s="482">
        <v>1.3524</v>
      </c>
      <c r="C215" s="482">
        <v>1.3524</v>
      </c>
      <c r="D215" s="482">
        <v>1.3751</v>
      </c>
      <c r="E215" s="482">
        <v>1.3751</v>
      </c>
      <c r="F215" s="482">
        <v>1.3751</v>
      </c>
      <c r="G215" s="482">
        <v>1.3751</v>
      </c>
      <c r="H215" s="482">
        <v>1.3751</v>
      </c>
      <c r="I215" s="482">
        <v>1.2302</v>
      </c>
      <c r="J215" s="482">
        <v>1.2302</v>
      </c>
      <c r="K215" s="482">
        <v>1.2302</v>
      </c>
      <c r="L215" s="482">
        <v>1.2302</v>
      </c>
      <c r="M215" s="482">
        <v>1.2302</v>
      </c>
    </row>
    <row r="216" spans="1:13">
      <c r="A216" s="479">
        <v>1</v>
      </c>
      <c r="B216" s="482">
        <v>1.2172000000000001</v>
      </c>
      <c r="C216" s="482">
        <v>1.2172000000000001</v>
      </c>
      <c r="D216" s="482">
        <v>1.2376</v>
      </c>
      <c r="E216" s="482">
        <v>1.2376</v>
      </c>
      <c r="F216" s="482">
        <v>1.2376</v>
      </c>
      <c r="G216" s="482">
        <v>1.2376</v>
      </c>
      <c r="H216" s="482">
        <v>1.2376</v>
      </c>
      <c r="I216" s="482">
        <v>1.1072</v>
      </c>
      <c r="J216" s="482">
        <v>1.1072</v>
      </c>
      <c r="K216" s="482">
        <v>1.1072</v>
      </c>
      <c r="L216" s="482">
        <v>1.1072</v>
      </c>
      <c r="M216" s="482">
        <v>1.1072</v>
      </c>
    </row>
    <row r="217" spans="1:13">
      <c r="A217" s="479">
        <v>1.1000000000000001</v>
      </c>
      <c r="B217" s="482">
        <v>1.198</v>
      </c>
      <c r="C217" s="482">
        <v>1.198</v>
      </c>
      <c r="D217" s="482">
        <v>1.2156</v>
      </c>
      <c r="E217" s="482">
        <v>1.2156</v>
      </c>
      <c r="F217" s="482">
        <v>1.2156</v>
      </c>
      <c r="G217" s="482">
        <v>1.2156</v>
      </c>
      <c r="H217" s="482">
        <v>1.2156</v>
      </c>
      <c r="I217" s="482">
        <v>1.0829</v>
      </c>
      <c r="J217" s="482">
        <v>1.0829</v>
      </c>
      <c r="K217" s="482">
        <v>1.0829</v>
      </c>
      <c r="L217" s="482">
        <v>1.0829</v>
      </c>
      <c r="M217" s="482">
        <v>1.0829</v>
      </c>
    </row>
    <row r="218" spans="1:13">
      <c r="A218" s="479">
        <v>1.2</v>
      </c>
      <c r="B218" s="482">
        <v>1.1795</v>
      </c>
      <c r="C218" s="482">
        <v>1.1795</v>
      </c>
      <c r="D218" s="482">
        <v>1.1947000000000001</v>
      </c>
      <c r="E218" s="482">
        <v>1.1947000000000001</v>
      </c>
      <c r="F218" s="482">
        <v>1.1947000000000001</v>
      </c>
      <c r="G218" s="482">
        <v>1.1947000000000001</v>
      </c>
      <c r="H218" s="482">
        <v>1.1947000000000001</v>
      </c>
      <c r="I218" s="482">
        <v>1.0601</v>
      </c>
      <c r="J218" s="482">
        <v>1.0601</v>
      </c>
      <c r="K218" s="482">
        <v>1.0601</v>
      </c>
      <c r="L218" s="482">
        <v>1.0601</v>
      </c>
      <c r="M218" s="482">
        <v>1.0601</v>
      </c>
    </row>
    <row r="219" spans="1:13">
      <c r="A219" s="479">
        <v>1.3</v>
      </c>
      <c r="B219" s="482">
        <v>1.1617999999999999</v>
      </c>
      <c r="C219" s="482">
        <v>1.1617999999999999</v>
      </c>
      <c r="D219" s="482">
        <v>1.1748000000000001</v>
      </c>
      <c r="E219" s="482">
        <v>1.1748000000000001</v>
      </c>
      <c r="F219" s="482">
        <v>1.1748000000000001</v>
      </c>
      <c r="G219" s="482">
        <v>1.1748000000000001</v>
      </c>
      <c r="H219" s="482">
        <v>1.1748000000000001</v>
      </c>
      <c r="I219" s="482">
        <v>1.0387999999999999</v>
      </c>
      <c r="J219" s="482">
        <v>1.0387999999999999</v>
      </c>
      <c r="K219" s="482">
        <v>1.0387999999999999</v>
      </c>
      <c r="L219" s="482">
        <v>1.0387999999999999</v>
      </c>
      <c r="M219" s="482">
        <v>1.0387999999999999</v>
      </c>
    </row>
    <row r="220" spans="1:13">
      <c r="A220" s="479">
        <v>1.4</v>
      </c>
      <c r="B220" s="482">
        <v>1.1448</v>
      </c>
      <c r="C220" s="482">
        <v>1.1448</v>
      </c>
      <c r="D220" s="482">
        <v>1.1557999999999999</v>
      </c>
      <c r="E220" s="482">
        <v>1.1557999999999999</v>
      </c>
      <c r="F220" s="482">
        <v>1.1557999999999999</v>
      </c>
      <c r="G220" s="482">
        <v>1.1557999999999999</v>
      </c>
      <c r="H220" s="482">
        <v>1.1557999999999999</v>
      </c>
      <c r="I220" s="482">
        <v>1.0187999999999999</v>
      </c>
      <c r="J220" s="482">
        <v>1.0187999999999999</v>
      </c>
      <c r="K220" s="482">
        <v>1.0187999999999999</v>
      </c>
      <c r="L220" s="482">
        <v>1.0187999999999999</v>
      </c>
      <c r="M220" s="482">
        <v>1.0187999999999999</v>
      </c>
    </row>
    <row r="221" spans="1:13">
      <c r="A221" s="479">
        <v>1.5</v>
      </c>
      <c r="B221" s="482">
        <v>1.1285000000000001</v>
      </c>
      <c r="C221" s="482">
        <v>1.1285000000000001</v>
      </c>
      <c r="D221" s="482">
        <v>1.1377999999999999</v>
      </c>
      <c r="E221" s="482">
        <v>1.1377999999999999</v>
      </c>
      <c r="F221" s="482">
        <v>1.1377999999999999</v>
      </c>
      <c r="G221" s="482">
        <v>1.1377999999999999</v>
      </c>
      <c r="H221" s="482">
        <v>1.1377999999999999</v>
      </c>
      <c r="I221" s="482">
        <v>1</v>
      </c>
      <c r="J221" s="482">
        <v>1</v>
      </c>
      <c r="K221" s="482">
        <v>1</v>
      </c>
      <c r="L221" s="482">
        <v>1</v>
      </c>
      <c r="M221" s="482">
        <v>1</v>
      </c>
    </row>
    <row r="222" spans="1:13">
      <c r="A222" s="479">
        <v>1.6</v>
      </c>
      <c r="B222" s="482">
        <v>1.1129</v>
      </c>
      <c r="C222" s="482">
        <v>1.1129</v>
      </c>
      <c r="D222" s="482">
        <v>1.1206</v>
      </c>
      <c r="E222" s="482">
        <v>1.1206</v>
      </c>
      <c r="F222" s="482">
        <v>1.1206</v>
      </c>
      <c r="G222" s="482">
        <v>1.1206</v>
      </c>
      <c r="H222" s="482">
        <v>1.1206</v>
      </c>
      <c r="I222" s="482">
        <v>0.98240000000000005</v>
      </c>
      <c r="J222" s="482">
        <v>0.98240000000000005</v>
      </c>
      <c r="K222" s="482">
        <v>0.98240000000000005</v>
      </c>
      <c r="L222" s="482">
        <v>0.98240000000000005</v>
      </c>
      <c r="M222" s="482">
        <v>0.98240000000000005</v>
      </c>
    </row>
    <row r="223" spans="1:13">
      <c r="A223" s="479">
        <v>1.7</v>
      </c>
      <c r="B223" s="482">
        <v>1.0980000000000001</v>
      </c>
      <c r="C223" s="482">
        <v>1.0980000000000001</v>
      </c>
      <c r="D223" s="482">
        <v>1.1043000000000001</v>
      </c>
      <c r="E223" s="482">
        <v>1.1043000000000001</v>
      </c>
      <c r="F223" s="482">
        <v>1.1043000000000001</v>
      </c>
      <c r="G223" s="482">
        <v>1.1043000000000001</v>
      </c>
      <c r="H223" s="482">
        <v>1.1043000000000001</v>
      </c>
      <c r="I223" s="482">
        <v>0.96579999999999999</v>
      </c>
      <c r="J223" s="482">
        <v>0.96579999999999999</v>
      </c>
      <c r="K223" s="482">
        <v>0.96579999999999999</v>
      </c>
      <c r="L223" s="482">
        <v>0.96579999999999999</v>
      </c>
      <c r="M223" s="482">
        <v>0.96579999999999999</v>
      </c>
    </row>
    <row r="224" spans="1:13">
      <c r="A224" s="479">
        <v>1.8</v>
      </c>
      <c r="B224" s="482">
        <v>1.0835999999999999</v>
      </c>
      <c r="C224" s="482">
        <v>1.0835999999999999</v>
      </c>
      <c r="D224" s="482">
        <v>1.0888</v>
      </c>
      <c r="E224" s="482">
        <v>1.0888</v>
      </c>
      <c r="F224" s="482">
        <v>1.0888</v>
      </c>
      <c r="G224" s="482">
        <v>1.0888</v>
      </c>
      <c r="H224" s="482">
        <v>1.0888</v>
      </c>
      <c r="I224" s="482">
        <v>0.95030000000000003</v>
      </c>
      <c r="J224" s="482">
        <v>0.95030000000000003</v>
      </c>
      <c r="K224" s="482">
        <v>0.95030000000000003</v>
      </c>
      <c r="L224" s="482">
        <v>0.95030000000000003</v>
      </c>
      <c r="M224" s="482">
        <v>0.95030000000000003</v>
      </c>
    </row>
    <row r="225" spans="1:13">
      <c r="A225" s="479">
        <v>1.9</v>
      </c>
      <c r="B225" s="482">
        <v>1.0698000000000001</v>
      </c>
      <c r="C225" s="482">
        <v>1.0698000000000001</v>
      </c>
      <c r="D225" s="482">
        <v>1.0741000000000001</v>
      </c>
      <c r="E225" s="482">
        <v>1.0741000000000001</v>
      </c>
      <c r="F225" s="482">
        <v>1.0741000000000001</v>
      </c>
      <c r="G225" s="482">
        <v>1.0741000000000001</v>
      </c>
      <c r="H225" s="482">
        <v>1.0741000000000001</v>
      </c>
      <c r="I225" s="482">
        <v>0.93610000000000004</v>
      </c>
      <c r="J225" s="482">
        <v>0.93610000000000004</v>
      </c>
      <c r="K225" s="482">
        <v>0.93610000000000004</v>
      </c>
      <c r="L225" s="482">
        <v>0.93610000000000004</v>
      </c>
      <c r="M225" s="482">
        <v>0.93610000000000004</v>
      </c>
    </row>
    <row r="226" spans="1:13">
      <c r="A226" s="479">
        <v>2</v>
      </c>
      <c r="B226" s="482">
        <v>1.0568</v>
      </c>
      <c r="C226" s="482">
        <v>1.0568</v>
      </c>
      <c r="D226" s="482">
        <v>1.0601</v>
      </c>
      <c r="E226" s="482">
        <v>1.0601</v>
      </c>
      <c r="F226" s="482">
        <v>1.0601</v>
      </c>
      <c r="G226" s="482">
        <v>1.0601</v>
      </c>
      <c r="H226" s="482">
        <v>1.0601</v>
      </c>
      <c r="I226" s="482">
        <v>0.9224</v>
      </c>
      <c r="J226" s="482">
        <v>0.9224</v>
      </c>
      <c r="K226" s="482">
        <v>0.9224</v>
      </c>
      <c r="L226" s="482">
        <v>0.9224</v>
      </c>
      <c r="M226" s="482">
        <v>0.9224</v>
      </c>
    </row>
    <row r="227" spans="1:13">
      <c r="A227" s="483">
        <v>2.1</v>
      </c>
      <c r="B227" s="482">
        <v>1.0443</v>
      </c>
      <c r="C227" s="482">
        <v>1.0443</v>
      </c>
      <c r="D227" s="482">
        <v>1.0468</v>
      </c>
      <c r="E227" s="482">
        <v>1.0468</v>
      </c>
      <c r="F227" s="482">
        <v>1.0468</v>
      </c>
      <c r="G227" s="482">
        <v>1.0468</v>
      </c>
      <c r="H227" s="482">
        <v>1.0468</v>
      </c>
      <c r="I227" s="482">
        <v>0.90959999999999996</v>
      </c>
      <c r="J227" s="482">
        <v>0.90959999999999996</v>
      </c>
      <c r="K227" s="482">
        <v>0.90959999999999996</v>
      </c>
      <c r="L227" s="482">
        <v>0.90959999999999996</v>
      </c>
      <c r="M227" s="482">
        <v>0.90959999999999996</v>
      </c>
    </row>
    <row r="228" spans="1:13">
      <c r="A228" s="483">
        <v>2.2000000000000002</v>
      </c>
      <c r="B228" s="482">
        <v>1.0325</v>
      </c>
      <c r="C228" s="482">
        <v>1.0325</v>
      </c>
      <c r="D228" s="482">
        <v>1.0342</v>
      </c>
      <c r="E228" s="482">
        <v>1.0342</v>
      </c>
      <c r="F228" s="482">
        <v>1.0342</v>
      </c>
      <c r="G228" s="482">
        <v>1.0342</v>
      </c>
      <c r="H228" s="482">
        <v>1.0342</v>
      </c>
      <c r="I228" s="482">
        <v>0.89749999999999996</v>
      </c>
      <c r="J228" s="482">
        <v>0.89749999999999996</v>
      </c>
      <c r="K228" s="482">
        <v>0.89749999999999996</v>
      </c>
      <c r="L228" s="482">
        <v>0.89749999999999996</v>
      </c>
      <c r="M228" s="482">
        <v>0.89749999999999996</v>
      </c>
    </row>
    <row r="229" spans="1:13">
      <c r="A229" s="483">
        <v>2.2999999999999998</v>
      </c>
      <c r="B229" s="482">
        <v>1.0209999999999999</v>
      </c>
      <c r="C229" s="482">
        <v>1.0209999999999999</v>
      </c>
      <c r="D229" s="482">
        <v>1.0222</v>
      </c>
      <c r="E229" s="482">
        <v>1.0222</v>
      </c>
      <c r="F229" s="482">
        <v>1.0222</v>
      </c>
      <c r="G229" s="482">
        <v>1.0222</v>
      </c>
      <c r="H229" s="482">
        <v>1.0222</v>
      </c>
      <c r="I229" s="482">
        <v>0.88619999999999999</v>
      </c>
      <c r="J229" s="482">
        <v>0.88619999999999999</v>
      </c>
      <c r="K229" s="482">
        <v>0.88619999999999999</v>
      </c>
      <c r="L229" s="482">
        <v>0.88619999999999999</v>
      </c>
      <c r="M229" s="482">
        <v>0.88619999999999999</v>
      </c>
    </row>
    <row r="230" spans="1:13">
      <c r="A230" s="483">
        <v>2.4</v>
      </c>
      <c r="B230" s="482">
        <v>1.0102</v>
      </c>
      <c r="C230" s="482">
        <v>1.0102</v>
      </c>
      <c r="D230" s="482">
        <v>1.0107999999999999</v>
      </c>
      <c r="E230" s="482">
        <v>1.0107999999999999</v>
      </c>
      <c r="F230" s="482">
        <v>1.0107999999999999</v>
      </c>
      <c r="G230" s="482">
        <v>1.0107999999999999</v>
      </c>
      <c r="H230" s="482">
        <v>1.0107999999999999</v>
      </c>
      <c r="I230" s="482">
        <v>0.87529999999999997</v>
      </c>
      <c r="J230" s="482">
        <v>0.87529999999999997</v>
      </c>
      <c r="K230" s="482">
        <v>0.87529999999999997</v>
      </c>
      <c r="L230" s="482">
        <v>0.87529999999999997</v>
      </c>
      <c r="M230" s="482">
        <v>0.87529999999999997</v>
      </c>
    </row>
    <row r="231" spans="1:13">
      <c r="A231" s="483">
        <v>2.5</v>
      </c>
      <c r="B231" s="482">
        <v>1</v>
      </c>
      <c r="C231" s="482">
        <v>1</v>
      </c>
      <c r="D231" s="482">
        <v>1</v>
      </c>
      <c r="E231" s="482">
        <v>1</v>
      </c>
      <c r="F231" s="482">
        <v>1</v>
      </c>
      <c r="G231" s="482">
        <v>1</v>
      </c>
      <c r="H231" s="482">
        <v>1</v>
      </c>
      <c r="I231" s="482">
        <v>0.86509999999999998</v>
      </c>
      <c r="J231" s="482">
        <v>0.86509999999999998</v>
      </c>
      <c r="K231" s="482">
        <v>0.86509999999999998</v>
      </c>
      <c r="L231" s="482">
        <v>0.86509999999999998</v>
      </c>
      <c r="M231" s="482">
        <v>0.86509999999999998</v>
      </c>
    </row>
    <row r="232" spans="1:13">
      <c r="A232" s="483">
        <v>2.6</v>
      </c>
      <c r="B232" s="482">
        <v>0.99029999999999996</v>
      </c>
      <c r="C232" s="482">
        <v>0.99029999999999996</v>
      </c>
      <c r="D232" s="482">
        <v>0.98970000000000002</v>
      </c>
      <c r="E232" s="482">
        <v>0.98970000000000002</v>
      </c>
      <c r="F232" s="482">
        <v>0.98970000000000002</v>
      </c>
      <c r="G232" s="482">
        <v>0.98970000000000002</v>
      </c>
      <c r="H232" s="482">
        <v>0.98970000000000002</v>
      </c>
      <c r="I232" s="482">
        <v>0.85529999999999995</v>
      </c>
      <c r="J232" s="482">
        <v>0.85529999999999995</v>
      </c>
      <c r="K232" s="482">
        <v>0.85529999999999995</v>
      </c>
      <c r="L232" s="482">
        <v>0.85529999999999995</v>
      </c>
      <c r="M232" s="482">
        <v>0.85529999999999995</v>
      </c>
    </row>
    <row r="233" spans="1:13">
      <c r="A233" s="483">
        <v>2.7</v>
      </c>
      <c r="B233" s="482">
        <v>0.98109999999999997</v>
      </c>
      <c r="C233" s="482">
        <v>0.98109999999999997</v>
      </c>
      <c r="D233" s="482">
        <v>0.97989999999999999</v>
      </c>
      <c r="E233" s="482">
        <v>0.97989999999999999</v>
      </c>
      <c r="F233" s="482">
        <v>0.97989999999999999</v>
      </c>
      <c r="G233" s="482">
        <v>0.97989999999999999</v>
      </c>
      <c r="H233" s="482">
        <v>0.97989999999999999</v>
      </c>
      <c r="I233" s="482">
        <v>0.84599999999999997</v>
      </c>
      <c r="J233" s="482">
        <v>0.84599999999999997</v>
      </c>
      <c r="K233" s="482">
        <v>0.84599999999999997</v>
      </c>
      <c r="L233" s="482">
        <v>0.84599999999999997</v>
      </c>
      <c r="M233" s="482">
        <v>0.84599999999999997</v>
      </c>
    </row>
    <row r="234" spans="1:13">
      <c r="A234" s="483">
        <v>2.8</v>
      </c>
      <c r="B234" s="482">
        <v>0.97240000000000004</v>
      </c>
      <c r="C234" s="482">
        <v>0.97240000000000004</v>
      </c>
      <c r="D234" s="482">
        <v>0.97060000000000002</v>
      </c>
      <c r="E234" s="482">
        <v>0.97060000000000002</v>
      </c>
      <c r="F234" s="482">
        <v>0.97060000000000002</v>
      </c>
      <c r="G234" s="482">
        <v>0.97060000000000002</v>
      </c>
      <c r="H234" s="482">
        <v>0.97060000000000002</v>
      </c>
      <c r="I234" s="482">
        <v>0.83709999999999996</v>
      </c>
      <c r="J234" s="482">
        <v>0.83709999999999996</v>
      </c>
      <c r="K234" s="482">
        <v>0.83709999999999996</v>
      </c>
      <c r="L234" s="482">
        <v>0.83709999999999996</v>
      </c>
      <c r="M234" s="482">
        <v>0.83709999999999996</v>
      </c>
    </row>
    <row r="235" spans="1:13">
      <c r="A235" s="483">
        <v>2.9</v>
      </c>
      <c r="B235" s="482">
        <v>0.96419999999999995</v>
      </c>
      <c r="C235" s="482">
        <v>0.96419999999999995</v>
      </c>
      <c r="D235" s="482">
        <v>0.96179999999999999</v>
      </c>
      <c r="E235" s="482">
        <v>0.96179999999999999</v>
      </c>
      <c r="F235" s="482">
        <v>0.96179999999999999</v>
      </c>
      <c r="G235" s="482">
        <v>0.96179999999999999</v>
      </c>
      <c r="H235" s="482">
        <v>0.96179999999999999</v>
      </c>
      <c r="I235" s="482">
        <v>0.82850000000000001</v>
      </c>
      <c r="J235" s="482">
        <v>0.82850000000000001</v>
      </c>
      <c r="K235" s="482">
        <v>0.82850000000000001</v>
      </c>
      <c r="L235" s="482">
        <v>0.82850000000000001</v>
      </c>
      <c r="M235" s="482">
        <v>0.82850000000000001</v>
      </c>
    </row>
    <row r="236" spans="1:13">
      <c r="A236" s="483">
        <v>3</v>
      </c>
      <c r="B236" s="482">
        <v>0.95640000000000003</v>
      </c>
      <c r="C236" s="482">
        <v>0.95640000000000003</v>
      </c>
      <c r="D236" s="482">
        <v>0.95340000000000003</v>
      </c>
      <c r="E236" s="482">
        <v>0.95340000000000003</v>
      </c>
      <c r="F236" s="482">
        <v>0.95340000000000003</v>
      </c>
      <c r="G236" s="482">
        <v>0.95340000000000003</v>
      </c>
      <c r="H236" s="482">
        <v>0.95340000000000003</v>
      </c>
      <c r="I236" s="482">
        <v>0.82040000000000002</v>
      </c>
      <c r="J236" s="482">
        <v>0.82040000000000002</v>
      </c>
      <c r="K236" s="482">
        <v>0.82040000000000002</v>
      </c>
      <c r="L236" s="482">
        <v>0.82040000000000002</v>
      </c>
      <c r="M236" s="482">
        <v>0.82040000000000002</v>
      </c>
    </row>
    <row r="237" spans="1:13">
      <c r="A237" s="483">
        <v>3.1</v>
      </c>
      <c r="B237" s="482">
        <v>0.94899999999999995</v>
      </c>
      <c r="C237" s="482">
        <v>0.94899999999999995</v>
      </c>
      <c r="D237" s="482">
        <v>0.94550000000000001</v>
      </c>
      <c r="E237" s="482">
        <v>0.94550000000000001</v>
      </c>
      <c r="F237" s="482">
        <v>0.94550000000000001</v>
      </c>
      <c r="G237" s="482">
        <v>0.94550000000000001</v>
      </c>
      <c r="H237" s="482">
        <v>0.94550000000000001</v>
      </c>
      <c r="I237" s="482">
        <v>0.81259999999999999</v>
      </c>
      <c r="J237" s="482">
        <v>0.81259999999999999</v>
      </c>
      <c r="K237" s="482">
        <v>0.81259999999999999</v>
      </c>
      <c r="L237" s="482">
        <v>0.81259999999999999</v>
      </c>
      <c r="M237" s="482">
        <v>0.81259999999999999</v>
      </c>
    </row>
    <row r="238" spans="1:13">
      <c r="A238" s="483">
        <v>3.2</v>
      </c>
      <c r="B238" s="482">
        <v>0.94199999999999995</v>
      </c>
      <c r="C238" s="482">
        <v>0.94199999999999995</v>
      </c>
      <c r="D238" s="482">
        <v>0.93789999999999996</v>
      </c>
      <c r="E238" s="482">
        <v>0.93789999999999996</v>
      </c>
      <c r="F238" s="482">
        <v>0.93789999999999996</v>
      </c>
      <c r="G238" s="482">
        <v>0.93789999999999996</v>
      </c>
      <c r="H238" s="482">
        <v>0.93789999999999996</v>
      </c>
      <c r="I238" s="482">
        <v>0.80530000000000002</v>
      </c>
      <c r="J238" s="482">
        <v>0.80530000000000002</v>
      </c>
      <c r="K238" s="482">
        <v>0.80530000000000002</v>
      </c>
      <c r="L238" s="482">
        <v>0.80530000000000002</v>
      </c>
      <c r="M238" s="482">
        <v>0.80530000000000002</v>
      </c>
    </row>
    <row r="239" spans="1:13">
      <c r="A239" s="483">
        <v>3.3</v>
      </c>
      <c r="B239" s="482">
        <v>0.93540000000000001</v>
      </c>
      <c r="C239" s="482">
        <v>0.93540000000000001</v>
      </c>
      <c r="D239" s="482">
        <v>0.93069999999999997</v>
      </c>
      <c r="E239" s="482">
        <v>0.93069999999999997</v>
      </c>
      <c r="F239" s="482">
        <v>0.93069999999999997</v>
      </c>
      <c r="G239" s="482">
        <v>0.93069999999999997</v>
      </c>
      <c r="H239" s="482">
        <v>0.93069999999999997</v>
      </c>
      <c r="I239" s="482">
        <v>0.79820000000000002</v>
      </c>
      <c r="J239" s="482">
        <v>0.79820000000000002</v>
      </c>
      <c r="K239" s="482">
        <v>0.79820000000000002</v>
      </c>
      <c r="L239" s="482">
        <v>0.79820000000000002</v>
      </c>
      <c r="M239" s="482">
        <v>0.79820000000000002</v>
      </c>
    </row>
    <row r="240" spans="1:13">
      <c r="A240" s="483">
        <v>3.4</v>
      </c>
      <c r="B240" s="482">
        <v>0.92920000000000003</v>
      </c>
      <c r="C240" s="482">
        <v>0.92920000000000003</v>
      </c>
      <c r="D240" s="482">
        <v>0.92390000000000005</v>
      </c>
      <c r="E240" s="482">
        <v>0.92390000000000005</v>
      </c>
      <c r="F240" s="482">
        <v>0.92390000000000005</v>
      </c>
      <c r="G240" s="482">
        <v>0.92390000000000005</v>
      </c>
      <c r="H240" s="482">
        <v>0.92390000000000005</v>
      </c>
      <c r="I240" s="482">
        <v>0.79139999999999999</v>
      </c>
      <c r="J240" s="482">
        <v>0.79139999999999999</v>
      </c>
      <c r="K240" s="482">
        <v>0.79139999999999999</v>
      </c>
      <c r="L240" s="482">
        <v>0.79139999999999999</v>
      </c>
      <c r="M240" s="482">
        <v>0.79139999999999999</v>
      </c>
    </row>
    <row r="241" spans="1:13">
      <c r="A241" s="483">
        <v>3.5</v>
      </c>
      <c r="B241" s="482">
        <v>0.9234</v>
      </c>
      <c r="C241" s="482">
        <v>0.9234</v>
      </c>
      <c r="D241" s="482">
        <v>0.91749999999999998</v>
      </c>
      <c r="E241" s="482">
        <v>0.91749999999999998</v>
      </c>
      <c r="F241" s="482">
        <v>0.91749999999999998</v>
      </c>
      <c r="G241" s="482">
        <v>0.91749999999999998</v>
      </c>
      <c r="H241" s="482">
        <v>0.91749999999999998</v>
      </c>
      <c r="I241" s="482">
        <v>0.78490000000000004</v>
      </c>
      <c r="J241" s="482">
        <v>0.78490000000000004</v>
      </c>
      <c r="K241" s="482">
        <v>0.78490000000000004</v>
      </c>
      <c r="L241" s="482">
        <v>0.78490000000000004</v>
      </c>
      <c r="M241" s="482">
        <v>0.78490000000000004</v>
      </c>
    </row>
    <row r="242" spans="1:13">
      <c r="A242" s="483">
        <v>3.6</v>
      </c>
      <c r="B242" s="482">
        <v>0.91790000000000005</v>
      </c>
      <c r="C242" s="482">
        <v>0.91790000000000005</v>
      </c>
      <c r="D242" s="482">
        <v>0.91139999999999999</v>
      </c>
      <c r="E242" s="482">
        <v>0.91139999999999999</v>
      </c>
      <c r="F242" s="482">
        <v>0.91139999999999999</v>
      </c>
      <c r="G242" s="482">
        <v>0.91139999999999999</v>
      </c>
      <c r="H242" s="482">
        <v>0.91139999999999999</v>
      </c>
      <c r="I242" s="482">
        <v>0.77880000000000005</v>
      </c>
      <c r="J242" s="482">
        <v>0.77880000000000005</v>
      </c>
      <c r="K242" s="482">
        <v>0.77880000000000005</v>
      </c>
      <c r="L242" s="482">
        <v>0.77880000000000005</v>
      </c>
      <c r="M242" s="482">
        <v>0.77880000000000005</v>
      </c>
    </row>
    <row r="243" spans="1:13">
      <c r="A243" s="483">
        <v>3.7</v>
      </c>
      <c r="B243" s="482">
        <v>0.91269999999999996</v>
      </c>
      <c r="C243" s="482">
        <v>0.91269999999999996</v>
      </c>
      <c r="D243" s="482">
        <v>0.90559999999999996</v>
      </c>
      <c r="E243" s="482">
        <v>0.90559999999999996</v>
      </c>
      <c r="F243" s="482">
        <v>0.90559999999999996</v>
      </c>
      <c r="G243" s="482">
        <v>0.90559999999999996</v>
      </c>
      <c r="H243" s="482">
        <v>0.90559999999999996</v>
      </c>
      <c r="I243" s="482">
        <v>0.77300000000000002</v>
      </c>
      <c r="J243" s="482">
        <v>0.77300000000000002</v>
      </c>
      <c r="K243" s="482">
        <v>0.77300000000000002</v>
      </c>
      <c r="L243" s="482">
        <v>0.77300000000000002</v>
      </c>
      <c r="M243" s="482">
        <v>0.77300000000000002</v>
      </c>
    </row>
    <row r="244" spans="1:13">
      <c r="A244" s="483">
        <v>3.8</v>
      </c>
      <c r="B244" s="482">
        <v>0.90780000000000005</v>
      </c>
      <c r="C244" s="482">
        <v>0.90780000000000005</v>
      </c>
      <c r="D244" s="482">
        <v>0.90010000000000001</v>
      </c>
      <c r="E244" s="482">
        <v>0.90010000000000001</v>
      </c>
      <c r="F244" s="482">
        <v>0.90010000000000001</v>
      </c>
      <c r="G244" s="482">
        <v>0.90010000000000001</v>
      </c>
      <c r="H244" s="482">
        <v>0.90010000000000001</v>
      </c>
      <c r="I244" s="482">
        <v>0.76739999999999997</v>
      </c>
      <c r="J244" s="482">
        <v>0.76739999999999997</v>
      </c>
      <c r="K244" s="482">
        <v>0.76739999999999997</v>
      </c>
      <c r="L244" s="482">
        <v>0.76739999999999997</v>
      </c>
      <c r="M244" s="482">
        <v>0.76739999999999997</v>
      </c>
    </row>
    <row r="245" spans="1:13">
      <c r="A245" s="483">
        <v>3.9</v>
      </c>
      <c r="B245" s="482">
        <v>0.9032</v>
      </c>
      <c r="C245" s="482">
        <v>0.9032</v>
      </c>
      <c r="D245" s="482">
        <v>0.89490000000000003</v>
      </c>
      <c r="E245" s="482">
        <v>0.89490000000000003</v>
      </c>
      <c r="F245" s="482">
        <v>0.89490000000000003</v>
      </c>
      <c r="G245" s="482">
        <v>0.89490000000000003</v>
      </c>
      <c r="H245" s="482">
        <v>0.89490000000000003</v>
      </c>
      <c r="I245" s="482">
        <v>0.7621</v>
      </c>
      <c r="J245" s="482">
        <v>0.7621</v>
      </c>
      <c r="K245" s="482">
        <v>0.7621</v>
      </c>
      <c r="L245" s="482">
        <v>0.7621</v>
      </c>
      <c r="M245" s="482">
        <v>0.7621</v>
      </c>
    </row>
    <row r="246" spans="1:13">
      <c r="A246" s="483">
        <v>4</v>
      </c>
      <c r="B246" s="482">
        <v>0.89890000000000003</v>
      </c>
      <c r="C246" s="482">
        <v>0.89890000000000003</v>
      </c>
      <c r="D246" s="482">
        <v>0.89</v>
      </c>
      <c r="E246" s="482">
        <v>0.89</v>
      </c>
      <c r="F246" s="482">
        <v>0.89</v>
      </c>
      <c r="G246" s="482">
        <v>0.89</v>
      </c>
      <c r="H246" s="482">
        <v>0.89</v>
      </c>
      <c r="I246" s="482">
        <v>0.7571</v>
      </c>
      <c r="J246" s="482">
        <v>0.7571</v>
      </c>
      <c r="K246" s="482">
        <v>0.7571</v>
      </c>
      <c r="L246" s="482">
        <v>0.7571</v>
      </c>
      <c r="M246" s="482">
        <v>0.7571</v>
      </c>
    </row>
    <row r="247" spans="1:13">
      <c r="A247" s="483">
        <v>4.0999999999999996</v>
      </c>
      <c r="B247" s="482">
        <v>0.89480000000000004</v>
      </c>
      <c r="C247" s="482">
        <v>0.89480000000000004</v>
      </c>
      <c r="D247" s="482">
        <v>0.88539999999999996</v>
      </c>
      <c r="E247" s="482">
        <v>0.88539999999999996</v>
      </c>
      <c r="F247" s="482">
        <v>0.88539999999999996</v>
      </c>
      <c r="G247" s="482">
        <v>0.88539999999999996</v>
      </c>
      <c r="H247" s="482">
        <v>0.88539999999999996</v>
      </c>
      <c r="I247" s="482">
        <v>0.75229999999999997</v>
      </c>
      <c r="J247" s="482">
        <v>0.75229999999999997</v>
      </c>
      <c r="K247" s="482">
        <v>0.75229999999999997</v>
      </c>
      <c r="L247" s="482">
        <v>0.75229999999999997</v>
      </c>
      <c r="M247" s="482">
        <v>0.75229999999999997</v>
      </c>
    </row>
    <row r="248" spans="1:13">
      <c r="A248" s="483">
        <v>4.2</v>
      </c>
      <c r="B248" s="482">
        <v>0.89100000000000001</v>
      </c>
      <c r="C248" s="482">
        <v>0.89100000000000001</v>
      </c>
      <c r="D248" s="482">
        <v>0.88109999999999999</v>
      </c>
      <c r="E248" s="482">
        <v>0.88109999999999999</v>
      </c>
      <c r="F248" s="482">
        <v>0.88109999999999999</v>
      </c>
      <c r="G248" s="482">
        <v>0.88109999999999999</v>
      </c>
      <c r="H248" s="482">
        <v>0.88109999999999999</v>
      </c>
      <c r="I248" s="482">
        <v>0.74780000000000002</v>
      </c>
      <c r="J248" s="482">
        <v>0.74780000000000002</v>
      </c>
      <c r="K248" s="482">
        <v>0.74780000000000002</v>
      </c>
      <c r="L248" s="482">
        <v>0.74780000000000002</v>
      </c>
      <c r="M248" s="482">
        <v>0.74780000000000002</v>
      </c>
    </row>
    <row r="249" spans="1:13">
      <c r="A249" s="483">
        <v>4.3</v>
      </c>
      <c r="B249" s="482">
        <v>0.88739999999999997</v>
      </c>
      <c r="C249" s="482">
        <v>0.88739999999999997</v>
      </c>
      <c r="D249" s="482">
        <v>0.877</v>
      </c>
      <c r="E249" s="482">
        <v>0.877</v>
      </c>
      <c r="F249" s="482">
        <v>0.877</v>
      </c>
      <c r="G249" s="482">
        <v>0.877</v>
      </c>
      <c r="H249" s="482">
        <v>0.877</v>
      </c>
      <c r="I249" s="482">
        <v>0.74329999999999996</v>
      </c>
      <c r="J249" s="482">
        <v>0.74329999999999996</v>
      </c>
      <c r="K249" s="482">
        <v>0.74329999999999996</v>
      </c>
      <c r="L249" s="482">
        <v>0.74329999999999996</v>
      </c>
      <c r="M249" s="482">
        <v>0.74329999999999996</v>
      </c>
    </row>
    <row r="250" spans="1:13">
      <c r="A250" s="483">
        <v>4.4000000000000004</v>
      </c>
      <c r="B250" s="482">
        <v>0.88400000000000001</v>
      </c>
      <c r="C250" s="482">
        <v>0.88400000000000001</v>
      </c>
      <c r="D250" s="482">
        <v>0.87309999999999999</v>
      </c>
      <c r="E250" s="482">
        <v>0.87309999999999999</v>
      </c>
      <c r="F250" s="482">
        <v>0.87309999999999999</v>
      </c>
      <c r="G250" s="482">
        <v>0.87309999999999999</v>
      </c>
      <c r="H250" s="482">
        <v>0.87309999999999999</v>
      </c>
      <c r="I250" s="482">
        <v>0.73909999999999998</v>
      </c>
      <c r="J250" s="482">
        <v>0.73909999999999998</v>
      </c>
      <c r="K250" s="482">
        <v>0.73909999999999998</v>
      </c>
      <c r="L250" s="482">
        <v>0.73909999999999998</v>
      </c>
      <c r="M250" s="482">
        <v>0.73909999999999998</v>
      </c>
    </row>
    <row r="251" spans="1:13">
      <c r="A251" s="483">
        <v>4.5</v>
      </c>
      <c r="B251" s="482">
        <v>0.88080000000000003</v>
      </c>
      <c r="C251" s="482">
        <v>0.88080000000000003</v>
      </c>
      <c r="D251" s="482">
        <v>0.86939999999999995</v>
      </c>
      <c r="E251" s="482">
        <v>0.86939999999999995</v>
      </c>
      <c r="F251" s="482">
        <v>0.86939999999999995</v>
      </c>
      <c r="G251" s="482">
        <v>0.86939999999999995</v>
      </c>
      <c r="H251" s="482">
        <v>0.86939999999999995</v>
      </c>
      <c r="I251" s="482">
        <v>0.73499999999999999</v>
      </c>
      <c r="J251" s="482">
        <v>0.73499999999999999</v>
      </c>
      <c r="K251" s="482">
        <v>0.73499999999999999</v>
      </c>
      <c r="L251" s="482">
        <v>0.73499999999999999</v>
      </c>
      <c r="M251" s="482">
        <v>0.73499999999999999</v>
      </c>
    </row>
    <row r="252" spans="1:13">
      <c r="A252" s="483">
        <v>4.5999999999999996</v>
      </c>
      <c r="B252" s="482">
        <v>0.87780000000000002</v>
      </c>
      <c r="C252" s="482">
        <v>0.87780000000000002</v>
      </c>
      <c r="D252" s="482">
        <v>0.8659</v>
      </c>
      <c r="E252" s="482">
        <v>0.8659</v>
      </c>
      <c r="F252" s="482">
        <v>0.8659</v>
      </c>
      <c r="G252" s="482">
        <v>0.8659</v>
      </c>
      <c r="H252" s="482">
        <v>0.8659</v>
      </c>
      <c r="I252" s="482">
        <v>0.73109999999999997</v>
      </c>
      <c r="J252" s="482">
        <v>0.73109999999999997</v>
      </c>
      <c r="K252" s="482">
        <v>0.73109999999999997</v>
      </c>
      <c r="L252" s="482">
        <v>0.73109999999999997</v>
      </c>
      <c r="M252" s="482">
        <v>0.73109999999999997</v>
      </c>
    </row>
    <row r="253" spans="1:13">
      <c r="A253" s="483">
        <v>4.7</v>
      </c>
      <c r="B253" s="482">
        <v>0.875</v>
      </c>
      <c r="C253" s="482">
        <v>0.875</v>
      </c>
      <c r="D253" s="482">
        <v>0.86260000000000003</v>
      </c>
      <c r="E253" s="482">
        <v>0.86260000000000003</v>
      </c>
      <c r="F253" s="482">
        <v>0.86260000000000003</v>
      </c>
      <c r="G253" s="482">
        <v>0.86260000000000003</v>
      </c>
      <c r="H253" s="482">
        <v>0.86260000000000003</v>
      </c>
      <c r="I253" s="482">
        <v>0.72750000000000004</v>
      </c>
      <c r="J253" s="482">
        <v>0.72750000000000004</v>
      </c>
      <c r="K253" s="482">
        <v>0.72750000000000004</v>
      </c>
      <c r="L253" s="482">
        <v>0.72750000000000004</v>
      </c>
      <c r="M253" s="482">
        <v>0.72750000000000004</v>
      </c>
    </row>
    <row r="254" spans="1:13">
      <c r="A254" s="483">
        <v>4.8</v>
      </c>
      <c r="B254" s="482">
        <v>0.87229999999999996</v>
      </c>
      <c r="C254" s="482">
        <v>0.87229999999999996</v>
      </c>
      <c r="D254" s="482">
        <v>0.85950000000000004</v>
      </c>
      <c r="E254" s="482">
        <v>0.85950000000000004</v>
      </c>
      <c r="F254" s="482">
        <v>0.85950000000000004</v>
      </c>
      <c r="G254" s="482">
        <v>0.85950000000000004</v>
      </c>
      <c r="H254" s="482">
        <v>0.85950000000000004</v>
      </c>
      <c r="I254" s="482">
        <v>0.72399999999999998</v>
      </c>
      <c r="J254" s="482">
        <v>0.72399999999999998</v>
      </c>
      <c r="K254" s="482">
        <v>0.72399999999999998</v>
      </c>
      <c r="L254" s="482">
        <v>0.72399999999999998</v>
      </c>
      <c r="M254" s="482">
        <v>0.72399999999999998</v>
      </c>
    </row>
    <row r="255" spans="1:13">
      <c r="A255" s="483">
        <v>4.9000000000000004</v>
      </c>
      <c r="B255" s="482">
        <v>0.86980000000000002</v>
      </c>
      <c r="C255" s="482">
        <v>0.86980000000000002</v>
      </c>
      <c r="D255" s="482">
        <v>0.85660000000000003</v>
      </c>
      <c r="E255" s="482">
        <v>0.85660000000000003</v>
      </c>
      <c r="F255" s="482">
        <v>0.85660000000000003</v>
      </c>
      <c r="G255" s="482">
        <v>0.85660000000000003</v>
      </c>
      <c r="H255" s="482">
        <v>0.85660000000000003</v>
      </c>
      <c r="I255" s="482">
        <v>0.7208</v>
      </c>
      <c r="J255" s="482">
        <v>0.7208</v>
      </c>
      <c r="K255" s="482">
        <v>0.7208</v>
      </c>
      <c r="L255" s="482">
        <v>0.7208</v>
      </c>
      <c r="M255" s="482">
        <v>0.7208</v>
      </c>
    </row>
    <row r="256" spans="1:13">
      <c r="A256" s="483">
        <v>5</v>
      </c>
      <c r="B256" s="482">
        <v>0.86739999999999995</v>
      </c>
      <c r="C256" s="482">
        <v>0.86739999999999995</v>
      </c>
      <c r="D256" s="482">
        <v>0.8538</v>
      </c>
      <c r="E256" s="482">
        <v>0.8538</v>
      </c>
      <c r="F256" s="482">
        <v>0.8538</v>
      </c>
      <c r="G256" s="482">
        <v>0.8538</v>
      </c>
      <c r="H256" s="482">
        <v>0.8538</v>
      </c>
      <c r="I256" s="482">
        <v>0.71760000000000002</v>
      </c>
      <c r="J256" s="482">
        <v>0.71760000000000002</v>
      </c>
      <c r="K256" s="482">
        <v>0.71760000000000002</v>
      </c>
      <c r="L256" s="482">
        <v>0.71760000000000002</v>
      </c>
      <c r="M256" s="482">
        <v>0.71760000000000002</v>
      </c>
    </row>
    <row r="257" spans="1:13">
      <c r="A257" s="479">
        <v>5.0999999999999996</v>
      </c>
      <c r="B257" s="482">
        <v>0.86519999999999997</v>
      </c>
      <c r="C257" s="482">
        <v>0.86519999999999997</v>
      </c>
      <c r="D257" s="482">
        <v>0.85109999999999997</v>
      </c>
      <c r="E257" s="482">
        <v>0.85109999999999997</v>
      </c>
      <c r="F257" s="482">
        <v>0.85109999999999997</v>
      </c>
      <c r="G257" s="482">
        <v>0.85109999999999997</v>
      </c>
      <c r="H257" s="482">
        <v>0.85109999999999997</v>
      </c>
      <c r="I257" s="482">
        <v>0.7147</v>
      </c>
      <c r="J257" s="482">
        <v>0.7147</v>
      </c>
      <c r="K257" s="482">
        <v>0.7147</v>
      </c>
      <c r="L257" s="482">
        <v>0.7147</v>
      </c>
      <c r="M257" s="482">
        <v>0.7147</v>
      </c>
    </row>
    <row r="258" spans="1:13">
      <c r="A258" s="479">
        <v>5.2</v>
      </c>
      <c r="B258" s="482">
        <v>0.86309999999999998</v>
      </c>
      <c r="C258" s="482">
        <v>0.86309999999999998</v>
      </c>
      <c r="D258" s="482">
        <v>0.84860000000000002</v>
      </c>
      <c r="E258" s="482">
        <v>0.84860000000000002</v>
      </c>
      <c r="F258" s="482">
        <v>0.84860000000000002</v>
      </c>
      <c r="G258" s="482">
        <v>0.84860000000000002</v>
      </c>
      <c r="H258" s="482">
        <v>0.84860000000000002</v>
      </c>
      <c r="I258" s="482">
        <v>0.71189999999999998</v>
      </c>
      <c r="J258" s="482">
        <v>0.71189999999999998</v>
      </c>
      <c r="K258" s="482">
        <v>0.71189999999999998</v>
      </c>
      <c r="L258" s="482">
        <v>0.71189999999999998</v>
      </c>
      <c r="M258" s="482">
        <v>0.71189999999999998</v>
      </c>
    </row>
    <row r="259" spans="1:13">
      <c r="A259" s="479">
        <v>5.3</v>
      </c>
      <c r="B259" s="482">
        <v>0.86119999999999997</v>
      </c>
      <c r="C259" s="482">
        <v>0.86119999999999997</v>
      </c>
      <c r="D259" s="482">
        <v>0.84619999999999995</v>
      </c>
      <c r="E259" s="482">
        <v>0.84619999999999995</v>
      </c>
      <c r="F259" s="482">
        <v>0.84619999999999995</v>
      </c>
      <c r="G259" s="482">
        <v>0.84619999999999995</v>
      </c>
      <c r="H259" s="482">
        <v>0.84619999999999995</v>
      </c>
      <c r="I259" s="482">
        <v>0.70909999999999995</v>
      </c>
      <c r="J259" s="482">
        <v>0.70909999999999995</v>
      </c>
      <c r="K259" s="482">
        <v>0.70909999999999995</v>
      </c>
      <c r="L259" s="482">
        <v>0.70909999999999995</v>
      </c>
      <c r="M259" s="482">
        <v>0.70909999999999995</v>
      </c>
    </row>
    <row r="260" spans="1:13">
      <c r="A260" s="479">
        <v>5.4</v>
      </c>
      <c r="B260" s="482">
        <v>0.85940000000000005</v>
      </c>
      <c r="C260" s="482">
        <v>0.85940000000000005</v>
      </c>
      <c r="D260" s="482">
        <v>0.84389999999999998</v>
      </c>
      <c r="E260" s="482">
        <v>0.84389999999999998</v>
      </c>
      <c r="F260" s="482">
        <v>0.84389999999999998</v>
      </c>
      <c r="G260" s="482">
        <v>0.84389999999999998</v>
      </c>
      <c r="H260" s="482">
        <v>0.84389999999999998</v>
      </c>
      <c r="I260" s="482">
        <v>0.70650000000000002</v>
      </c>
      <c r="J260" s="482">
        <v>0.70650000000000002</v>
      </c>
      <c r="K260" s="482">
        <v>0.70650000000000002</v>
      </c>
      <c r="L260" s="482">
        <v>0.70650000000000002</v>
      </c>
      <c r="M260" s="482">
        <v>0.70650000000000002</v>
      </c>
    </row>
    <row r="261" spans="1:13">
      <c r="A261" s="479">
        <v>5.5</v>
      </c>
      <c r="B261" s="482">
        <v>0.85770000000000002</v>
      </c>
      <c r="C261" s="482">
        <v>0.85770000000000002</v>
      </c>
      <c r="D261" s="482">
        <v>0.84179999999999999</v>
      </c>
      <c r="E261" s="482">
        <v>0.84179999999999999</v>
      </c>
      <c r="F261" s="482">
        <v>0.84179999999999999</v>
      </c>
      <c r="G261" s="482">
        <v>0.84179999999999999</v>
      </c>
      <c r="H261" s="482">
        <v>0.84179999999999999</v>
      </c>
      <c r="I261" s="482">
        <v>0.70399999999999996</v>
      </c>
      <c r="J261" s="482">
        <v>0.70399999999999996</v>
      </c>
      <c r="K261" s="482">
        <v>0.70399999999999996</v>
      </c>
      <c r="L261" s="482">
        <v>0.70399999999999996</v>
      </c>
      <c r="M261" s="482">
        <v>0.70399999999999996</v>
      </c>
    </row>
    <row r="262" spans="1:13">
      <c r="A262" s="479">
        <v>5.6</v>
      </c>
      <c r="B262" s="482">
        <v>0.85599999999999998</v>
      </c>
      <c r="C262" s="482">
        <v>0.85599999999999998</v>
      </c>
      <c r="D262" s="482">
        <v>0.83979999999999999</v>
      </c>
      <c r="E262" s="482">
        <v>0.83979999999999999</v>
      </c>
      <c r="F262" s="482">
        <v>0.83979999999999999</v>
      </c>
      <c r="G262" s="482">
        <v>0.83979999999999999</v>
      </c>
      <c r="H262" s="482">
        <v>0.83979999999999999</v>
      </c>
      <c r="I262" s="482">
        <v>0.7016</v>
      </c>
      <c r="J262" s="482">
        <v>0.7016</v>
      </c>
      <c r="K262" s="482">
        <v>0.7016</v>
      </c>
      <c r="L262" s="482">
        <v>0.7016</v>
      </c>
      <c r="M262" s="482">
        <v>0.7016</v>
      </c>
    </row>
    <row r="263" spans="1:13">
      <c r="A263" s="483">
        <v>5.7</v>
      </c>
      <c r="B263" s="482">
        <v>0.85440000000000005</v>
      </c>
      <c r="C263" s="482">
        <v>0.85440000000000005</v>
      </c>
      <c r="D263" s="482">
        <v>0.83789999999999998</v>
      </c>
      <c r="E263" s="482">
        <v>0.83789999999999998</v>
      </c>
      <c r="F263" s="482">
        <v>0.83789999999999998</v>
      </c>
      <c r="G263" s="482">
        <v>0.83789999999999998</v>
      </c>
      <c r="H263" s="482">
        <v>0.83789999999999998</v>
      </c>
      <c r="I263" s="482">
        <v>0.69940000000000002</v>
      </c>
      <c r="J263" s="482">
        <v>0.69940000000000002</v>
      </c>
      <c r="K263" s="482">
        <v>0.69940000000000002</v>
      </c>
      <c r="L263" s="482">
        <v>0.69940000000000002</v>
      </c>
      <c r="M263" s="482">
        <v>0.69940000000000002</v>
      </c>
    </row>
    <row r="264" spans="1:13">
      <c r="A264" s="479">
        <v>5.8</v>
      </c>
      <c r="B264" s="482">
        <v>0.85289999999999999</v>
      </c>
      <c r="C264" s="482">
        <v>0.85289999999999999</v>
      </c>
      <c r="D264" s="482">
        <v>0.83599999999999997</v>
      </c>
      <c r="E264" s="482">
        <v>0.83599999999999997</v>
      </c>
      <c r="F264" s="482">
        <v>0.83599999999999997</v>
      </c>
      <c r="G264" s="482">
        <v>0.83599999999999997</v>
      </c>
      <c r="H264" s="482">
        <v>0.83599999999999997</v>
      </c>
      <c r="I264" s="482">
        <v>0.69720000000000004</v>
      </c>
      <c r="J264" s="482">
        <v>0.69720000000000004</v>
      </c>
      <c r="K264" s="482">
        <v>0.69720000000000004</v>
      </c>
      <c r="L264" s="482">
        <v>0.69720000000000004</v>
      </c>
      <c r="M264" s="482">
        <v>0.69720000000000004</v>
      </c>
    </row>
    <row r="265" spans="1:13">
      <c r="A265" s="479">
        <v>5.9</v>
      </c>
      <c r="B265" s="482">
        <v>0.85150000000000003</v>
      </c>
      <c r="C265" s="482">
        <v>0.85150000000000003</v>
      </c>
      <c r="D265" s="482">
        <v>0.83430000000000004</v>
      </c>
      <c r="E265" s="482">
        <v>0.83430000000000004</v>
      </c>
      <c r="F265" s="482">
        <v>0.83430000000000004</v>
      </c>
      <c r="G265" s="482">
        <v>0.83430000000000004</v>
      </c>
      <c r="H265" s="482">
        <v>0.83430000000000004</v>
      </c>
      <c r="I265" s="482">
        <v>0.69520000000000004</v>
      </c>
      <c r="J265" s="482">
        <v>0.69520000000000004</v>
      </c>
      <c r="K265" s="482">
        <v>0.69520000000000004</v>
      </c>
      <c r="L265" s="482">
        <v>0.69520000000000004</v>
      </c>
      <c r="M265" s="482">
        <v>0.69520000000000004</v>
      </c>
    </row>
    <row r="266" spans="1:13">
      <c r="A266" s="479">
        <v>6</v>
      </c>
      <c r="B266" s="482">
        <v>0.85019999999999996</v>
      </c>
      <c r="C266" s="482">
        <v>0.85019999999999996</v>
      </c>
      <c r="D266" s="482">
        <v>0.8327</v>
      </c>
      <c r="E266" s="482">
        <v>0.8327</v>
      </c>
      <c r="F266" s="482">
        <v>0.8327</v>
      </c>
      <c r="G266" s="482">
        <v>0.8327</v>
      </c>
      <c r="H266" s="482">
        <v>0.8327</v>
      </c>
      <c r="I266" s="482">
        <v>0.69320000000000004</v>
      </c>
      <c r="J266" s="482">
        <v>0.69320000000000004</v>
      </c>
      <c r="K266" s="482">
        <v>0.69320000000000004</v>
      </c>
      <c r="L266" s="482">
        <v>0.69320000000000004</v>
      </c>
      <c r="M266" s="482">
        <v>0.69320000000000004</v>
      </c>
    </row>
    <row r="267" spans="1:13">
      <c r="A267" s="479">
        <v>6.1</v>
      </c>
      <c r="B267" s="482">
        <v>0.84899999999999998</v>
      </c>
      <c r="C267" s="482">
        <v>0.84899999999999998</v>
      </c>
      <c r="D267" s="482">
        <v>0.83109999999999995</v>
      </c>
      <c r="E267" s="482">
        <v>0.83109999999999995</v>
      </c>
      <c r="F267" s="482">
        <v>0.83109999999999995</v>
      </c>
      <c r="G267" s="482">
        <v>0.83109999999999995</v>
      </c>
      <c r="H267" s="482">
        <v>0.83109999999999995</v>
      </c>
      <c r="I267" s="482">
        <v>0.69130000000000003</v>
      </c>
      <c r="J267" s="482">
        <v>0.69130000000000003</v>
      </c>
      <c r="K267" s="482">
        <v>0.69130000000000003</v>
      </c>
      <c r="L267" s="482">
        <v>0.69130000000000003</v>
      </c>
      <c r="M267" s="482">
        <v>0.69130000000000003</v>
      </c>
    </row>
    <row r="268" spans="1:13">
      <c r="A268" s="479">
        <v>6.2</v>
      </c>
      <c r="B268" s="482">
        <v>0.8478</v>
      </c>
      <c r="C268" s="482">
        <v>0.8478</v>
      </c>
      <c r="D268" s="482">
        <v>0.8296</v>
      </c>
      <c r="E268" s="482">
        <v>0.8296</v>
      </c>
      <c r="F268" s="482">
        <v>0.8296</v>
      </c>
      <c r="G268" s="482">
        <v>0.8296</v>
      </c>
      <c r="H268" s="482">
        <v>0.8296</v>
      </c>
      <c r="I268" s="482">
        <v>0.68940000000000001</v>
      </c>
      <c r="J268" s="482">
        <v>0.68940000000000001</v>
      </c>
      <c r="K268" s="482">
        <v>0.68940000000000001</v>
      </c>
      <c r="L268" s="482">
        <v>0.68940000000000001</v>
      </c>
      <c r="M268" s="482">
        <v>0.68940000000000001</v>
      </c>
    </row>
    <row r="269" spans="1:13">
      <c r="A269" s="479">
        <v>6.3</v>
      </c>
      <c r="B269" s="482">
        <v>0.84670000000000001</v>
      </c>
      <c r="C269" s="482">
        <v>0.84670000000000001</v>
      </c>
      <c r="D269" s="482">
        <v>0.82820000000000005</v>
      </c>
      <c r="E269" s="482">
        <v>0.82820000000000005</v>
      </c>
      <c r="F269" s="482">
        <v>0.82820000000000005</v>
      </c>
      <c r="G269" s="482">
        <v>0.82820000000000005</v>
      </c>
      <c r="H269" s="482">
        <v>0.82820000000000005</v>
      </c>
      <c r="I269" s="482">
        <v>0.68769999999999998</v>
      </c>
      <c r="J269" s="482">
        <v>0.68769999999999998</v>
      </c>
      <c r="K269" s="482">
        <v>0.68769999999999998</v>
      </c>
      <c r="L269" s="482">
        <v>0.68769999999999998</v>
      </c>
      <c r="M269" s="482">
        <v>0.68769999999999998</v>
      </c>
    </row>
    <row r="270" spans="1:13">
      <c r="A270" s="479">
        <v>6.4</v>
      </c>
      <c r="B270" s="482">
        <v>0.84570000000000001</v>
      </c>
      <c r="C270" s="482">
        <v>0.84570000000000001</v>
      </c>
      <c r="D270" s="482">
        <v>0.82689999999999997</v>
      </c>
      <c r="E270" s="482">
        <v>0.82689999999999997</v>
      </c>
      <c r="F270" s="482">
        <v>0.82689999999999997</v>
      </c>
      <c r="G270" s="482">
        <v>0.82689999999999997</v>
      </c>
      <c r="H270" s="482">
        <v>0.82689999999999997</v>
      </c>
      <c r="I270" s="482">
        <v>0.68610000000000004</v>
      </c>
      <c r="J270" s="482">
        <v>0.68610000000000004</v>
      </c>
      <c r="K270" s="482">
        <v>0.68610000000000004</v>
      </c>
      <c r="L270" s="482">
        <v>0.68610000000000004</v>
      </c>
      <c r="M270" s="482">
        <v>0.68610000000000004</v>
      </c>
    </row>
    <row r="271" spans="1:13">
      <c r="A271" s="479">
        <v>6.5</v>
      </c>
      <c r="B271" s="482">
        <v>0.84470000000000001</v>
      </c>
      <c r="C271" s="482">
        <v>0.84470000000000001</v>
      </c>
      <c r="D271" s="482">
        <v>0.82569999999999999</v>
      </c>
      <c r="E271" s="482">
        <v>0.82569999999999999</v>
      </c>
      <c r="F271" s="482">
        <v>0.82569999999999999</v>
      </c>
      <c r="G271" s="482">
        <v>0.82569999999999999</v>
      </c>
      <c r="H271" s="482">
        <v>0.82569999999999999</v>
      </c>
      <c r="I271" s="482">
        <v>0.68440000000000001</v>
      </c>
      <c r="J271" s="482">
        <v>0.68440000000000001</v>
      </c>
      <c r="K271" s="482">
        <v>0.68440000000000001</v>
      </c>
      <c r="L271" s="482">
        <v>0.68440000000000001</v>
      </c>
      <c r="M271" s="482">
        <v>0.68440000000000001</v>
      </c>
    </row>
    <row r="272" spans="1:13">
      <c r="A272" s="479">
        <v>6.6</v>
      </c>
      <c r="B272" s="482">
        <v>0.84370000000000001</v>
      </c>
      <c r="C272" s="482">
        <v>0.84370000000000001</v>
      </c>
      <c r="D272" s="482">
        <v>0.82450000000000001</v>
      </c>
      <c r="E272" s="482">
        <v>0.82450000000000001</v>
      </c>
      <c r="F272" s="482">
        <v>0.82450000000000001</v>
      </c>
      <c r="G272" s="482">
        <v>0.82450000000000001</v>
      </c>
      <c r="H272" s="482">
        <v>0.82450000000000001</v>
      </c>
      <c r="I272" s="482">
        <v>0.68289999999999995</v>
      </c>
      <c r="J272" s="482">
        <v>0.68289999999999995</v>
      </c>
      <c r="K272" s="482">
        <v>0.68289999999999995</v>
      </c>
      <c r="L272" s="482">
        <v>0.68289999999999995</v>
      </c>
      <c r="M272" s="482">
        <v>0.68289999999999995</v>
      </c>
    </row>
    <row r="273" spans="1:13">
      <c r="A273" s="479">
        <v>6.7</v>
      </c>
      <c r="B273" s="482">
        <v>0.8427</v>
      </c>
      <c r="C273" s="482">
        <v>0.8427</v>
      </c>
      <c r="D273" s="482">
        <v>0.82330000000000003</v>
      </c>
      <c r="E273" s="482">
        <v>0.82330000000000003</v>
      </c>
      <c r="F273" s="482">
        <v>0.82330000000000003</v>
      </c>
      <c r="G273" s="482">
        <v>0.82330000000000003</v>
      </c>
      <c r="H273" s="482">
        <v>0.82330000000000003</v>
      </c>
      <c r="I273" s="482">
        <v>0.68130000000000002</v>
      </c>
      <c r="J273" s="482">
        <v>0.68130000000000002</v>
      </c>
      <c r="K273" s="482">
        <v>0.68130000000000002</v>
      </c>
      <c r="L273" s="482">
        <v>0.68130000000000002</v>
      </c>
      <c r="M273" s="482">
        <v>0.68130000000000002</v>
      </c>
    </row>
    <row r="274" spans="1:13">
      <c r="A274" s="479">
        <v>6.8</v>
      </c>
      <c r="B274" s="482">
        <v>0.84179999999999999</v>
      </c>
      <c r="C274" s="482">
        <v>0.84179999999999999</v>
      </c>
      <c r="D274" s="482">
        <v>0.82210000000000005</v>
      </c>
      <c r="E274" s="482">
        <v>0.82210000000000005</v>
      </c>
      <c r="F274" s="482">
        <v>0.82210000000000005</v>
      </c>
      <c r="G274" s="482">
        <v>0.82210000000000005</v>
      </c>
      <c r="H274" s="482">
        <v>0.82210000000000005</v>
      </c>
      <c r="I274" s="482">
        <v>0.67979999999999996</v>
      </c>
      <c r="J274" s="482">
        <v>0.67979999999999996</v>
      </c>
      <c r="K274" s="482">
        <v>0.67979999999999996</v>
      </c>
      <c r="L274" s="482">
        <v>0.67979999999999996</v>
      </c>
      <c r="M274" s="482">
        <v>0.67979999999999996</v>
      </c>
    </row>
    <row r="275" spans="1:13">
      <c r="A275" s="479">
        <v>6.9</v>
      </c>
      <c r="B275" s="482">
        <v>0.84089999999999998</v>
      </c>
      <c r="C275" s="482">
        <v>0.84089999999999998</v>
      </c>
      <c r="D275" s="482">
        <v>0.82099999999999995</v>
      </c>
      <c r="E275" s="482">
        <v>0.82099999999999995</v>
      </c>
      <c r="F275" s="482">
        <v>0.82099999999999995</v>
      </c>
      <c r="G275" s="482">
        <v>0.82099999999999995</v>
      </c>
      <c r="H275" s="482">
        <v>0.82099999999999995</v>
      </c>
      <c r="I275" s="482">
        <v>0.67849999999999999</v>
      </c>
      <c r="J275" s="482">
        <v>0.67849999999999999</v>
      </c>
      <c r="K275" s="482">
        <v>0.67849999999999999</v>
      </c>
      <c r="L275" s="482">
        <v>0.67849999999999999</v>
      </c>
      <c r="M275" s="482">
        <v>0.67849999999999999</v>
      </c>
    </row>
    <row r="276" spans="1:13">
      <c r="A276" s="479">
        <v>7</v>
      </c>
      <c r="B276" s="482">
        <v>0.84009999999999996</v>
      </c>
      <c r="C276" s="482">
        <v>0.84009999999999996</v>
      </c>
      <c r="D276" s="482">
        <v>0.81989999999999996</v>
      </c>
      <c r="E276" s="482">
        <v>0.81989999999999996</v>
      </c>
      <c r="F276" s="482">
        <v>0.81989999999999996</v>
      </c>
      <c r="G276" s="482">
        <v>0.81989999999999996</v>
      </c>
      <c r="H276" s="482">
        <v>0.81989999999999996</v>
      </c>
      <c r="I276" s="482">
        <v>0.67720000000000002</v>
      </c>
      <c r="J276" s="482">
        <v>0.67720000000000002</v>
      </c>
      <c r="K276" s="482">
        <v>0.67720000000000002</v>
      </c>
      <c r="L276" s="482">
        <v>0.67720000000000002</v>
      </c>
      <c r="M276" s="482">
        <v>0.67720000000000002</v>
      </c>
    </row>
    <row r="277" spans="1:13">
      <c r="A277" s="479">
        <v>7.1</v>
      </c>
      <c r="B277" s="482">
        <v>0.83930000000000005</v>
      </c>
      <c r="C277" s="482">
        <v>0.83930000000000005</v>
      </c>
      <c r="D277" s="482">
        <v>0.81889999999999996</v>
      </c>
      <c r="E277" s="482">
        <v>0.81889999999999996</v>
      </c>
      <c r="F277" s="482">
        <v>0.81889999999999996</v>
      </c>
      <c r="G277" s="482">
        <v>0.81889999999999996</v>
      </c>
      <c r="H277" s="482">
        <v>0.81889999999999996</v>
      </c>
      <c r="I277" s="482">
        <v>0.67589999999999995</v>
      </c>
      <c r="J277" s="482">
        <v>0.67589999999999995</v>
      </c>
      <c r="K277" s="482">
        <v>0.67589999999999995</v>
      </c>
      <c r="L277" s="482">
        <v>0.67589999999999995</v>
      </c>
      <c r="M277" s="482">
        <v>0.67589999999999995</v>
      </c>
    </row>
    <row r="278" spans="1:13">
      <c r="A278" s="479">
        <v>7.2</v>
      </c>
      <c r="B278" s="482">
        <v>0.83850000000000002</v>
      </c>
      <c r="C278" s="482">
        <v>0.83850000000000002</v>
      </c>
      <c r="D278" s="482">
        <v>0.81789999999999996</v>
      </c>
      <c r="E278" s="482">
        <v>0.81789999999999996</v>
      </c>
      <c r="F278" s="482">
        <v>0.81789999999999996</v>
      </c>
      <c r="G278" s="482">
        <v>0.81789999999999996</v>
      </c>
      <c r="H278" s="482">
        <v>0.81789999999999996</v>
      </c>
      <c r="I278" s="482">
        <v>0.67459999999999998</v>
      </c>
      <c r="J278" s="482">
        <v>0.67459999999999998</v>
      </c>
      <c r="K278" s="482">
        <v>0.67459999999999998</v>
      </c>
      <c r="L278" s="482">
        <v>0.67459999999999998</v>
      </c>
      <c r="M278" s="482">
        <v>0.67459999999999998</v>
      </c>
    </row>
    <row r="279" spans="1:13">
      <c r="A279" s="479">
        <v>7.3</v>
      </c>
      <c r="B279" s="482">
        <v>0.8377</v>
      </c>
      <c r="C279" s="482">
        <v>0.8377</v>
      </c>
      <c r="D279" s="482">
        <v>0.81689999999999996</v>
      </c>
      <c r="E279" s="482">
        <v>0.81689999999999996</v>
      </c>
      <c r="F279" s="482">
        <v>0.81689999999999996</v>
      </c>
      <c r="G279" s="482">
        <v>0.81689999999999996</v>
      </c>
      <c r="H279" s="482">
        <v>0.81689999999999996</v>
      </c>
      <c r="I279" s="482">
        <v>0.6734</v>
      </c>
      <c r="J279" s="482">
        <v>0.6734</v>
      </c>
      <c r="K279" s="482">
        <v>0.6734</v>
      </c>
      <c r="L279" s="482">
        <v>0.6734</v>
      </c>
      <c r="M279" s="482">
        <v>0.6734</v>
      </c>
    </row>
    <row r="280" spans="1:13">
      <c r="A280" s="479">
        <v>7.4</v>
      </c>
      <c r="B280" s="482">
        <v>0.83699999999999997</v>
      </c>
      <c r="C280" s="482">
        <v>0.83699999999999997</v>
      </c>
      <c r="D280" s="482">
        <v>0.81599999999999995</v>
      </c>
      <c r="E280" s="482">
        <v>0.81599999999999995</v>
      </c>
      <c r="F280" s="482">
        <v>0.81599999999999995</v>
      </c>
      <c r="G280" s="482">
        <v>0.81599999999999995</v>
      </c>
      <c r="H280" s="482">
        <v>0.81599999999999995</v>
      </c>
      <c r="I280" s="482">
        <v>0.67210000000000003</v>
      </c>
      <c r="J280" s="482">
        <v>0.67210000000000003</v>
      </c>
      <c r="K280" s="482">
        <v>0.67210000000000003</v>
      </c>
      <c r="L280" s="482">
        <v>0.67210000000000003</v>
      </c>
      <c r="M280" s="482">
        <v>0.67210000000000003</v>
      </c>
    </row>
    <row r="281" spans="1:13">
      <c r="A281" s="479">
        <v>7.5</v>
      </c>
      <c r="B281" s="482">
        <v>0.83630000000000004</v>
      </c>
      <c r="C281" s="482">
        <v>0.83630000000000004</v>
      </c>
      <c r="D281" s="482">
        <v>0.81510000000000005</v>
      </c>
      <c r="E281" s="482">
        <v>0.81510000000000005</v>
      </c>
      <c r="F281" s="482">
        <v>0.81510000000000005</v>
      </c>
      <c r="G281" s="482">
        <v>0.81510000000000005</v>
      </c>
      <c r="H281" s="482">
        <v>0.81510000000000005</v>
      </c>
      <c r="I281" s="482">
        <v>0.67090000000000005</v>
      </c>
      <c r="J281" s="482">
        <v>0.67090000000000005</v>
      </c>
      <c r="K281" s="482">
        <v>0.67090000000000005</v>
      </c>
      <c r="L281" s="482">
        <v>0.67090000000000005</v>
      </c>
      <c r="M281" s="482">
        <v>0.67090000000000005</v>
      </c>
    </row>
    <row r="282" spans="1:13">
      <c r="A282" s="479">
        <v>7.6</v>
      </c>
      <c r="B282" s="482">
        <v>0.83560000000000001</v>
      </c>
      <c r="C282" s="482">
        <v>0.83560000000000001</v>
      </c>
      <c r="D282" s="482">
        <v>0.81420000000000003</v>
      </c>
      <c r="E282" s="482">
        <v>0.81420000000000003</v>
      </c>
      <c r="F282" s="482">
        <v>0.81420000000000003</v>
      </c>
      <c r="G282" s="482">
        <v>0.81420000000000003</v>
      </c>
      <c r="H282" s="482">
        <v>0.81420000000000003</v>
      </c>
      <c r="I282" s="482">
        <v>0.66979999999999995</v>
      </c>
      <c r="J282" s="482">
        <v>0.66979999999999995</v>
      </c>
      <c r="K282" s="482">
        <v>0.66979999999999995</v>
      </c>
      <c r="L282" s="482">
        <v>0.66979999999999995</v>
      </c>
      <c r="M282" s="482">
        <v>0.66979999999999995</v>
      </c>
    </row>
    <row r="283" spans="1:13">
      <c r="A283" s="479">
        <v>7.7</v>
      </c>
      <c r="B283" s="482">
        <v>0.83489999999999998</v>
      </c>
      <c r="C283" s="482">
        <v>0.83489999999999998</v>
      </c>
      <c r="D283" s="482">
        <v>0.81330000000000002</v>
      </c>
      <c r="E283" s="482">
        <v>0.81330000000000002</v>
      </c>
      <c r="F283" s="482">
        <v>0.81330000000000002</v>
      </c>
      <c r="G283" s="482">
        <v>0.81330000000000002</v>
      </c>
      <c r="H283" s="482">
        <v>0.81330000000000002</v>
      </c>
      <c r="I283" s="482">
        <v>0.66869999999999996</v>
      </c>
      <c r="J283" s="482">
        <v>0.66869999999999996</v>
      </c>
      <c r="K283" s="482">
        <v>0.66869999999999996</v>
      </c>
      <c r="L283" s="482">
        <v>0.66869999999999996</v>
      </c>
      <c r="M283" s="482">
        <v>0.66869999999999996</v>
      </c>
    </row>
    <row r="284" spans="1:13">
      <c r="A284" s="479">
        <v>7.8</v>
      </c>
      <c r="B284" s="482">
        <v>0.83420000000000005</v>
      </c>
      <c r="C284" s="482">
        <v>0.83420000000000005</v>
      </c>
      <c r="D284" s="482">
        <v>0.81240000000000001</v>
      </c>
      <c r="E284" s="482">
        <v>0.81240000000000001</v>
      </c>
      <c r="F284" s="482">
        <v>0.81240000000000001</v>
      </c>
      <c r="G284" s="482">
        <v>0.81240000000000001</v>
      </c>
      <c r="H284" s="482">
        <v>0.81240000000000001</v>
      </c>
      <c r="I284" s="482">
        <v>0.66759999999999997</v>
      </c>
      <c r="J284" s="482">
        <v>0.66759999999999997</v>
      </c>
      <c r="K284" s="482">
        <v>0.66759999999999997</v>
      </c>
      <c r="L284" s="482">
        <v>0.66759999999999997</v>
      </c>
      <c r="M284" s="482">
        <v>0.66759999999999997</v>
      </c>
    </row>
    <row r="285" spans="1:13">
      <c r="A285" s="479">
        <v>7.9</v>
      </c>
      <c r="B285" s="482">
        <v>0.83350000000000002</v>
      </c>
      <c r="C285" s="482">
        <v>0.83350000000000002</v>
      </c>
      <c r="D285" s="482">
        <v>0.81159999999999999</v>
      </c>
      <c r="E285" s="482">
        <v>0.81159999999999999</v>
      </c>
      <c r="F285" s="482">
        <v>0.81159999999999999</v>
      </c>
      <c r="G285" s="482">
        <v>0.81159999999999999</v>
      </c>
      <c r="H285" s="482">
        <v>0.81159999999999999</v>
      </c>
      <c r="I285" s="482">
        <v>0.66649999999999998</v>
      </c>
      <c r="J285" s="482">
        <v>0.66649999999999998</v>
      </c>
      <c r="K285" s="482">
        <v>0.66649999999999998</v>
      </c>
      <c r="L285" s="482">
        <v>0.66649999999999998</v>
      </c>
      <c r="M285" s="482">
        <v>0.66649999999999998</v>
      </c>
    </row>
    <row r="286" spans="1:13">
      <c r="A286" s="479">
        <v>8</v>
      </c>
      <c r="B286" s="482">
        <v>0.83279999999999998</v>
      </c>
      <c r="C286" s="482">
        <v>0.83279999999999998</v>
      </c>
      <c r="D286" s="482">
        <v>0.81079999999999997</v>
      </c>
      <c r="E286" s="482">
        <v>0.81079999999999997</v>
      </c>
      <c r="F286" s="482">
        <v>0.81079999999999997</v>
      </c>
      <c r="G286" s="482">
        <v>0.81079999999999997</v>
      </c>
      <c r="H286" s="482">
        <v>0.81079999999999997</v>
      </c>
      <c r="I286" s="482">
        <v>0.66549999999999998</v>
      </c>
      <c r="J286" s="482">
        <v>0.66549999999999998</v>
      </c>
      <c r="K286" s="482">
        <v>0.66549999999999998</v>
      </c>
      <c r="L286" s="482">
        <v>0.66549999999999998</v>
      </c>
      <c r="M286" s="482">
        <v>0.66549999999999998</v>
      </c>
    </row>
    <row r="287" spans="1:13">
      <c r="A287" s="479">
        <v>8.1</v>
      </c>
      <c r="B287" s="482">
        <v>0.83220000000000005</v>
      </c>
      <c r="C287" s="482">
        <v>0.83220000000000005</v>
      </c>
      <c r="D287" s="482">
        <v>0.81</v>
      </c>
      <c r="E287" s="482">
        <v>0.81</v>
      </c>
      <c r="F287" s="482">
        <v>0.81</v>
      </c>
      <c r="G287" s="482">
        <v>0.81</v>
      </c>
      <c r="H287" s="482">
        <v>0.81</v>
      </c>
      <c r="I287" s="482">
        <v>0.66439999999999999</v>
      </c>
      <c r="J287" s="482">
        <v>0.66439999999999999</v>
      </c>
      <c r="K287" s="482">
        <v>0.66439999999999999</v>
      </c>
      <c r="L287" s="482">
        <v>0.66439999999999999</v>
      </c>
      <c r="M287" s="482">
        <v>0.66439999999999999</v>
      </c>
    </row>
    <row r="288" spans="1:13">
      <c r="A288" s="479">
        <v>8.1999999999999993</v>
      </c>
      <c r="B288" s="482">
        <v>0.83160000000000001</v>
      </c>
      <c r="C288" s="482">
        <v>0.83160000000000001</v>
      </c>
      <c r="D288" s="482">
        <v>0.80920000000000003</v>
      </c>
      <c r="E288" s="482">
        <v>0.80920000000000003</v>
      </c>
      <c r="F288" s="482">
        <v>0.80920000000000003</v>
      </c>
      <c r="G288" s="482">
        <v>0.80920000000000003</v>
      </c>
      <c r="H288" s="482">
        <v>0.80920000000000003</v>
      </c>
      <c r="I288" s="482">
        <v>0.66339999999999999</v>
      </c>
      <c r="J288" s="482">
        <v>0.66339999999999999</v>
      </c>
      <c r="K288" s="482">
        <v>0.66339999999999999</v>
      </c>
      <c r="L288" s="482">
        <v>0.66339999999999999</v>
      </c>
      <c r="M288" s="482">
        <v>0.66339999999999999</v>
      </c>
    </row>
    <row r="289" spans="1:13">
      <c r="A289" s="479">
        <v>8.3000000000000007</v>
      </c>
      <c r="B289" s="482">
        <v>0.83099999999999996</v>
      </c>
      <c r="C289" s="482">
        <v>0.83099999999999996</v>
      </c>
      <c r="D289" s="482">
        <v>0.80840000000000001</v>
      </c>
      <c r="E289" s="482">
        <v>0.80840000000000001</v>
      </c>
      <c r="F289" s="482">
        <v>0.80840000000000001</v>
      </c>
      <c r="G289" s="482">
        <v>0.80840000000000001</v>
      </c>
      <c r="H289" s="482">
        <v>0.80840000000000001</v>
      </c>
      <c r="I289" s="482">
        <v>0.66239999999999999</v>
      </c>
      <c r="J289" s="482">
        <v>0.66239999999999999</v>
      </c>
      <c r="K289" s="482">
        <v>0.66239999999999999</v>
      </c>
      <c r="L289" s="482">
        <v>0.66239999999999999</v>
      </c>
      <c r="M289" s="482">
        <v>0.66239999999999999</v>
      </c>
    </row>
    <row r="290" spans="1:13">
      <c r="A290" s="479">
        <v>8.4</v>
      </c>
      <c r="B290" s="482">
        <v>0.83040000000000003</v>
      </c>
      <c r="C290" s="482">
        <v>0.83040000000000003</v>
      </c>
      <c r="D290" s="482">
        <v>0.80759999999999998</v>
      </c>
      <c r="E290" s="482">
        <v>0.80759999999999998</v>
      </c>
      <c r="F290" s="482">
        <v>0.80759999999999998</v>
      </c>
      <c r="G290" s="482">
        <v>0.80759999999999998</v>
      </c>
      <c r="H290" s="482">
        <v>0.80759999999999998</v>
      </c>
      <c r="I290" s="482">
        <v>0.66139999999999999</v>
      </c>
      <c r="J290" s="482">
        <v>0.66139999999999999</v>
      </c>
      <c r="K290" s="482">
        <v>0.66139999999999999</v>
      </c>
      <c r="L290" s="482">
        <v>0.66139999999999999</v>
      </c>
      <c r="M290" s="482">
        <v>0.66139999999999999</v>
      </c>
    </row>
    <row r="291" spans="1:13">
      <c r="A291" s="479">
        <v>8.5</v>
      </c>
      <c r="B291" s="482">
        <v>0.82979999999999998</v>
      </c>
      <c r="C291" s="482">
        <v>0.82979999999999998</v>
      </c>
      <c r="D291" s="482">
        <v>0.80679999999999996</v>
      </c>
      <c r="E291" s="482">
        <v>0.80679999999999996</v>
      </c>
      <c r="F291" s="482">
        <v>0.80679999999999996</v>
      </c>
      <c r="G291" s="482">
        <v>0.80679999999999996</v>
      </c>
      <c r="H291" s="482">
        <v>0.80679999999999996</v>
      </c>
      <c r="I291" s="482">
        <v>0.66049999999999998</v>
      </c>
      <c r="J291" s="482">
        <v>0.66049999999999998</v>
      </c>
      <c r="K291" s="482">
        <v>0.66049999999999998</v>
      </c>
      <c r="L291" s="482">
        <v>0.66049999999999998</v>
      </c>
      <c r="M291" s="482">
        <v>0.66049999999999998</v>
      </c>
    </row>
    <row r="292" spans="1:13">
      <c r="A292" s="479">
        <v>8.6</v>
      </c>
      <c r="B292" s="482">
        <v>0.82920000000000005</v>
      </c>
      <c r="C292" s="482">
        <v>0.82920000000000005</v>
      </c>
      <c r="D292" s="482">
        <v>0.80600000000000005</v>
      </c>
      <c r="E292" s="482">
        <v>0.80600000000000005</v>
      </c>
      <c r="F292" s="482">
        <v>0.80600000000000005</v>
      </c>
      <c r="G292" s="482">
        <v>0.80600000000000005</v>
      </c>
      <c r="H292" s="482">
        <v>0.80600000000000005</v>
      </c>
      <c r="I292" s="482">
        <v>0.65949999999999998</v>
      </c>
      <c r="J292" s="482">
        <v>0.65949999999999998</v>
      </c>
      <c r="K292" s="482">
        <v>0.65949999999999998</v>
      </c>
      <c r="L292" s="482">
        <v>0.65949999999999998</v>
      </c>
      <c r="M292" s="482">
        <v>0.65949999999999998</v>
      </c>
    </row>
    <row r="293" spans="1:13">
      <c r="A293" s="479">
        <v>8.6999999999999993</v>
      </c>
      <c r="B293" s="482">
        <v>0.8286</v>
      </c>
      <c r="C293" s="482">
        <v>0.8286</v>
      </c>
      <c r="D293" s="482">
        <v>0.80520000000000003</v>
      </c>
      <c r="E293" s="482">
        <v>0.80520000000000003</v>
      </c>
      <c r="F293" s="482">
        <v>0.80520000000000003</v>
      </c>
      <c r="G293" s="482">
        <v>0.80520000000000003</v>
      </c>
      <c r="H293" s="482">
        <v>0.80520000000000003</v>
      </c>
      <c r="I293" s="482">
        <v>0.65859999999999996</v>
      </c>
      <c r="J293" s="482">
        <v>0.65859999999999996</v>
      </c>
      <c r="K293" s="482">
        <v>0.65859999999999996</v>
      </c>
      <c r="L293" s="482">
        <v>0.65859999999999996</v>
      </c>
      <c r="M293" s="482">
        <v>0.65859999999999996</v>
      </c>
    </row>
    <row r="294" spans="1:13">
      <c r="A294" s="479">
        <v>8.8000000000000007</v>
      </c>
      <c r="B294" s="482">
        <v>0.82799999999999996</v>
      </c>
      <c r="C294" s="482">
        <v>0.82799999999999996</v>
      </c>
      <c r="D294" s="482">
        <v>0.8044</v>
      </c>
      <c r="E294" s="482">
        <v>0.8044</v>
      </c>
      <c r="F294" s="482">
        <v>0.8044</v>
      </c>
      <c r="G294" s="482">
        <v>0.8044</v>
      </c>
      <c r="H294" s="482">
        <v>0.8044</v>
      </c>
      <c r="I294" s="482">
        <v>0.65759999999999996</v>
      </c>
      <c r="J294" s="482">
        <v>0.65759999999999996</v>
      </c>
      <c r="K294" s="482">
        <v>0.65759999999999996</v>
      </c>
      <c r="L294" s="482">
        <v>0.65759999999999996</v>
      </c>
      <c r="M294" s="482">
        <v>0.65759999999999996</v>
      </c>
    </row>
    <row r="295" spans="1:13">
      <c r="A295" s="479">
        <v>8.9</v>
      </c>
      <c r="B295" s="482">
        <v>0.82740000000000002</v>
      </c>
      <c r="C295" s="482">
        <v>0.82740000000000002</v>
      </c>
      <c r="D295" s="482">
        <v>0.80359999999999998</v>
      </c>
      <c r="E295" s="482">
        <v>0.80359999999999998</v>
      </c>
      <c r="F295" s="482">
        <v>0.80359999999999998</v>
      </c>
      <c r="G295" s="482">
        <v>0.80359999999999998</v>
      </c>
      <c r="H295" s="482">
        <v>0.80359999999999998</v>
      </c>
      <c r="I295" s="482">
        <v>0.65669999999999995</v>
      </c>
      <c r="J295" s="482">
        <v>0.65669999999999995</v>
      </c>
      <c r="K295" s="482">
        <v>0.65669999999999995</v>
      </c>
      <c r="L295" s="482">
        <v>0.65669999999999995</v>
      </c>
      <c r="M295" s="482">
        <v>0.65669999999999995</v>
      </c>
    </row>
    <row r="296" spans="1:13">
      <c r="A296" s="483">
        <v>9</v>
      </c>
      <c r="B296" s="482">
        <v>0.82679999999999998</v>
      </c>
      <c r="C296" s="482">
        <v>0.82679999999999998</v>
      </c>
      <c r="D296" s="482">
        <v>0.80279999999999996</v>
      </c>
      <c r="E296" s="482">
        <v>0.80279999999999996</v>
      </c>
      <c r="F296" s="482">
        <v>0.80279999999999996</v>
      </c>
      <c r="G296" s="482">
        <v>0.80279999999999996</v>
      </c>
      <c r="H296" s="482">
        <v>0.80279999999999996</v>
      </c>
      <c r="I296" s="482">
        <v>0.65569999999999995</v>
      </c>
      <c r="J296" s="482">
        <v>0.65569999999999995</v>
      </c>
      <c r="K296" s="482">
        <v>0.65569999999999995</v>
      </c>
      <c r="L296" s="482">
        <v>0.65569999999999995</v>
      </c>
      <c r="M296" s="482">
        <v>0.65569999999999995</v>
      </c>
    </row>
    <row r="297" spans="1:13">
      <c r="A297" s="483">
        <v>9.1</v>
      </c>
      <c r="B297" s="482">
        <v>0.82620000000000005</v>
      </c>
      <c r="C297" s="482">
        <v>0.82620000000000005</v>
      </c>
      <c r="D297" s="482">
        <v>0.80200000000000005</v>
      </c>
      <c r="E297" s="482">
        <v>0.80200000000000005</v>
      </c>
      <c r="F297" s="482">
        <v>0.80200000000000005</v>
      </c>
      <c r="G297" s="482">
        <v>0.80200000000000005</v>
      </c>
      <c r="H297" s="482">
        <v>0.80200000000000005</v>
      </c>
      <c r="I297" s="482">
        <v>0.65480000000000005</v>
      </c>
      <c r="J297" s="482">
        <v>0.65480000000000005</v>
      </c>
      <c r="K297" s="482">
        <v>0.65480000000000005</v>
      </c>
      <c r="L297" s="482">
        <v>0.65480000000000005</v>
      </c>
      <c r="M297" s="482">
        <v>0.65480000000000005</v>
      </c>
    </row>
    <row r="298" spans="1:13">
      <c r="A298" s="483">
        <v>9.1999999999999993</v>
      </c>
      <c r="B298" s="482">
        <v>0.8256</v>
      </c>
      <c r="C298" s="482">
        <v>0.8256</v>
      </c>
      <c r="D298" s="482">
        <v>0.80120000000000002</v>
      </c>
      <c r="E298" s="482">
        <v>0.80120000000000002</v>
      </c>
      <c r="F298" s="482">
        <v>0.80120000000000002</v>
      </c>
      <c r="G298" s="482">
        <v>0.80120000000000002</v>
      </c>
      <c r="H298" s="482">
        <v>0.80120000000000002</v>
      </c>
      <c r="I298" s="482">
        <v>0.65380000000000005</v>
      </c>
      <c r="J298" s="482">
        <v>0.65380000000000005</v>
      </c>
      <c r="K298" s="482">
        <v>0.65380000000000005</v>
      </c>
      <c r="L298" s="482">
        <v>0.65380000000000005</v>
      </c>
      <c r="M298" s="482">
        <v>0.65380000000000005</v>
      </c>
    </row>
    <row r="299" spans="1:13">
      <c r="A299" s="483">
        <v>9.3000000000000007</v>
      </c>
      <c r="B299" s="482">
        <v>0.82499999999999996</v>
      </c>
      <c r="C299" s="482">
        <v>0.82499999999999996</v>
      </c>
      <c r="D299" s="482">
        <v>0.8004</v>
      </c>
      <c r="E299" s="482">
        <v>0.8004</v>
      </c>
      <c r="F299" s="482">
        <v>0.8004</v>
      </c>
      <c r="G299" s="482">
        <v>0.8004</v>
      </c>
      <c r="H299" s="482">
        <v>0.8004</v>
      </c>
      <c r="I299" s="482">
        <v>0.65290000000000004</v>
      </c>
      <c r="J299" s="482">
        <v>0.65290000000000004</v>
      </c>
      <c r="K299" s="482">
        <v>0.65290000000000004</v>
      </c>
      <c r="L299" s="482">
        <v>0.65290000000000004</v>
      </c>
      <c r="M299" s="482">
        <v>0.65290000000000004</v>
      </c>
    </row>
    <row r="300" spans="1:13">
      <c r="A300" s="483">
        <v>9.4</v>
      </c>
      <c r="B300" s="482">
        <v>0.82440000000000002</v>
      </c>
      <c r="C300" s="482">
        <v>0.82440000000000002</v>
      </c>
      <c r="D300" s="482">
        <v>0.79959999999999998</v>
      </c>
      <c r="E300" s="482">
        <v>0.79959999999999998</v>
      </c>
      <c r="F300" s="482">
        <v>0.79959999999999998</v>
      </c>
      <c r="G300" s="482">
        <v>0.79959999999999998</v>
      </c>
      <c r="H300" s="482">
        <v>0.79959999999999998</v>
      </c>
      <c r="I300" s="482">
        <v>0.65190000000000003</v>
      </c>
      <c r="J300" s="482">
        <v>0.65190000000000003</v>
      </c>
      <c r="K300" s="482">
        <v>0.65190000000000003</v>
      </c>
      <c r="L300" s="482">
        <v>0.65190000000000003</v>
      </c>
      <c r="M300" s="482">
        <v>0.65190000000000003</v>
      </c>
    </row>
    <row r="301" spans="1:13">
      <c r="A301" s="483">
        <v>9.5</v>
      </c>
      <c r="B301" s="482">
        <v>0.82379999999999998</v>
      </c>
      <c r="C301" s="482">
        <v>0.82379999999999998</v>
      </c>
      <c r="D301" s="482">
        <v>0.79879999999999995</v>
      </c>
      <c r="E301" s="482">
        <v>0.79879999999999995</v>
      </c>
      <c r="F301" s="482">
        <v>0.79879999999999995</v>
      </c>
      <c r="G301" s="482">
        <v>0.79879999999999995</v>
      </c>
      <c r="H301" s="482">
        <v>0.79879999999999995</v>
      </c>
      <c r="I301" s="482">
        <v>0.65100000000000002</v>
      </c>
      <c r="J301" s="482">
        <v>0.65100000000000002</v>
      </c>
      <c r="K301" s="482">
        <v>0.65100000000000002</v>
      </c>
      <c r="L301" s="482">
        <v>0.65100000000000002</v>
      </c>
      <c r="M301" s="482">
        <v>0.65100000000000002</v>
      </c>
    </row>
    <row r="302" spans="1:13">
      <c r="A302" s="483">
        <v>9.6</v>
      </c>
      <c r="B302" s="482">
        <v>0.82320000000000004</v>
      </c>
      <c r="C302" s="482">
        <v>0.82320000000000004</v>
      </c>
      <c r="D302" s="482">
        <v>0.79800000000000004</v>
      </c>
      <c r="E302" s="482">
        <v>0.79800000000000004</v>
      </c>
      <c r="F302" s="482">
        <v>0.79800000000000004</v>
      </c>
      <c r="G302" s="482">
        <v>0.79800000000000004</v>
      </c>
      <c r="H302" s="482">
        <v>0.79800000000000004</v>
      </c>
      <c r="I302" s="482">
        <v>0.65</v>
      </c>
      <c r="J302" s="482">
        <v>0.65</v>
      </c>
      <c r="K302" s="482">
        <v>0.65</v>
      </c>
      <c r="L302" s="482">
        <v>0.65</v>
      </c>
      <c r="M302" s="482">
        <v>0.65</v>
      </c>
    </row>
    <row r="303" spans="1:13">
      <c r="A303" s="483">
        <v>9.6999999999999993</v>
      </c>
      <c r="B303" s="482">
        <v>0.8226</v>
      </c>
      <c r="C303" s="482">
        <v>0.8226</v>
      </c>
      <c r="D303" s="482">
        <v>0.79720000000000002</v>
      </c>
      <c r="E303" s="482">
        <v>0.79720000000000002</v>
      </c>
      <c r="F303" s="482">
        <v>0.79720000000000002</v>
      </c>
      <c r="G303" s="482">
        <v>0.79720000000000002</v>
      </c>
      <c r="H303" s="482">
        <v>0.79720000000000002</v>
      </c>
      <c r="I303" s="482">
        <v>0.64900000000000002</v>
      </c>
      <c r="J303" s="482">
        <v>0.64900000000000002</v>
      </c>
      <c r="K303" s="482">
        <v>0.64900000000000002</v>
      </c>
      <c r="L303" s="482">
        <v>0.64900000000000002</v>
      </c>
      <c r="M303" s="482">
        <v>0.64900000000000002</v>
      </c>
    </row>
    <row r="304" spans="1:13">
      <c r="A304" s="483">
        <v>9.8000000000000007</v>
      </c>
      <c r="B304" s="482">
        <v>0.82199999999999995</v>
      </c>
      <c r="C304" s="482">
        <v>0.82199999999999995</v>
      </c>
      <c r="D304" s="482">
        <v>0.7964</v>
      </c>
      <c r="E304" s="482">
        <v>0.7964</v>
      </c>
      <c r="F304" s="482">
        <v>0.7964</v>
      </c>
      <c r="G304" s="482">
        <v>0.7964</v>
      </c>
      <c r="H304" s="482">
        <v>0.7964</v>
      </c>
      <c r="I304" s="482">
        <v>0.64810000000000001</v>
      </c>
      <c r="J304" s="482">
        <v>0.64810000000000001</v>
      </c>
      <c r="K304" s="482">
        <v>0.64810000000000001</v>
      </c>
      <c r="L304" s="482">
        <v>0.64810000000000001</v>
      </c>
      <c r="M304" s="482">
        <v>0.64810000000000001</v>
      </c>
    </row>
    <row r="305" spans="1:13">
      <c r="A305" s="483">
        <v>9.9</v>
      </c>
      <c r="B305" s="482">
        <v>0.82140000000000002</v>
      </c>
      <c r="C305" s="482">
        <v>0.82140000000000002</v>
      </c>
      <c r="D305" s="482">
        <v>0.79559999999999997</v>
      </c>
      <c r="E305" s="482">
        <v>0.79559999999999997</v>
      </c>
      <c r="F305" s="482">
        <v>0.79559999999999997</v>
      </c>
      <c r="G305" s="482">
        <v>0.79559999999999997</v>
      </c>
      <c r="H305" s="482">
        <v>0.79559999999999997</v>
      </c>
      <c r="I305" s="482">
        <v>0.64710000000000001</v>
      </c>
      <c r="J305" s="482">
        <v>0.64710000000000001</v>
      </c>
      <c r="K305" s="482">
        <v>0.64710000000000001</v>
      </c>
      <c r="L305" s="482">
        <v>0.64710000000000001</v>
      </c>
      <c r="M305" s="482">
        <v>0.64710000000000001</v>
      </c>
    </row>
    <row r="306" spans="1:13">
      <c r="A306" s="483">
        <v>10</v>
      </c>
      <c r="B306" s="482">
        <v>0.82079999999999997</v>
      </c>
      <c r="C306" s="482">
        <v>0.82079999999999997</v>
      </c>
      <c r="D306" s="482">
        <v>0.79479999999999995</v>
      </c>
      <c r="E306" s="482">
        <v>0.79479999999999995</v>
      </c>
      <c r="F306" s="482">
        <v>0.79479999999999995</v>
      </c>
      <c r="G306" s="482">
        <v>0.79479999999999995</v>
      </c>
      <c r="H306" s="482">
        <v>0.79479999999999995</v>
      </c>
      <c r="I306" s="482">
        <v>0.6462</v>
      </c>
      <c r="J306" s="482">
        <v>0.6462</v>
      </c>
      <c r="K306" s="482">
        <v>0.6462</v>
      </c>
      <c r="L306" s="482">
        <v>0.6462</v>
      </c>
      <c r="M306" s="482">
        <v>0.6462</v>
      </c>
    </row>
    <row r="307" spans="1:13" ht="14.25">
      <c r="A307" s="477" t="s">
        <v>2405</v>
      </c>
      <c r="B307" s="478"/>
      <c r="C307" s="478"/>
      <c r="D307" s="478"/>
      <c r="E307" s="478"/>
      <c r="F307" s="478"/>
      <c r="G307" s="478"/>
      <c r="H307" s="478"/>
      <c r="I307" s="478"/>
      <c r="J307" s="478"/>
      <c r="K307" s="478"/>
      <c r="L307" s="478"/>
      <c r="M307" s="478"/>
    </row>
    <row r="308" spans="1:13">
      <c r="A308" s="479" t="s">
        <v>1065</v>
      </c>
      <c r="B308" s="480" t="s">
        <v>230</v>
      </c>
      <c r="C308" s="480" t="s">
        <v>241</v>
      </c>
      <c r="D308" s="480" t="s">
        <v>251</v>
      </c>
      <c r="E308" s="480" t="s">
        <v>259</v>
      </c>
      <c r="F308" s="480" t="s">
        <v>267</v>
      </c>
      <c r="G308" s="480" t="s">
        <v>273</v>
      </c>
      <c r="H308" s="481" t="s">
        <v>278</v>
      </c>
      <c r="I308" s="481" t="s">
        <v>283</v>
      </c>
      <c r="J308" s="484" t="s">
        <v>286</v>
      </c>
      <c r="K308" s="484" t="s">
        <v>289</v>
      </c>
      <c r="L308" s="484" t="s">
        <v>292</v>
      </c>
      <c r="M308" s="484" t="s">
        <v>295</v>
      </c>
    </row>
    <row r="309" spans="1:13">
      <c r="A309" s="479">
        <v>0.1</v>
      </c>
      <c r="B309" s="482">
        <v>11.506</v>
      </c>
      <c r="C309" s="482">
        <v>11.506</v>
      </c>
      <c r="D309" s="482">
        <v>12.015000000000001</v>
      </c>
      <c r="E309" s="482">
        <v>12.015000000000001</v>
      </c>
      <c r="F309" s="482">
        <v>12.015000000000001</v>
      </c>
      <c r="G309" s="482">
        <v>11.118</v>
      </c>
      <c r="H309" s="482">
        <v>11.118</v>
      </c>
      <c r="I309" s="482">
        <v>10</v>
      </c>
      <c r="J309" s="482">
        <v>10</v>
      </c>
      <c r="K309" s="482">
        <v>10</v>
      </c>
      <c r="L309" s="482">
        <v>10</v>
      </c>
      <c r="M309" s="482">
        <v>10</v>
      </c>
    </row>
    <row r="310" spans="1:13">
      <c r="A310" s="479">
        <v>0.2</v>
      </c>
      <c r="B310" s="482">
        <v>5.7530000000000001</v>
      </c>
      <c r="C310" s="482">
        <v>5.7530000000000001</v>
      </c>
      <c r="D310" s="482">
        <v>6.0075000000000003</v>
      </c>
      <c r="E310" s="482">
        <v>6.0075000000000003</v>
      </c>
      <c r="F310" s="482">
        <v>6.0075000000000003</v>
      </c>
      <c r="G310" s="482">
        <v>5.5590000000000002</v>
      </c>
      <c r="H310" s="482">
        <v>5.5590000000000002</v>
      </c>
      <c r="I310" s="482">
        <v>5</v>
      </c>
      <c r="J310" s="482">
        <v>5</v>
      </c>
      <c r="K310" s="482">
        <v>5</v>
      </c>
      <c r="L310" s="482">
        <v>5</v>
      </c>
      <c r="M310" s="482">
        <v>5</v>
      </c>
    </row>
    <row r="311" spans="1:13">
      <c r="A311" s="479">
        <v>0.3</v>
      </c>
      <c r="B311" s="482">
        <v>3.8353000000000002</v>
      </c>
      <c r="C311" s="482">
        <v>3.8353000000000002</v>
      </c>
      <c r="D311" s="482">
        <v>4.0049999999999999</v>
      </c>
      <c r="E311" s="482">
        <v>4.0049999999999999</v>
      </c>
      <c r="F311" s="482">
        <v>4.0049999999999999</v>
      </c>
      <c r="G311" s="482">
        <v>3.706</v>
      </c>
      <c r="H311" s="482">
        <v>3.706</v>
      </c>
      <c r="I311" s="482">
        <v>3.3332999999999999</v>
      </c>
      <c r="J311" s="482">
        <v>3.3332999999999999</v>
      </c>
      <c r="K311" s="482">
        <v>3.3332999999999999</v>
      </c>
      <c r="L311" s="482">
        <v>3.3332999999999999</v>
      </c>
      <c r="M311" s="482">
        <v>3.3332999999999999</v>
      </c>
    </row>
    <row r="312" spans="1:13">
      <c r="A312" s="479">
        <v>0.4</v>
      </c>
      <c r="B312" s="482">
        <v>2.8765000000000001</v>
      </c>
      <c r="C312" s="482">
        <v>2.8765000000000001</v>
      </c>
      <c r="D312" s="482">
        <v>3.0038</v>
      </c>
      <c r="E312" s="482">
        <v>3.0038</v>
      </c>
      <c r="F312" s="482">
        <v>3.0038</v>
      </c>
      <c r="G312" s="482">
        <v>2.7795000000000001</v>
      </c>
      <c r="H312" s="482">
        <v>2.7795000000000001</v>
      </c>
      <c r="I312" s="482">
        <v>2.5</v>
      </c>
      <c r="J312" s="482">
        <v>2.5</v>
      </c>
      <c r="K312" s="482">
        <v>2.5</v>
      </c>
      <c r="L312" s="482">
        <v>2.5</v>
      </c>
      <c r="M312" s="482">
        <v>2.5</v>
      </c>
    </row>
    <row r="313" spans="1:13">
      <c r="A313" s="479">
        <v>0.5</v>
      </c>
      <c r="B313" s="482">
        <v>2.3012000000000001</v>
      </c>
      <c r="C313" s="482">
        <v>2.3012000000000001</v>
      </c>
      <c r="D313" s="482">
        <v>2.403</v>
      </c>
      <c r="E313" s="482">
        <v>2.403</v>
      </c>
      <c r="F313" s="482">
        <v>2.403</v>
      </c>
      <c r="G313" s="482">
        <v>2.2235999999999998</v>
      </c>
      <c r="H313" s="482">
        <v>2.2235999999999998</v>
      </c>
      <c r="I313" s="482">
        <v>2</v>
      </c>
      <c r="J313" s="482">
        <v>2</v>
      </c>
      <c r="K313" s="482">
        <v>2</v>
      </c>
      <c r="L313" s="482">
        <v>2</v>
      </c>
      <c r="M313" s="482">
        <v>2</v>
      </c>
    </row>
    <row r="314" spans="1:13">
      <c r="A314" s="479">
        <v>0.6</v>
      </c>
      <c r="B314" s="482">
        <v>1.9177</v>
      </c>
      <c r="C314" s="482">
        <v>1.9177</v>
      </c>
      <c r="D314" s="482">
        <v>2.0024999999999999</v>
      </c>
      <c r="E314" s="482">
        <v>2.0024999999999999</v>
      </c>
      <c r="F314" s="482">
        <v>2.0024999999999999</v>
      </c>
      <c r="G314" s="482">
        <v>1.853</v>
      </c>
      <c r="H314" s="482">
        <v>1.853</v>
      </c>
      <c r="I314" s="482">
        <v>1.6667000000000001</v>
      </c>
      <c r="J314" s="482">
        <v>1.6667000000000001</v>
      </c>
      <c r="K314" s="482">
        <v>1.6667000000000001</v>
      </c>
      <c r="L314" s="482">
        <v>1.6667000000000001</v>
      </c>
      <c r="M314" s="482">
        <v>1.6667000000000001</v>
      </c>
    </row>
    <row r="315" spans="1:13">
      <c r="A315" s="479">
        <v>0.7</v>
      </c>
      <c r="B315" s="482">
        <v>1.6436999999999999</v>
      </c>
      <c r="C315" s="482">
        <v>1.6436999999999999</v>
      </c>
      <c r="D315" s="482">
        <v>1.7163999999999999</v>
      </c>
      <c r="E315" s="482">
        <v>1.7163999999999999</v>
      </c>
      <c r="F315" s="482">
        <v>1.7163999999999999</v>
      </c>
      <c r="G315" s="482">
        <v>1.5883</v>
      </c>
      <c r="H315" s="482">
        <v>1.5883</v>
      </c>
      <c r="I315" s="482">
        <v>1.4286000000000001</v>
      </c>
      <c r="J315" s="482">
        <v>1.4286000000000001</v>
      </c>
      <c r="K315" s="482">
        <v>1.4286000000000001</v>
      </c>
      <c r="L315" s="482">
        <v>1.4286000000000001</v>
      </c>
      <c r="M315" s="482">
        <v>1.4286000000000001</v>
      </c>
    </row>
    <row r="316" spans="1:13">
      <c r="A316" s="479">
        <v>0.8</v>
      </c>
      <c r="B316" s="482">
        <v>1.4382999999999999</v>
      </c>
      <c r="C316" s="482">
        <v>1.4382999999999999</v>
      </c>
      <c r="D316" s="482">
        <v>1.5019</v>
      </c>
      <c r="E316" s="482">
        <v>1.5019</v>
      </c>
      <c r="F316" s="482">
        <v>1.5019</v>
      </c>
      <c r="G316" s="482">
        <v>1.3897999999999999</v>
      </c>
      <c r="H316" s="482">
        <v>1.3897999999999999</v>
      </c>
      <c r="I316" s="482">
        <v>1.25</v>
      </c>
      <c r="J316" s="482">
        <v>1.25</v>
      </c>
      <c r="K316" s="482">
        <v>1.25</v>
      </c>
      <c r="L316" s="482">
        <v>1.25</v>
      </c>
      <c r="M316" s="482">
        <v>1.25</v>
      </c>
    </row>
    <row r="317" spans="1:13">
      <c r="A317" s="479">
        <v>0.9</v>
      </c>
      <c r="B317" s="482">
        <v>1.2784</v>
      </c>
      <c r="C317" s="482">
        <v>1.2784</v>
      </c>
      <c r="D317" s="482">
        <v>1.335</v>
      </c>
      <c r="E317" s="482">
        <v>1.335</v>
      </c>
      <c r="F317" s="482">
        <v>1.335</v>
      </c>
      <c r="G317" s="482">
        <v>1.2353000000000001</v>
      </c>
      <c r="H317" s="482">
        <v>1.2353000000000001</v>
      </c>
      <c r="I317" s="482">
        <v>1.1111</v>
      </c>
      <c r="J317" s="482">
        <v>1.1111</v>
      </c>
      <c r="K317" s="482">
        <v>1.1111</v>
      </c>
      <c r="L317" s="482">
        <v>1.1111</v>
      </c>
      <c r="M317" s="482">
        <v>1.1111</v>
      </c>
    </row>
    <row r="318" spans="1:13">
      <c r="A318" s="479">
        <v>1</v>
      </c>
      <c r="B318" s="482">
        <v>1.1506000000000001</v>
      </c>
      <c r="C318" s="482">
        <v>1.1506000000000001</v>
      </c>
      <c r="D318" s="482">
        <v>1.2015</v>
      </c>
      <c r="E318" s="482">
        <v>1.2015</v>
      </c>
      <c r="F318" s="482">
        <v>1.2015</v>
      </c>
      <c r="G318" s="482">
        <v>1.1117999999999999</v>
      </c>
      <c r="H318" s="482">
        <v>1.1117999999999999</v>
      </c>
      <c r="I318" s="482">
        <v>1</v>
      </c>
      <c r="J318" s="482">
        <v>1</v>
      </c>
      <c r="K318" s="482">
        <v>1</v>
      </c>
      <c r="L318" s="482">
        <v>1</v>
      </c>
      <c r="M318" s="482">
        <v>1</v>
      </c>
    </row>
    <row r="319" spans="1:13">
      <c r="A319" s="479">
        <v>1.1000000000000001</v>
      </c>
      <c r="B319" s="482">
        <v>1.1158999999999999</v>
      </c>
      <c r="C319" s="482">
        <v>1.1158999999999999</v>
      </c>
      <c r="D319" s="482">
        <v>1.1440999999999999</v>
      </c>
      <c r="E319" s="482">
        <v>1.1440999999999999</v>
      </c>
      <c r="F319" s="482">
        <v>1.1440999999999999</v>
      </c>
      <c r="G319" s="482">
        <v>1.0492999999999999</v>
      </c>
      <c r="H319" s="482">
        <v>1.0492999999999999</v>
      </c>
      <c r="I319" s="482">
        <v>0.93730000000000002</v>
      </c>
      <c r="J319" s="482">
        <v>0.93730000000000002</v>
      </c>
      <c r="K319" s="482">
        <v>0.93730000000000002</v>
      </c>
      <c r="L319" s="482">
        <v>0.93730000000000002</v>
      </c>
      <c r="M319" s="482">
        <v>0.93730000000000002</v>
      </c>
    </row>
    <row r="320" spans="1:13">
      <c r="A320" s="479">
        <v>1.2</v>
      </c>
      <c r="B320" s="482">
        <v>1.0837000000000001</v>
      </c>
      <c r="C320" s="482">
        <v>1.0837000000000001</v>
      </c>
      <c r="D320" s="482">
        <v>1.0972999999999999</v>
      </c>
      <c r="E320" s="482">
        <v>1.0972999999999999</v>
      </c>
      <c r="F320" s="482">
        <v>1.0972999999999999</v>
      </c>
      <c r="G320" s="482">
        <v>1</v>
      </c>
      <c r="H320" s="482">
        <v>1</v>
      </c>
      <c r="I320" s="482">
        <v>0.88890000000000002</v>
      </c>
      <c r="J320" s="482">
        <v>0.88890000000000002</v>
      </c>
      <c r="K320" s="482">
        <v>0.88890000000000002</v>
      </c>
      <c r="L320" s="482">
        <v>0.88890000000000002</v>
      </c>
      <c r="M320" s="482">
        <v>0.88890000000000002</v>
      </c>
    </row>
    <row r="321" spans="1:13">
      <c r="A321" s="479">
        <v>1.3</v>
      </c>
      <c r="B321" s="482">
        <v>1.0538000000000001</v>
      </c>
      <c r="C321" s="482">
        <v>1.0538000000000001</v>
      </c>
      <c r="D321" s="482">
        <v>1.0589999999999999</v>
      </c>
      <c r="E321" s="482">
        <v>1.0589999999999999</v>
      </c>
      <c r="F321" s="482">
        <v>1.0589999999999999</v>
      </c>
      <c r="G321" s="482">
        <v>0.96140000000000003</v>
      </c>
      <c r="H321" s="482">
        <v>0.96140000000000003</v>
      </c>
      <c r="I321" s="482">
        <v>0.85209999999999997</v>
      </c>
      <c r="J321" s="482">
        <v>0.85209999999999997</v>
      </c>
      <c r="K321" s="482">
        <v>0.85209999999999997</v>
      </c>
      <c r="L321" s="482">
        <v>0.85209999999999997</v>
      </c>
      <c r="M321" s="482">
        <v>0.85209999999999997</v>
      </c>
    </row>
    <row r="322" spans="1:13">
      <c r="A322" s="479">
        <v>1.4</v>
      </c>
      <c r="B322" s="482">
        <v>1.026</v>
      </c>
      <c r="C322" s="482">
        <v>1.026</v>
      </c>
      <c r="D322" s="482">
        <v>1.0271999999999999</v>
      </c>
      <c r="E322" s="482">
        <v>1.0271999999999999</v>
      </c>
      <c r="F322" s="482">
        <v>1.0271999999999999</v>
      </c>
      <c r="G322" s="482">
        <v>0.93079999999999996</v>
      </c>
      <c r="H322" s="482">
        <v>0.93079999999999996</v>
      </c>
      <c r="I322" s="482">
        <v>0.82379999999999998</v>
      </c>
      <c r="J322" s="482">
        <v>0.82379999999999998</v>
      </c>
      <c r="K322" s="482">
        <v>0.82379999999999998</v>
      </c>
      <c r="L322" s="482">
        <v>0.82379999999999998</v>
      </c>
      <c r="M322" s="482">
        <v>0.82379999999999998</v>
      </c>
    </row>
    <row r="323" spans="1:13">
      <c r="A323" s="479">
        <v>1.5</v>
      </c>
      <c r="B323" s="482">
        <v>1</v>
      </c>
      <c r="C323" s="482">
        <v>1</v>
      </c>
      <c r="D323" s="482">
        <v>1</v>
      </c>
      <c r="E323" s="482">
        <v>1</v>
      </c>
      <c r="F323" s="482">
        <v>1</v>
      </c>
      <c r="G323" s="482">
        <v>0.90559999999999996</v>
      </c>
      <c r="H323" s="482">
        <v>0.90559999999999996</v>
      </c>
      <c r="I323" s="482">
        <v>0.80110000000000003</v>
      </c>
      <c r="J323" s="482">
        <v>0.80110000000000003</v>
      </c>
      <c r="K323" s="482">
        <v>0.80110000000000003</v>
      </c>
      <c r="L323" s="482">
        <v>0.80110000000000003</v>
      </c>
      <c r="M323" s="482">
        <v>0.80110000000000003</v>
      </c>
    </row>
    <row r="324" spans="1:13">
      <c r="A324" s="479">
        <v>1.6</v>
      </c>
      <c r="B324" s="482">
        <v>0.97570000000000001</v>
      </c>
      <c r="C324" s="482">
        <v>0.97570000000000001</v>
      </c>
      <c r="D324" s="482">
        <v>0.97519999999999996</v>
      </c>
      <c r="E324" s="482">
        <v>0.97519999999999996</v>
      </c>
      <c r="F324" s="482">
        <v>0.97519999999999996</v>
      </c>
      <c r="G324" s="482">
        <v>0.8831</v>
      </c>
      <c r="H324" s="482">
        <v>0.8831</v>
      </c>
      <c r="I324" s="482">
        <v>0.78100000000000003</v>
      </c>
      <c r="J324" s="482">
        <v>0.78100000000000003</v>
      </c>
      <c r="K324" s="482">
        <v>0.78100000000000003</v>
      </c>
      <c r="L324" s="482">
        <v>0.78100000000000003</v>
      </c>
      <c r="M324" s="482">
        <v>0.78100000000000003</v>
      </c>
    </row>
    <row r="325" spans="1:13">
      <c r="A325" s="479">
        <v>1.7</v>
      </c>
      <c r="B325" s="482">
        <v>0.95289999999999997</v>
      </c>
      <c r="C325" s="482">
        <v>0.95289999999999997</v>
      </c>
      <c r="D325" s="482">
        <v>0.95189999999999997</v>
      </c>
      <c r="E325" s="482">
        <v>0.95189999999999997</v>
      </c>
      <c r="F325" s="482">
        <v>0.95189999999999997</v>
      </c>
      <c r="G325" s="482">
        <v>0.86180000000000001</v>
      </c>
      <c r="H325" s="482">
        <v>0.86180000000000001</v>
      </c>
      <c r="I325" s="482">
        <v>0.7621</v>
      </c>
      <c r="J325" s="482">
        <v>0.7621</v>
      </c>
      <c r="K325" s="482">
        <v>0.7621</v>
      </c>
      <c r="L325" s="482">
        <v>0.7621</v>
      </c>
      <c r="M325" s="482">
        <v>0.7621</v>
      </c>
    </row>
    <row r="326" spans="1:13">
      <c r="A326" s="479">
        <v>1.8</v>
      </c>
      <c r="B326" s="482">
        <v>0.93149999999999999</v>
      </c>
      <c r="C326" s="482">
        <v>0.93149999999999999</v>
      </c>
      <c r="D326" s="482">
        <v>0.93</v>
      </c>
      <c r="E326" s="482">
        <v>0.93</v>
      </c>
      <c r="F326" s="482">
        <v>0.93</v>
      </c>
      <c r="G326" s="482">
        <v>0.84179999999999999</v>
      </c>
      <c r="H326" s="482">
        <v>0.84179999999999999</v>
      </c>
      <c r="I326" s="482">
        <v>0.74419999999999997</v>
      </c>
      <c r="J326" s="482">
        <v>0.74419999999999997</v>
      </c>
      <c r="K326" s="482">
        <v>0.74419999999999997</v>
      </c>
      <c r="L326" s="482">
        <v>0.74419999999999997</v>
      </c>
      <c r="M326" s="482">
        <v>0.74419999999999997</v>
      </c>
    </row>
    <row r="327" spans="1:13">
      <c r="A327" s="479">
        <v>1.9</v>
      </c>
      <c r="B327" s="482">
        <v>0.91139999999999999</v>
      </c>
      <c r="C327" s="482">
        <v>0.91139999999999999</v>
      </c>
      <c r="D327" s="482">
        <v>0.90939999999999999</v>
      </c>
      <c r="E327" s="482">
        <v>0.90939999999999999</v>
      </c>
      <c r="F327" s="482">
        <v>0.90939999999999999</v>
      </c>
      <c r="G327" s="482">
        <v>0.82289999999999996</v>
      </c>
      <c r="H327" s="482">
        <v>0.82289999999999996</v>
      </c>
      <c r="I327" s="482">
        <v>0.72740000000000005</v>
      </c>
      <c r="J327" s="482">
        <v>0.72740000000000005</v>
      </c>
      <c r="K327" s="482">
        <v>0.72740000000000005</v>
      </c>
      <c r="L327" s="482">
        <v>0.72740000000000005</v>
      </c>
      <c r="M327" s="482">
        <v>0.72740000000000005</v>
      </c>
    </row>
    <row r="328" spans="1:13">
      <c r="A328" s="479">
        <v>2</v>
      </c>
      <c r="B328" s="482">
        <v>0.89270000000000005</v>
      </c>
      <c r="C328" s="482">
        <v>0.89270000000000005</v>
      </c>
      <c r="D328" s="482">
        <v>0.8901</v>
      </c>
      <c r="E328" s="482">
        <v>0.8901</v>
      </c>
      <c r="F328" s="482">
        <v>0.8901</v>
      </c>
      <c r="G328" s="482">
        <v>0.80530000000000002</v>
      </c>
      <c r="H328" s="482">
        <v>0.80530000000000002</v>
      </c>
      <c r="I328" s="482">
        <v>0.71160000000000001</v>
      </c>
      <c r="J328" s="482">
        <v>0.71160000000000001</v>
      </c>
      <c r="K328" s="482">
        <v>0.71160000000000001</v>
      </c>
      <c r="L328" s="482">
        <v>0.71160000000000001</v>
      </c>
      <c r="M328" s="482">
        <v>0.71160000000000001</v>
      </c>
    </row>
    <row r="329" spans="1:13">
      <c r="A329" s="483">
        <v>2.1</v>
      </c>
      <c r="B329" s="482">
        <v>0.87519999999999998</v>
      </c>
      <c r="C329" s="482">
        <v>0.87519999999999998</v>
      </c>
      <c r="D329" s="482">
        <v>0.872</v>
      </c>
      <c r="E329" s="482">
        <v>0.872</v>
      </c>
      <c r="F329" s="482">
        <v>0.872</v>
      </c>
      <c r="G329" s="482">
        <v>0.78869999999999996</v>
      </c>
      <c r="H329" s="482">
        <v>0.78869999999999996</v>
      </c>
      <c r="I329" s="482">
        <v>0.69669999999999999</v>
      </c>
      <c r="J329" s="482">
        <v>0.69669999999999999</v>
      </c>
      <c r="K329" s="482">
        <v>0.69669999999999999</v>
      </c>
      <c r="L329" s="482">
        <v>0.69669999999999999</v>
      </c>
      <c r="M329" s="482">
        <v>0.69669999999999999</v>
      </c>
    </row>
    <row r="330" spans="1:13">
      <c r="A330" s="483">
        <v>2.2000000000000002</v>
      </c>
      <c r="B330" s="482">
        <v>0.85880000000000001</v>
      </c>
      <c r="C330" s="482">
        <v>0.85880000000000001</v>
      </c>
      <c r="D330" s="482">
        <v>0.85499999999999998</v>
      </c>
      <c r="E330" s="482">
        <v>0.85499999999999998</v>
      </c>
      <c r="F330" s="482">
        <v>0.85499999999999998</v>
      </c>
      <c r="G330" s="482">
        <v>0.77300000000000002</v>
      </c>
      <c r="H330" s="482">
        <v>0.77300000000000002</v>
      </c>
      <c r="I330" s="482">
        <v>0.68269999999999997</v>
      </c>
      <c r="J330" s="482">
        <v>0.68269999999999997</v>
      </c>
      <c r="K330" s="482">
        <v>0.68269999999999997</v>
      </c>
      <c r="L330" s="482">
        <v>0.68269999999999997</v>
      </c>
      <c r="M330" s="482">
        <v>0.68269999999999997</v>
      </c>
    </row>
    <row r="331" spans="1:13">
      <c r="A331" s="483">
        <v>2.2999999999999998</v>
      </c>
      <c r="B331" s="482">
        <v>0.84360000000000002</v>
      </c>
      <c r="C331" s="482">
        <v>0.84360000000000002</v>
      </c>
      <c r="D331" s="482">
        <v>0.83899999999999997</v>
      </c>
      <c r="E331" s="482">
        <v>0.83899999999999997</v>
      </c>
      <c r="F331" s="482">
        <v>0.83899999999999997</v>
      </c>
      <c r="G331" s="482">
        <v>0.75839999999999996</v>
      </c>
      <c r="H331" s="482">
        <v>0.75839999999999996</v>
      </c>
      <c r="I331" s="482">
        <v>0.66949999999999998</v>
      </c>
      <c r="J331" s="482">
        <v>0.66949999999999998</v>
      </c>
      <c r="K331" s="482">
        <v>0.66949999999999998</v>
      </c>
      <c r="L331" s="482">
        <v>0.66949999999999998</v>
      </c>
      <c r="M331" s="482">
        <v>0.66949999999999998</v>
      </c>
    </row>
    <row r="332" spans="1:13">
      <c r="A332" s="483">
        <v>2.4</v>
      </c>
      <c r="B332" s="482">
        <v>0.82940000000000003</v>
      </c>
      <c r="C332" s="482">
        <v>0.82940000000000003</v>
      </c>
      <c r="D332" s="482">
        <v>0.82410000000000005</v>
      </c>
      <c r="E332" s="482">
        <v>0.82410000000000005</v>
      </c>
      <c r="F332" s="482">
        <v>0.82410000000000005</v>
      </c>
      <c r="G332" s="482">
        <v>0.74460000000000004</v>
      </c>
      <c r="H332" s="482">
        <v>0.74460000000000004</v>
      </c>
      <c r="I332" s="482">
        <v>0.65710000000000002</v>
      </c>
      <c r="J332" s="482">
        <v>0.65710000000000002</v>
      </c>
      <c r="K332" s="482">
        <v>0.65710000000000002</v>
      </c>
      <c r="L332" s="482">
        <v>0.65710000000000002</v>
      </c>
      <c r="M332" s="482">
        <v>0.65710000000000002</v>
      </c>
    </row>
    <row r="333" spans="1:13">
      <c r="A333" s="483">
        <v>2.5</v>
      </c>
      <c r="B333" s="482">
        <v>0.81620000000000004</v>
      </c>
      <c r="C333" s="482">
        <v>0.81620000000000004</v>
      </c>
      <c r="D333" s="482">
        <v>0.81020000000000003</v>
      </c>
      <c r="E333" s="482">
        <v>0.81020000000000003</v>
      </c>
      <c r="F333" s="482">
        <v>0.81020000000000003</v>
      </c>
      <c r="G333" s="482">
        <v>0.73180000000000001</v>
      </c>
      <c r="H333" s="482">
        <v>0.73180000000000001</v>
      </c>
      <c r="I333" s="482">
        <v>0.64549999999999996</v>
      </c>
      <c r="J333" s="482">
        <v>0.64549999999999996</v>
      </c>
      <c r="K333" s="482">
        <v>0.64549999999999996</v>
      </c>
      <c r="L333" s="482">
        <v>0.64549999999999996</v>
      </c>
      <c r="M333" s="482">
        <v>0.64549999999999996</v>
      </c>
    </row>
    <row r="334" spans="1:13">
      <c r="A334" s="483">
        <v>2.6</v>
      </c>
      <c r="B334" s="482">
        <v>0.80389999999999995</v>
      </c>
      <c r="C334" s="482">
        <v>0.80389999999999995</v>
      </c>
      <c r="D334" s="482">
        <v>0.79710000000000003</v>
      </c>
      <c r="E334" s="482">
        <v>0.79710000000000003</v>
      </c>
      <c r="F334" s="482">
        <v>0.79710000000000003</v>
      </c>
      <c r="G334" s="482">
        <v>0.71970000000000001</v>
      </c>
      <c r="H334" s="482">
        <v>0.71970000000000001</v>
      </c>
      <c r="I334" s="482">
        <v>0.63460000000000005</v>
      </c>
      <c r="J334" s="482">
        <v>0.63460000000000005</v>
      </c>
      <c r="K334" s="482">
        <v>0.63460000000000005</v>
      </c>
      <c r="L334" s="482">
        <v>0.63460000000000005</v>
      </c>
      <c r="M334" s="482">
        <v>0.63460000000000005</v>
      </c>
    </row>
    <row r="335" spans="1:13">
      <c r="A335" s="483">
        <v>2.7</v>
      </c>
      <c r="B335" s="482">
        <v>0.79249999999999998</v>
      </c>
      <c r="C335" s="482">
        <v>0.79249999999999998</v>
      </c>
      <c r="D335" s="482">
        <v>0.78490000000000004</v>
      </c>
      <c r="E335" s="482">
        <v>0.78490000000000004</v>
      </c>
      <c r="F335" s="482">
        <v>0.78490000000000004</v>
      </c>
      <c r="G335" s="482">
        <v>0.70840000000000003</v>
      </c>
      <c r="H335" s="482">
        <v>0.70840000000000003</v>
      </c>
      <c r="I335" s="482">
        <v>0.62439999999999996</v>
      </c>
      <c r="J335" s="482">
        <v>0.62439999999999996</v>
      </c>
      <c r="K335" s="482">
        <v>0.62439999999999996</v>
      </c>
      <c r="L335" s="482">
        <v>0.62439999999999996</v>
      </c>
      <c r="M335" s="482">
        <v>0.62439999999999996</v>
      </c>
    </row>
    <row r="336" spans="1:13">
      <c r="A336" s="483">
        <v>2.8</v>
      </c>
      <c r="B336" s="482">
        <v>0.78190000000000004</v>
      </c>
      <c r="C336" s="482">
        <v>0.78190000000000004</v>
      </c>
      <c r="D336" s="482">
        <v>0.77359999999999995</v>
      </c>
      <c r="E336" s="482">
        <v>0.77359999999999995</v>
      </c>
      <c r="F336" s="482">
        <v>0.77359999999999995</v>
      </c>
      <c r="G336" s="482">
        <v>0.69789999999999996</v>
      </c>
      <c r="H336" s="482">
        <v>0.69789999999999996</v>
      </c>
      <c r="I336" s="482">
        <v>0.61480000000000001</v>
      </c>
      <c r="J336" s="482">
        <v>0.61480000000000001</v>
      </c>
      <c r="K336" s="482">
        <v>0.61480000000000001</v>
      </c>
      <c r="L336" s="482">
        <v>0.61480000000000001</v>
      </c>
      <c r="M336" s="482">
        <v>0.61480000000000001</v>
      </c>
    </row>
    <row r="337" spans="1:13">
      <c r="A337" s="483">
        <v>2.9</v>
      </c>
      <c r="B337" s="482">
        <v>0.77210000000000001</v>
      </c>
      <c r="C337" s="482">
        <v>0.77210000000000001</v>
      </c>
      <c r="D337" s="482">
        <v>0.76300000000000001</v>
      </c>
      <c r="E337" s="482">
        <v>0.76300000000000001</v>
      </c>
      <c r="F337" s="482">
        <v>0.76300000000000001</v>
      </c>
      <c r="G337" s="482">
        <v>0.68799999999999994</v>
      </c>
      <c r="H337" s="482">
        <v>0.68799999999999994</v>
      </c>
      <c r="I337" s="482">
        <v>0.60589999999999999</v>
      </c>
      <c r="J337" s="482">
        <v>0.60589999999999999</v>
      </c>
      <c r="K337" s="482">
        <v>0.60589999999999999</v>
      </c>
      <c r="L337" s="482">
        <v>0.60589999999999999</v>
      </c>
      <c r="M337" s="482">
        <v>0.60589999999999999</v>
      </c>
    </row>
    <row r="338" spans="1:13">
      <c r="A338" s="483">
        <v>3</v>
      </c>
      <c r="B338" s="482">
        <v>0.7631</v>
      </c>
      <c r="C338" s="482">
        <v>0.7631</v>
      </c>
      <c r="D338" s="482">
        <v>0.75309999999999999</v>
      </c>
      <c r="E338" s="482">
        <v>0.75309999999999999</v>
      </c>
      <c r="F338" s="482">
        <v>0.75309999999999999</v>
      </c>
      <c r="G338" s="482">
        <v>0.67879999999999996</v>
      </c>
      <c r="H338" s="482">
        <v>0.67879999999999996</v>
      </c>
      <c r="I338" s="482">
        <v>0.59750000000000003</v>
      </c>
      <c r="J338" s="482">
        <v>0.59750000000000003</v>
      </c>
      <c r="K338" s="482">
        <v>0.59750000000000003</v>
      </c>
      <c r="L338" s="482">
        <v>0.59750000000000003</v>
      </c>
      <c r="M338" s="482">
        <v>0.59750000000000003</v>
      </c>
    </row>
    <row r="339" spans="1:13">
      <c r="A339" s="483">
        <v>3.1</v>
      </c>
      <c r="B339" s="482">
        <v>0.75470000000000004</v>
      </c>
      <c r="C339" s="482">
        <v>0.75470000000000004</v>
      </c>
      <c r="D339" s="482">
        <v>0.74399999999999999</v>
      </c>
      <c r="E339" s="482">
        <v>0.74399999999999999</v>
      </c>
      <c r="F339" s="482">
        <v>0.74399999999999999</v>
      </c>
      <c r="G339" s="482">
        <v>0.67020000000000002</v>
      </c>
      <c r="H339" s="482">
        <v>0.67020000000000002</v>
      </c>
      <c r="I339" s="482">
        <v>0.5897</v>
      </c>
      <c r="J339" s="482">
        <v>0.5897</v>
      </c>
      <c r="K339" s="482">
        <v>0.5897</v>
      </c>
      <c r="L339" s="482">
        <v>0.5897</v>
      </c>
      <c r="M339" s="482">
        <v>0.5897</v>
      </c>
    </row>
    <row r="340" spans="1:13">
      <c r="A340" s="483">
        <v>3.2</v>
      </c>
      <c r="B340" s="482">
        <v>0.747</v>
      </c>
      <c r="C340" s="482">
        <v>0.747</v>
      </c>
      <c r="D340" s="482">
        <v>0.73540000000000005</v>
      </c>
      <c r="E340" s="482">
        <v>0.73540000000000005</v>
      </c>
      <c r="F340" s="482">
        <v>0.73540000000000005</v>
      </c>
      <c r="G340" s="482">
        <v>0.66220000000000001</v>
      </c>
      <c r="H340" s="482">
        <v>0.66220000000000001</v>
      </c>
      <c r="I340" s="482">
        <v>0.58230000000000004</v>
      </c>
      <c r="J340" s="482">
        <v>0.58230000000000004</v>
      </c>
      <c r="K340" s="482">
        <v>0.58230000000000004</v>
      </c>
      <c r="L340" s="482">
        <v>0.58230000000000004</v>
      </c>
      <c r="M340" s="482">
        <v>0.58230000000000004</v>
      </c>
    </row>
    <row r="341" spans="1:13">
      <c r="A341" s="483">
        <v>3.3</v>
      </c>
      <c r="B341" s="482">
        <v>0.7399</v>
      </c>
      <c r="C341" s="482">
        <v>0.7399</v>
      </c>
      <c r="D341" s="482">
        <v>0.72750000000000004</v>
      </c>
      <c r="E341" s="482">
        <v>0.72750000000000004</v>
      </c>
      <c r="F341" s="482">
        <v>0.72750000000000004</v>
      </c>
      <c r="G341" s="482">
        <v>0.65480000000000005</v>
      </c>
      <c r="H341" s="482">
        <v>0.65480000000000005</v>
      </c>
      <c r="I341" s="482">
        <v>0.57540000000000002</v>
      </c>
      <c r="J341" s="482">
        <v>0.57540000000000002</v>
      </c>
      <c r="K341" s="482">
        <v>0.57540000000000002</v>
      </c>
      <c r="L341" s="482">
        <v>0.57540000000000002</v>
      </c>
      <c r="M341" s="482">
        <v>0.57540000000000002</v>
      </c>
    </row>
    <row r="342" spans="1:13">
      <c r="A342" s="483">
        <v>3.4</v>
      </c>
      <c r="B342" s="482">
        <v>0.73340000000000005</v>
      </c>
      <c r="C342" s="482">
        <v>0.73340000000000005</v>
      </c>
      <c r="D342" s="482">
        <v>0.72009999999999996</v>
      </c>
      <c r="E342" s="482">
        <v>0.72009999999999996</v>
      </c>
      <c r="F342" s="482">
        <v>0.72009999999999996</v>
      </c>
      <c r="G342" s="482">
        <v>0.64780000000000004</v>
      </c>
      <c r="H342" s="482">
        <v>0.64780000000000004</v>
      </c>
      <c r="I342" s="482">
        <v>0.56899999999999995</v>
      </c>
      <c r="J342" s="482">
        <v>0.56899999999999995</v>
      </c>
      <c r="K342" s="482">
        <v>0.56899999999999995</v>
      </c>
      <c r="L342" s="482">
        <v>0.56899999999999995</v>
      </c>
      <c r="M342" s="482">
        <v>0.56899999999999995</v>
      </c>
    </row>
    <row r="343" spans="1:13">
      <c r="A343" s="483">
        <v>3.5</v>
      </c>
      <c r="B343" s="482">
        <v>0.72740000000000005</v>
      </c>
      <c r="C343" s="482">
        <v>0.72740000000000005</v>
      </c>
      <c r="D343" s="482">
        <v>0.71330000000000005</v>
      </c>
      <c r="E343" s="482">
        <v>0.71330000000000005</v>
      </c>
      <c r="F343" s="482">
        <v>0.71330000000000005</v>
      </c>
      <c r="G343" s="482">
        <v>0.64129999999999998</v>
      </c>
      <c r="H343" s="482">
        <v>0.64129999999999998</v>
      </c>
      <c r="I343" s="482">
        <v>0.56310000000000004</v>
      </c>
      <c r="J343" s="482">
        <v>0.56310000000000004</v>
      </c>
      <c r="K343" s="482">
        <v>0.56310000000000004</v>
      </c>
      <c r="L343" s="482">
        <v>0.56310000000000004</v>
      </c>
      <c r="M343" s="482">
        <v>0.56310000000000004</v>
      </c>
    </row>
    <row r="344" spans="1:13">
      <c r="A344" s="483">
        <v>3.6</v>
      </c>
      <c r="B344" s="482">
        <v>0.72189999999999999</v>
      </c>
      <c r="C344" s="482">
        <v>0.72189999999999999</v>
      </c>
      <c r="D344" s="482">
        <v>0.70699999999999996</v>
      </c>
      <c r="E344" s="482">
        <v>0.70699999999999996</v>
      </c>
      <c r="F344" s="482">
        <v>0.70699999999999996</v>
      </c>
      <c r="G344" s="482">
        <v>0.63529999999999998</v>
      </c>
      <c r="H344" s="482">
        <v>0.63529999999999998</v>
      </c>
      <c r="I344" s="482">
        <v>0.5575</v>
      </c>
      <c r="J344" s="482">
        <v>0.5575</v>
      </c>
      <c r="K344" s="482">
        <v>0.5575</v>
      </c>
      <c r="L344" s="482">
        <v>0.5575</v>
      </c>
      <c r="M344" s="482">
        <v>0.5575</v>
      </c>
    </row>
    <row r="345" spans="1:13">
      <c r="A345" s="483">
        <v>3.7</v>
      </c>
      <c r="B345" s="482">
        <v>0.71679999999999999</v>
      </c>
      <c r="C345" s="482">
        <v>0.71679999999999999</v>
      </c>
      <c r="D345" s="482">
        <v>0.70109999999999995</v>
      </c>
      <c r="E345" s="482">
        <v>0.70109999999999995</v>
      </c>
      <c r="F345" s="482">
        <v>0.70109999999999995</v>
      </c>
      <c r="G345" s="482">
        <v>0.62970000000000004</v>
      </c>
      <c r="H345" s="482">
        <v>0.62970000000000004</v>
      </c>
      <c r="I345" s="482">
        <v>0.55230000000000001</v>
      </c>
      <c r="J345" s="482">
        <v>0.55230000000000001</v>
      </c>
      <c r="K345" s="482">
        <v>0.55230000000000001</v>
      </c>
      <c r="L345" s="482">
        <v>0.55230000000000001</v>
      </c>
      <c r="M345" s="482">
        <v>0.55230000000000001</v>
      </c>
    </row>
    <row r="346" spans="1:13">
      <c r="A346" s="483">
        <v>3.8</v>
      </c>
      <c r="B346" s="482">
        <v>0.71220000000000006</v>
      </c>
      <c r="C346" s="482">
        <v>0.71220000000000006</v>
      </c>
      <c r="D346" s="482">
        <v>0.6956</v>
      </c>
      <c r="E346" s="482">
        <v>0.6956</v>
      </c>
      <c r="F346" s="482">
        <v>0.6956</v>
      </c>
      <c r="G346" s="482">
        <v>0.62439999999999996</v>
      </c>
      <c r="H346" s="482">
        <v>0.62439999999999996</v>
      </c>
      <c r="I346" s="482">
        <v>0.5474</v>
      </c>
      <c r="J346" s="482">
        <v>0.5474</v>
      </c>
      <c r="K346" s="482">
        <v>0.5474</v>
      </c>
      <c r="L346" s="482">
        <v>0.5474</v>
      </c>
      <c r="M346" s="482">
        <v>0.5474</v>
      </c>
    </row>
    <row r="347" spans="1:13">
      <c r="A347" s="483">
        <v>3.9</v>
      </c>
      <c r="B347" s="482">
        <v>0.70799999999999996</v>
      </c>
      <c r="C347" s="482">
        <v>0.70799999999999996</v>
      </c>
      <c r="D347" s="482">
        <v>0.69059999999999999</v>
      </c>
      <c r="E347" s="482">
        <v>0.69059999999999999</v>
      </c>
      <c r="F347" s="482">
        <v>0.69059999999999999</v>
      </c>
      <c r="G347" s="482">
        <v>0.61950000000000005</v>
      </c>
      <c r="H347" s="482">
        <v>0.61950000000000005</v>
      </c>
      <c r="I347" s="482">
        <v>0.54279999999999995</v>
      </c>
      <c r="J347" s="482">
        <v>0.54279999999999995</v>
      </c>
      <c r="K347" s="482">
        <v>0.54279999999999995</v>
      </c>
      <c r="L347" s="482">
        <v>0.54279999999999995</v>
      </c>
      <c r="M347" s="482">
        <v>0.54279999999999995</v>
      </c>
    </row>
    <row r="348" spans="1:13">
      <c r="A348" s="483">
        <v>4</v>
      </c>
      <c r="B348" s="482">
        <v>0.70409999999999995</v>
      </c>
      <c r="C348" s="482">
        <v>0.70409999999999995</v>
      </c>
      <c r="D348" s="482">
        <v>0.68589999999999995</v>
      </c>
      <c r="E348" s="482">
        <v>0.68589999999999995</v>
      </c>
      <c r="F348" s="482">
        <v>0.68589999999999995</v>
      </c>
      <c r="G348" s="482">
        <v>0.61499999999999999</v>
      </c>
      <c r="H348" s="482">
        <v>0.61499999999999999</v>
      </c>
      <c r="I348" s="482">
        <v>0.53859999999999997</v>
      </c>
      <c r="J348" s="482">
        <v>0.53859999999999997</v>
      </c>
      <c r="K348" s="482">
        <v>0.53859999999999997</v>
      </c>
      <c r="L348" s="482">
        <v>0.53859999999999997</v>
      </c>
      <c r="M348" s="482">
        <v>0.53859999999999997</v>
      </c>
    </row>
    <row r="349" spans="1:13">
      <c r="A349" s="483">
        <v>4.0999999999999996</v>
      </c>
      <c r="B349" s="482">
        <v>0.7006</v>
      </c>
      <c r="C349" s="482">
        <v>0.7006</v>
      </c>
      <c r="D349" s="482">
        <v>0.68159999999999998</v>
      </c>
      <c r="E349" s="482">
        <v>0.68159999999999998</v>
      </c>
      <c r="F349" s="482">
        <v>0.68159999999999998</v>
      </c>
      <c r="G349" s="482">
        <v>0.61080000000000001</v>
      </c>
      <c r="H349" s="482">
        <v>0.61080000000000001</v>
      </c>
      <c r="I349" s="482">
        <v>0.53459999999999996</v>
      </c>
      <c r="J349" s="482">
        <v>0.53459999999999996</v>
      </c>
      <c r="K349" s="482">
        <v>0.53459999999999996</v>
      </c>
      <c r="L349" s="482">
        <v>0.53459999999999996</v>
      </c>
      <c r="M349" s="482">
        <v>0.53459999999999996</v>
      </c>
    </row>
    <row r="350" spans="1:13">
      <c r="A350" s="483">
        <v>4.2</v>
      </c>
      <c r="B350" s="482">
        <v>0.69740000000000002</v>
      </c>
      <c r="C350" s="482">
        <v>0.69740000000000002</v>
      </c>
      <c r="D350" s="482">
        <v>0.67759999999999998</v>
      </c>
      <c r="E350" s="482">
        <v>0.67759999999999998</v>
      </c>
      <c r="F350" s="482">
        <v>0.67759999999999998</v>
      </c>
      <c r="G350" s="482">
        <v>0.60699999999999998</v>
      </c>
      <c r="H350" s="482">
        <v>0.60699999999999998</v>
      </c>
      <c r="I350" s="482">
        <v>0.53090000000000004</v>
      </c>
      <c r="J350" s="482">
        <v>0.53090000000000004</v>
      </c>
      <c r="K350" s="482">
        <v>0.53090000000000004</v>
      </c>
      <c r="L350" s="482">
        <v>0.53090000000000004</v>
      </c>
      <c r="M350" s="482">
        <v>0.53090000000000004</v>
      </c>
    </row>
    <row r="351" spans="1:13">
      <c r="A351" s="483">
        <v>4.3</v>
      </c>
      <c r="B351" s="482">
        <v>0.69450000000000001</v>
      </c>
      <c r="C351" s="482">
        <v>0.69450000000000001</v>
      </c>
      <c r="D351" s="482">
        <v>0.67390000000000005</v>
      </c>
      <c r="E351" s="482">
        <v>0.67390000000000005</v>
      </c>
      <c r="F351" s="482">
        <v>0.67390000000000005</v>
      </c>
      <c r="G351" s="482">
        <v>0.60329999999999995</v>
      </c>
      <c r="H351" s="482">
        <v>0.60329999999999995</v>
      </c>
      <c r="I351" s="482">
        <v>0.52739999999999998</v>
      </c>
      <c r="J351" s="482">
        <v>0.52739999999999998</v>
      </c>
      <c r="K351" s="482">
        <v>0.52739999999999998</v>
      </c>
      <c r="L351" s="482">
        <v>0.52739999999999998</v>
      </c>
      <c r="M351" s="482">
        <v>0.52739999999999998</v>
      </c>
    </row>
    <row r="352" spans="1:13">
      <c r="A352" s="483">
        <v>4.4000000000000004</v>
      </c>
      <c r="B352" s="482">
        <v>0.69179999999999997</v>
      </c>
      <c r="C352" s="482">
        <v>0.69179999999999997</v>
      </c>
      <c r="D352" s="482">
        <v>0.67049999999999998</v>
      </c>
      <c r="E352" s="482">
        <v>0.67049999999999998</v>
      </c>
      <c r="F352" s="482">
        <v>0.67049999999999998</v>
      </c>
      <c r="G352" s="482">
        <v>0.59989999999999999</v>
      </c>
      <c r="H352" s="482">
        <v>0.59989999999999999</v>
      </c>
      <c r="I352" s="482">
        <v>0.5242</v>
      </c>
      <c r="J352" s="482">
        <v>0.5242</v>
      </c>
      <c r="K352" s="482">
        <v>0.5242</v>
      </c>
      <c r="L352" s="482">
        <v>0.5242</v>
      </c>
      <c r="M352" s="482">
        <v>0.5242</v>
      </c>
    </row>
    <row r="353" spans="1:13">
      <c r="A353" s="483">
        <v>4.5</v>
      </c>
      <c r="B353" s="482">
        <v>0.68940000000000001</v>
      </c>
      <c r="C353" s="482">
        <v>0.68940000000000001</v>
      </c>
      <c r="D353" s="482">
        <v>0.6673</v>
      </c>
      <c r="E353" s="482">
        <v>0.6673</v>
      </c>
      <c r="F353" s="482">
        <v>0.6673</v>
      </c>
      <c r="G353" s="482">
        <v>0.59670000000000001</v>
      </c>
      <c r="H353" s="482">
        <v>0.59670000000000001</v>
      </c>
      <c r="I353" s="482">
        <v>0.52110000000000001</v>
      </c>
      <c r="J353" s="482">
        <v>0.52110000000000001</v>
      </c>
      <c r="K353" s="482">
        <v>0.52110000000000001</v>
      </c>
      <c r="L353" s="482">
        <v>0.52110000000000001</v>
      </c>
      <c r="M353" s="482">
        <v>0.52110000000000001</v>
      </c>
    </row>
    <row r="354" spans="1:13">
      <c r="A354" s="483">
        <v>4.5999999999999996</v>
      </c>
      <c r="B354" s="482">
        <v>0.68720000000000003</v>
      </c>
      <c r="C354" s="482">
        <v>0.68720000000000003</v>
      </c>
      <c r="D354" s="482">
        <v>0.6643</v>
      </c>
      <c r="E354" s="482">
        <v>0.6643</v>
      </c>
      <c r="F354" s="482">
        <v>0.6643</v>
      </c>
      <c r="G354" s="482">
        <v>0.59379999999999999</v>
      </c>
      <c r="H354" s="482">
        <v>0.59379999999999999</v>
      </c>
      <c r="I354" s="482">
        <v>0.51819999999999999</v>
      </c>
      <c r="J354" s="482">
        <v>0.51819999999999999</v>
      </c>
      <c r="K354" s="482">
        <v>0.51819999999999999</v>
      </c>
      <c r="L354" s="482">
        <v>0.51819999999999999</v>
      </c>
      <c r="M354" s="482">
        <v>0.51819999999999999</v>
      </c>
    </row>
    <row r="355" spans="1:13">
      <c r="A355" s="483">
        <v>4.7</v>
      </c>
      <c r="B355" s="482">
        <v>0.68520000000000003</v>
      </c>
      <c r="C355" s="482">
        <v>0.68520000000000003</v>
      </c>
      <c r="D355" s="482">
        <v>0.66149999999999998</v>
      </c>
      <c r="E355" s="482">
        <v>0.66149999999999998</v>
      </c>
      <c r="F355" s="482">
        <v>0.66149999999999998</v>
      </c>
      <c r="G355" s="482">
        <v>0.59109999999999996</v>
      </c>
      <c r="H355" s="482">
        <v>0.59109999999999996</v>
      </c>
      <c r="I355" s="482">
        <v>0.51559999999999995</v>
      </c>
      <c r="J355" s="482">
        <v>0.51559999999999995</v>
      </c>
      <c r="K355" s="482">
        <v>0.51559999999999995</v>
      </c>
      <c r="L355" s="482">
        <v>0.51559999999999995</v>
      </c>
      <c r="M355" s="482">
        <v>0.51559999999999995</v>
      </c>
    </row>
    <row r="356" spans="1:13">
      <c r="A356" s="483">
        <v>4.8</v>
      </c>
      <c r="B356" s="482">
        <v>0.68340000000000001</v>
      </c>
      <c r="C356" s="482">
        <v>0.68340000000000001</v>
      </c>
      <c r="D356" s="482">
        <v>0.65900000000000003</v>
      </c>
      <c r="E356" s="482">
        <v>0.65900000000000003</v>
      </c>
      <c r="F356" s="482">
        <v>0.65900000000000003</v>
      </c>
      <c r="G356" s="482">
        <v>0.58850000000000002</v>
      </c>
      <c r="H356" s="482">
        <v>0.58850000000000002</v>
      </c>
      <c r="I356" s="482">
        <v>0.51300000000000001</v>
      </c>
      <c r="J356" s="482">
        <v>0.51300000000000001</v>
      </c>
      <c r="K356" s="482">
        <v>0.51300000000000001</v>
      </c>
      <c r="L356" s="482">
        <v>0.51300000000000001</v>
      </c>
      <c r="M356" s="482">
        <v>0.51300000000000001</v>
      </c>
    </row>
    <row r="357" spans="1:13">
      <c r="A357" s="483">
        <v>4.9000000000000004</v>
      </c>
      <c r="B357" s="482">
        <v>0.68179999999999996</v>
      </c>
      <c r="C357" s="482">
        <v>0.68179999999999996</v>
      </c>
      <c r="D357" s="482">
        <v>0.65659999999999996</v>
      </c>
      <c r="E357" s="482">
        <v>0.65659999999999996</v>
      </c>
      <c r="F357" s="482">
        <v>0.65659999999999996</v>
      </c>
      <c r="G357" s="482">
        <v>0.58599999999999997</v>
      </c>
      <c r="H357" s="482">
        <v>0.58599999999999997</v>
      </c>
      <c r="I357" s="482">
        <v>0.51060000000000005</v>
      </c>
      <c r="J357" s="482">
        <v>0.51060000000000005</v>
      </c>
      <c r="K357" s="482">
        <v>0.51060000000000005</v>
      </c>
      <c r="L357" s="482">
        <v>0.51060000000000005</v>
      </c>
      <c r="M357" s="482">
        <v>0.51060000000000005</v>
      </c>
    </row>
    <row r="358" spans="1:13">
      <c r="A358" s="483">
        <v>5</v>
      </c>
      <c r="B358" s="482">
        <v>0.68030000000000002</v>
      </c>
      <c r="C358" s="482">
        <v>0.68030000000000002</v>
      </c>
      <c r="D358" s="482">
        <v>0.65439999999999998</v>
      </c>
      <c r="E358" s="482">
        <v>0.65439999999999998</v>
      </c>
      <c r="F358" s="482">
        <v>0.65439999999999998</v>
      </c>
      <c r="G358" s="482">
        <v>0.58379999999999999</v>
      </c>
      <c r="H358" s="482">
        <v>0.58379999999999999</v>
      </c>
      <c r="I358" s="482">
        <v>0.50839999999999996</v>
      </c>
      <c r="J358" s="482">
        <v>0.50839999999999996</v>
      </c>
      <c r="K358" s="482">
        <v>0.50839999999999996</v>
      </c>
      <c r="L358" s="482">
        <v>0.50839999999999996</v>
      </c>
      <c r="M358" s="482">
        <v>0.50839999999999996</v>
      </c>
    </row>
    <row r="359" spans="1:13">
      <c r="A359" s="479">
        <v>5.0999999999999996</v>
      </c>
      <c r="B359" s="482">
        <v>0.67889999999999995</v>
      </c>
      <c r="C359" s="482">
        <v>0.67889999999999995</v>
      </c>
      <c r="D359" s="482">
        <v>0.65229999999999999</v>
      </c>
      <c r="E359" s="482">
        <v>0.65229999999999999</v>
      </c>
      <c r="F359" s="482">
        <v>0.65229999999999999</v>
      </c>
      <c r="G359" s="482">
        <v>0.58160000000000001</v>
      </c>
      <c r="H359" s="482">
        <v>0.58160000000000001</v>
      </c>
      <c r="I359" s="482">
        <v>0.50629999999999997</v>
      </c>
      <c r="J359" s="482">
        <v>0.50629999999999997</v>
      </c>
      <c r="K359" s="482">
        <v>0.50629999999999997</v>
      </c>
      <c r="L359" s="482">
        <v>0.50629999999999997</v>
      </c>
      <c r="M359" s="482">
        <v>0.50629999999999997</v>
      </c>
    </row>
    <row r="360" spans="1:13">
      <c r="A360" s="479">
        <v>5.2</v>
      </c>
      <c r="B360" s="482">
        <v>0.67749999999999999</v>
      </c>
      <c r="C360" s="482">
        <v>0.67749999999999999</v>
      </c>
      <c r="D360" s="482">
        <v>0.65029999999999999</v>
      </c>
      <c r="E360" s="482">
        <v>0.65029999999999999</v>
      </c>
      <c r="F360" s="482">
        <v>0.65029999999999999</v>
      </c>
      <c r="G360" s="482">
        <v>0.57950000000000002</v>
      </c>
      <c r="H360" s="482">
        <v>0.57950000000000002</v>
      </c>
      <c r="I360" s="482">
        <v>0.50419999999999998</v>
      </c>
      <c r="J360" s="482">
        <v>0.50419999999999998</v>
      </c>
      <c r="K360" s="482">
        <v>0.50419999999999998</v>
      </c>
      <c r="L360" s="482">
        <v>0.50419999999999998</v>
      </c>
      <c r="M360" s="482">
        <v>0.50419999999999998</v>
      </c>
    </row>
    <row r="361" spans="1:13">
      <c r="A361" s="479">
        <v>5.3</v>
      </c>
      <c r="B361" s="482">
        <v>0.67620000000000002</v>
      </c>
      <c r="C361" s="482">
        <v>0.67620000000000002</v>
      </c>
      <c r="D361" s="482">
        <v>0.64839999999999998</v>
      </c>
      <c r="E361" s="482">
        <v>0.64839999999999998</v>
      </c>
      <c r="F361" s="482">
        <v>0.64839999999999998</v>
      </c>
      <c r="G361" s="482">
        <v>0.5776</v>
      </c>
      <c r="H361" s="482">
        <v>0.5776</v>
      </c>
      <c r="I361" s="482">
        <v>0.50229999999999997</v>
      </c>
      <c r="J361" s="482">
        <v>0.50229999999999997</v>
      </c>
      <c r="K361" s="482">
        <v>0.50229999999999997</v>
      </c>
      <c r="L361" s="482">
        <v>0.50229999999999997</v>
      </c>
      <c r="M361" s="482">
        <v>0.50229999999999997</v>
      </c>
    </row>
    <row r="362" spans="1:13">
      <c r="A362" s="479">
        <v>5.4</v>
      </c>
      <c r="B362" s="482">
        <v>0.67500000000000004</v>
      </c>
      <c r="C362" s="482">
        <v>0.67500000000000004</v>
      </c>
      <c r="D362" s="482">
        <v>0.64670000000000005</v>
      </c>
      <c r="E362" s="482">
        <v>0.64670000000000005</v>
      </c>
      <c r="F362" s="482">
        <v>0.64670000000000005</v>
      </c>
      <c r="G362" s="482">
        <v>0.57579999999999998</v>
      </c>
      <c r="H362" s="482">
        <v>0.57579999999999998</v>
      </c>
      <c r="I362" s="482">
        <v>0.50039999999999996</v>
      </c>
      <c r="J362" s="482">
        <v>0.50039999999999996</v>
      </c>
      <c r="K362" s="482">
        <v>0.50039999999999996</v>
      </c>
      <c r="L362" s="482">
        <v>0.50039999999999996</v>
      </c>
      <c r="M362" s="482">
        <v>0.50039999999999996</v>
      </c>
    </row>
    <row r="363" spans="1:13">
      <c r="A363" s="479">
        <v>5.5</v>
      </c>
      <c r="B363" s="482">
        <v>0.67379999999999995</v>
      </c>
      <c r="C363" s="482">
        <v>0.67379999999999995</v>
      </c>
      <c r="D363" s="482">
        <v>0.64500000000000002</v>
      </c>
      <c r="E363" s="482">
        <v>0.64500000000000002</v>
      </c>
      <c r="F363" s="482">
        <v>0.64500000000000002</v>
      </c>
      <c r="G363" s="482">
        <v>0.57399999999999995</v>
      </c>
      <c r="H363" s="482">
        <v>0.57399999999999995</v>
      </c>
      <c r="I363" s="482">
        <v>0.49869999999999998</v>
      </c>
      <c r="J363" s="482">
        <v>0.49869999999999998</v>
      </c>
      <c r="K363" s="482">
        <v>0.49869999999999998</v>
      </c>
      <c r="L363" s="482">
        <v>0.49869999999999998</v>
      </c>
      <c r="M363" s="482">
        <v>0.49869999999999998</v>
      </c>
    </row>
    <row r="364" spans="1:13">
      <c r="A364" s="479">
        <v>5.6</v>
      </c>
      <c r="B364" s="482">
        <v>0.67259999999999998</v>
      </c>
      <c r="C364" s="482">
        <v>0.67259999999999998</v>
      </c>
      <c r="D364" s="482">
        <v>0.64339999999999997</v>
      </c>
      <c r="E364" s="482">
        <v>0.64339999999999997</v>
      </c>
      <c r="F364" s="482">
        <v>0.64339999999999997</v>
      </c>
      <c r="G364" s="482">
        <v>0.57240000000000002</v>
      </c>
      <c r="H364" s="482">
        <v>0.57240000000000002</v>
      </c>
      <c r="I364" s="482">
        <v>0.49690000000000001</v>
      </c>
      <c r="J364" s="482">
        <v>0.49690000000000001</v>
      </c>
      <c r="K364" s="482">
        <v>0.49690000000000001</v>
      </c>
      <c r="L364" s="482">
        <v>0.49690000000000001</v>
      </c>
      <c r="M364" s="482">
        <v>0.49690000000000001</v>
      </c>
    </row>
    <row r="365" spans="1:13">
      <c r="A365" s="483">
        <v>5.7</v>
      </c>
      <c r="B365" s="482">
        <v>0.6714</v>
      </c>
      <c r="C365" s="482">
        <v>0.6714</v>
      </c>
      <c r="D365" s="482">
        <v>0.64190000000000003</v>
      </c>
      <c r="E365" s="482">
        <v>0.64190000000000003</v>
      </c>
      <c r="F365" s="482">
        <v>0.64190000000000003</v>
      </c>
      <c r="G365" s="482">
        <v>0.57069999999999999</v>
      </c>
      <c r="H365" s="482">
        <v>0.57069999999999999</v>
      </c>
      <c r="I365" s="482">
        <v>0.49519999999999997</v>
      </c>
      <c r="J365" s="482">
        <v>0.49519999999999997</v>
      </c>
      <c r="K365" s="482">
        <v>0.49519999999999997</v>
      </c>
      <c r="L365" s="482">
        <v>0.49519999999999997</v>
      </c>
      <c r="M365" s="482">
        <v>0.49519999999999997</v>
      </c>
    </row>
    <row r="366" spans="1:13">
      <c r="A366" s="479">
        <v>5.8</v>
      </c>
      <c r="B366" s="482">
        <v>0.67020000000000002</v>
      </c>
      <c r="C366" s="482">
        <v>0.67020000000000002</v>
      </c>
      <c r="D366" s="482">
        <v>0.64039999999999997</v>
      </c>
      <c r="E366" s="482">
        <v>0.64039999999999997</v>
      </c>
      <c r="F366" s="482">
        <v>0.64039999999999997</v>
      </c>
      <c r="G366" s="482">
        <v>0.56910000000000005</v>
      </c>
      <c r="H366" s="482">
        <v>0.56910000000000005</v>
      </c>
      <c r="I366" s="482">
        <v>0.49359999999999998</v>
      </c>
      <c r="J366" s="482">
        <v>0.49359999999999998</v>
      </c>
      <c r="K366" s="482">
        <v>0.49359999999999998</v>
      </c>
      <c r="L366" s="482">
        <v>0.49359999999999998</v>
      </c>
      <c r="M366" s="482">
        <v>0.49359999999999998</v>
      </c>
    </row>
    <row r="367" spans="1:13">
      <c r="A367" s="479">
        <v>5.9</v>
      </c>
      <c r="B367" s="482">
        <v>0.66910000000000003</v>
      </c>
      <c r="C367" s="482">
        <v>0.66910000000000003</v>
      </c>
      <c r="D367" s="482">
        <v>0.63890000000000002</v>
      </c>
      <c r="E367" s="482">
        <v>0.63890000000000002</v>
      </c>
      <c r="F367" s="482">
        <v>0.63890000000000002</v>
      </c>
      <c r="G367" s="482">
        <v>0.5675</v>
      </c>
      <c r="H367" s="482">
        <v>0.5675</v>
      </c>
      <c r="I367" s="482">
        <v>0.4919</v>
      </c>
      <c r="J367" s="482">
        <v>0.4919</v>
      </c>
      <c r="K367" s="482">
        <v>0.4919</v>
      </c>
      <c r="L367" s="482">
        <v>0.4919</v>
      </c>
      <c r="M367" s="482">
        <v>0.4919</v>
      </c>
    </row>
    <row r="368" spans="1:13">
      <c r="A368" s="479">
        <v>6</v>
      </c>
      <c r="B368" s="482">
        <v>0.66800000000000004</v>
      </c>
      <c r="C368" s="482">
        <v>0.66800000000000004</v>
      </c>
      <c r="D368" s="482">
        <v>0.63739999999999997</v>
      </c>
      <c r="E368" s="482">
        <v>0.63739999999999997</v>
      </c>
      <c r="F368" s="482">
        <v>0.63739999999999997</v>
      </c>
      <c r="G368" s="482">
        <v>0.56589999999999996</v>
      </c>
      <c r="H368" s="482">
        <v>0.56589999999999996</v>
      </c>
      <c r="I368" s="482">
        <v>0.49020000000000002</v>
      </c>
      <c r="J368" s="482">
        <v>0.49020000000000002</v>
      </c>
      <c r="K368" s="482">
        <v>0.49020000000000002</v>
      </c>
      <c r="L368" s="482">
        <v>0.49020000000000002</v>
      </c>
      <c r="M368" s="482">
        <v>0.49020000000000002</v>
      </c>
    </row>
    <row r="369" spans="1:13">
      <c r="A369" s="479">
        <v>6.1</v>
      </c>
      <c r="B369" s="482">
        <v>0.66690000000000005</v>
      </c>
      <c r="C369" s="482">
        <v>0.66690000000000005</v>
      </c>
      <c r="D369" s="482">
        <v>0.63590000000000002</v>
      </c>
      <c r="E369" s="482">
        <v>0.63590000000000002</v>
      </c>
      <c r="F369" s="482">
        <v>0.63590000000000002</v>
      </c>
      <c r="G369" s="482">
        <v>0.56440000000000001</v>
      </c>
      <c r="H369" s="482">
        <v>0.56440000000000001</v>
      </c>
      <c r="I369" s="482">
        <v>0.48849999999999999</v>
      </c>
      <c r="J369" s="482">
        <v>0.48849999999999999</v>
      </c>
      <c r="K369" s="482">
        <v>0.48849999999999999</v>
      </c>
      <c r="L369" s="482">
        <v>0.48849999999999999</v>
      </c>
      <c r="M369" s="482">
        <v>0.48849999999999999</v>
      </c>
    </row>
    <row r="370" spans="1:13">
      <c r="A370" s="479">
        <v>6.2</v>
      </c>
      <c r="B370" s="482">
        <v>0.66579999999999995</v>
      </c>
      <c r="C370" s="482">
        <v>0.66579999999999995</v>
      </c>
      <c r="D370" s="482">
        <v>0.63439999999999996</v>
      </c>
      <c r="E370" s="482">
        <v>0.63439999999999996</v>
      </c>
      <c r="F370" s="482">
        <v>0.63439999999999996</v>
      </c>
      <c r="G370" s="482">
        <v>0.56289999999999996</v>
      </c>
      <c r="H370" s="482">
        <v>0.56289999999999996</v>
      </c>
      <c r="I370" s="482">
        <v>0.48680000000000001</v>
      </c>
      <c r="J370" s="482">
        <v>0.48680000000000001</v>
      </c>
      <c r="K370" s="482">
        <v>0.48680000000000001</v>
      </c>
      <c r="L370" s="482">
        <v>0.48680000000000001</v>
      </c>
      <c r="M370" s="482">
        <v>0.48680000000000001</v>
      </c>
    </row>
    <row r="371" spans="1:13">
      <c r="A371" s="479">
        <v>6.3</v>
      </c>
      <c r="B371" s="482">
        <v>0.66469999999999996</v>
      </c>
      <c r="C371" s="482">
        <v>0.66469999999999996</v>
      </c>
      <c r="D371" s="482">
        <v>0.63290000000000002</v>
      </c>
      <c r="E371" s="482">
        <v>0.63290000000000002</v>
      </c>
      <c r="F371" s="482">
        <v>0.63290000000000002</v>
      </c>
      <c r="G371" s="482">
        <v>0.56130000000000002</v>
      </c>
      <c r="H371" s="482">
        <v>0.56130000000000002</v>
      </c>
      <c r="I371" s="482">
        <v>0.48509999999999998</v>
      </c>
      <c r="J371" s="482">
        <v>0.48509999999999998</v>
      </c>
      <c r="K371" s="482">
        <v>0.48509999999999998</v>
      </c>
      <c r="L371" s="482">
        <v>0.48509999999999998</v>
      </c>
      <c r="M371" s="482">
        <v>0.48509999999999998</v>
      </c>
    </row>
    <row r="372" spans="1:13">
      <c r="A372" s="479">
        <v>6.4</v>
      </c>
      <c r="B372" s="482">
        <v>0.66359999999999997</v>
      </c>
      <c r="C372" s="482">
        <v>0.66359999999999997</v>
      </c>
      <c r="D372" s="482">
        <v>0.63139999999999996</v>
      </c>
      <c r="E372" s="482">
        <v>0.63139999999999996</v>
      </c>
      <c r="F372" s="482">
        <v>0.63139999999999996</v>
      </c>
      <c r="G372" s="482">
        <v>0.55979999999999996</v>
      </c>
      <c r="H372" s="482">
        <v>0.55979999999999996</v>
      </c>
      <c r="I372" s="482">
        <v>0.48349999999999999</v>
      </c>
      <c r="J372" s="482">
        <v>0.48349999999999999</v>
      </c>
      <c r="K372" s="482">
        <v>0.48349999999999999</v>
      </c>
      <c r="L372" s="482">
        <v>0.48349999999999999</v>
      </c>
      <c r="M372" s="482">
        <v>0.48349999999999999</v>
      </c>
    </row>
    <row r="373" spans="1:13">
      <c r="A373" s="479">
        <v>6.5</v>
      </c>
      <c r="B373" s="482">
        <v>0.66249999999999998</v>
      </c>
      <c r="C373" s="482">
        <v>0.66249999999999998</v>
      </c>
      <c r="D373" s="482">
        <v>0.63</v>
      </c>
      <c r="E373" s="482">
        <v>0.63</v>
      </c>
      <c r="F373" s="482">
        <v>0.63</v>
      </c>
      <c r="G373" s="482">
        <v>0.55820000000000003</v>
      </c>
      <c r="H373" s="482">
        <v>0.55820000000000003</v>
      </c>
      <c r="I373" s="482">
        <v>0.4819</v>
      </c>
      <c r="J373" s="482">
        <v>0.4819</v>
      </c>
      <c r="K373" s="482">
        <v>0.4819</v>
      </c>
      <c r="L373" s="482">
        <v>0.4819</v>
      </c>
      <c r="M373" s="482">
        <v>0.4819</v>
      </c>
    </row>
    <row r="374" spans="1:13">
      <c r="A374" s="479">
        <v>6.6</v>
      </c>
      <c r="B374" s="482">
        <v>0.66149999999999998</v>
      </c>
      <c r="C374" s="482">
        <v>0.66149999999999998</v>
      </c>
      <c r="D374" s="482">
        <v>0.62860000000000005</v>
      </c>
      <c r="E374" s="482">
        <v>0.62860000000000005</v>
      </c>
      <c r="F374" s="482">
        <v>0.62860000000000005</v>
      </c>
      <c r="G374" s="482">
        <v>0.55669999999999997</v>
      </c>
      <c r="H374" s="482">
        <v>0.55669999999999997</v>
      </c>
      <c r="I374" s="482">
        <v>0.4803</v>
      </c>
      <c r="J374" s="482">
        <v>0.4803</v>
      </c>
      <c r="K374" s="482">
        <v>0.4803</v>
      </c>
      <c r="L374" s="482">
        <v>0.4803</v>
      </c>
      <c r="M374" s="482">
        <v>0.4803</v>
      </c>
    </row>
    <row r="375" spans="1:13">
      <c r="A375" s="479">
        <v>6.7</v>
      </c>
      <c r="B375" s="482">
        <v>0.66049999999999998</v>
      </c>
      <c r="C375" s="482">
        <v>0.66049999999999998</v>
      </c>
      <c r="D375" s="482">
        <v>0.62719999999999998</v>
      </c>
      <c r="E375" s="482">
        <v>0.62719999999999998</v>
      </c>
      <c r="F375" s="482">
        <v>0.62719999999999998</v>
      </c>
      <c r="G375" s="482">
        <v>0.55520000000000003</v>
      </c>
      <c r="H375" s="482">
        <v>0.55520000000000003</v>
      </c>
      <c r="I375" s="482">
        <v>0.47870000000000001</v>
      </c>
      <c r="J375" s="482">
        <v>0.47870000000000001</v>
      </c>
      <c r="K375" s="482">
        <v>0.47870000000000001</v>
      </c>
      <c r="L375" s="482">
        <v>0.47870000000000001</v>
      </c>
      <c r="M375" s="482">
        <v>0.47870000000000001</v>
      </c>
    </row>
    <row r="376" spans="1:13">
      <c r="A376" s="479">
        <v>6.8</v>
      </c>
      <c r="B376" s="482">
        <v>0.65949999999999998</v>
      </c>
      <c r="C376" s="482">
        <v>0.65949999999999998</v>
      </c>
      <c r="D376" s="482">
        <v>0.62580000000000002</v>
      </c>
      <c r="E376" s="482">
        <v>0.62580000000000002</v>
      </c>
      <c r="F376" s="482">
        <v>0.62580000000000002</v>
      </c>
      <c r="G376" s="482">
        <v>0.55359999999999998</v>
      </c>
      <c r="H376" s="482">
        <v>0.55359999999999998</v>
      </c>
      <c r="I376" s="482">
        <v>0.47710000000000002</v>
      </c>
      <c r="J376" s="482">
        <v>0.47710000000000002</v>
      </c>
      <c r="K376" s="482">
        <v>0.47710000000000002</v>
      </c>
      <c r="L376" s="482">
        <v>0.47710000000000002</v>
      </c>
      <c r="M376" s="482">
        <v>0.47710000000000002</v>
      </c>
    </row>
    <row r="377" spans="1:13">
      <c r="A377" s="479">
        <v>6.9</v>
      </c>
      <c r="B377" s="482">
        <v>0.65849999999999997</v>
      </c>
      <c r="C377" s="482">
        <v>0.65849999999999997</v>
      </c>
      <c r="D377" s="482">
        <v>0.62439999999999996</v>
      </c>
      <c r="E377" s="482">
        <v>0.62439999999999996</v>
      </c>
      <c r="F377" s="482">
        <v>0.62439999999999996</v>
      </c>
      <c r="G377" s="482">
        <v>0.55220000000000002</v>
      </c>
      <c r="H377" s="482">
        <v>0.55220000000000002</v>
      </c>
      <c r="I377" s="482">
        <v>0.47549999999999998</v>
      </c>
      <c r="J377" s="482">
        <v>0.47549999999999998</v>
      </c>
      <c r="K377" s="482">
        <v>0.47549999999999998</v>
      </c>
      <c r="L377" s="482">
        <v>0.47549999999999998</v>
      </c>
      <c r="M377" s="482">
        <v>0.47549999999999998</v>
      </c>
    </row>
    <row r="378" spans="1:13">
      <c r="A378" s="479">
        <v>7</v>
      </c>
      <c r="B378" s="482">
        <v>0.65749999999999997</v>
      </c>
      <c r="C378" s="482">
        <v>0.65749999999999997</v>
      </c>
      <c r="D378" s="482">
        <v>0.623</v>
      </c>
      <c r="E378" s="482">
        <v>0.623</v>
      </c>
      <c r="F378" s="482">
        <v>0.623</v>
      </c>
      <c r="G378" s="482">
        <v>0.55069999999999997</v>
      </c>
      <c r="H378" s="482">
        <v>0.55069999999999997</v>
      </c>
      <c r="I378" s="482">
        <v>0.47389999999999999</v>
      </c>
      <c r="J378" s="482">
        <v>0.47389999999999999</v>
      </c>
      <c r="K378" s="482">
        <v>0.47389999999999999</v>
      </c>
      <c r="L378" s="482">
        <v>0.47389999999999999</v>
      </c>
      <c r="M378" s="482">
        <v>0.47389999999999999</v>
      </c>
    </row>
    <row r="379" spans="1:13">
      <c r="A379" s="479">
        <v>7.1</v>
      </c>
      <c r="B379" s="482">
        <v>0.65649999999999997</v>
      </c>
      <c r="C379" s="482">
        <v>0.65649999999999997</v>
      </c>
      <c r="D379" s="482">
        <v>0.62160000000000004</v>
      </c>
      <c r="E379" s="482">
        <v>0.62160000000000004</v>
      </c>
      <c r="F379" s="482">
        <v>0.62160000000000004</v>
      </c>
      <c r="G379" s="482">
        <v>0.54930000000000001</v>
      </c>
      <c r="H379" s="482">
        <v>0.54930000000000001</v>
      </c>
      <c r="I379" s="482">
        <v>0.47239999999999999</v>
      </c>
      <c r="J379" s="482">
        <v>0.47239999999999999</v>
      </c>
      <c r="K379" s="482">
        <v>0.47239999999999999</v>
      </c>
      <c r="L379" s="482">
        <v>0.47239999999999999</v>
      </c>
      <c r="M379" s="482">
        <v>0.47239999999999999</v>
      </c>
    </row>
    <row r="380" spans="1:13">
      <c r="A380" s="479">
        <v>7.2</v>
      </c>
      <c r="B380" s="482">
        <v>0.65549999999999997</v>
      </c>
      <c r="C380" s="482">
        <v>0.65549999999999997</v>
      </c>
      <c r="D380" s="482">
        <v>0.62019999999999997</v>
      </c>
      <c r="E380" s="482">
        <v>0.62019999999999997</v>
      </c>
      <c r="F380" s="482">
        <v>0.62019999999999997</v>
      </c>
      <c r="G380" s="482">
        <v>0.54779999999999995</v>
      </c>
      <c r="H380" s="482">
        <v>0.54779999999999995</v>
      </c>
      <c r="I380" s="482">
        <v>0.47089999999999999</v>
      </c>
      <c r="J380" s="482">
        <v>0.47089999999999999</v>
      </c>
      <c r="K380" s="482">
        <v>0.47089999999999999</v>
      </c>
      <c r="L380" s="482">
        <v>0.47089999999999999</v>
      </c>
      <c r="M380" s="482">
        <v>0.47089999999999999</v>
      </c>
    </row>
    <row r="381" spans="1:13">
      <c r="A381" s="479">
        <v>7.3</v>
      </c>
      <c r="B381" s="482">
        <v>0.65449999999999997</v>
      </c>
      <c r="C381" s="482">
        <v>0.65449999999999997</v>
      </c>
      <c r="D381" s="482">
        <v>0.61880000000000002</v>
      </c>
      <c r="E381" s="482">
        <v>0.61880000000000002</v>
      </c>
      <c r="F381" s="482">
        <v>0.61880000000000002</v>
      </c>
      <c r="G381" s="482">
        <v>0.5464</v>
      </c>
      <c r="H381" s="482">
        <v>0.5464</v>
      </c>
      <c r="I381" s="482">
        <v>0.46939999999999998</v>
      </c>
      <c r="J381" s="482">
        <v>0.46939999999999998</v>
      </c>
      <c r="K381" s="482">
        <v>0.46939999999999998</v>
      </c>
      <c r="L381" s="482">
        <v>0.46939999999999998</v>
      </c>
      <c r="M381" s="482">
        <v>0.46939999999999998</v>
      </c>
    </row>
    <row r="382" spans="1:13">
      <c r="A382" s="479">
        <v>7.4</v>
      </c>
      <c r="B382" s="482">
        <v>0.65349999999999997</v>
      </c>
      <c r="C382" s="482">
        <v>0.65349999999999997</v>
      </c>
      <c r="D382" s="482">
        <v>0.61750000000000005</v>
      </c>
      <c r="E382" s="482">
        <v>0.61750000000000005</v>
      </c>
      <c r="F382" s="482">
        <v>0.61750000000000005</v>
      </c>
      <c r="G382" s="482">
        <v>0.54490000000000005</v>
      </c>
      <c r="H382" s="482">
        <v>0.54490000000000005</v>
      </c>
      <c r="I382" s="482">
        <v>0.46779999999999999</v>
      </c>
      <c r="J382" s="482">
        <v>0.46779999999999999</v>
      </c>
      <c r="K382" s="482">
        <v>0.46779999999999999</v>
      </c>
      <c r="L382" s="482">
        <v>0.46779999999999999</v>
      </c>
      <c r="M382" s="482">
        <v>0.46779999999999999</v>
      </c>
    </row>
    <row r="383" spans="1:13">
      <c r="A383" s="479">
        <v>7.5</v>
      </c>
      <c r="B383" s="482">
        <v>0.65249999999999997</v>
      </c>
      <c r="C383" s="482">
        <v>0.65249999999999997</v>
      </c>
      <c r="D383" s="482">
        <v>0.61619999999999997</v>
      </c>
      <c r="E383" s="482">
        <v>0.61619999999999997</v>
      </c>
      <c r="F383" s="482">
        <v>0.61619999999999997</v>
      </c>
      <c r="G383" s="482">
        <v>0.54349999999999998</v>
      </c>
      <c r="H383" s="482">
        <v>0.54349999999999998</v>
      </c>
      <c r="I383" s="482">
        <v>0.46629999999999999</v>
      </c>
      <c r="J383" s="482">
        <v>0.46629999999999999</v>
      </c>
      <c r="K383" s="482">
        <v>0.46629999999999999</v>
      </c>
      <c r="L383" s="482">
        <v>0.46629999999999999</v>
      </c>
      <c r="M383" s="482">
        <v>0.46629999999999999</v>
      </c>
    </row>
    <row r="384" spans="1:13">
      <c r="A384" s="479">
        <v>7.6</v>
      </c>
      <c r="B384" s="482">
        <v>0.65149999999999997</v>
      </c>
      <c r="C384" s="482">
        <v>0.65149999999999997</v>
      </c>
      <c r="D384" s="482">
        <v>0.6149</v>
      </c>
      <c r="E384" s="482">
        <v>0.6149</v>
      </c>
      <c r="F384" s="482">
        <v>0.6149</v>
      </c>
      <c r="G384" s="482">
        <v>0.54200000000000004</v>
      </c>
      <c r="H384" s="482">
        <v>0.54200000000000004</v>
      </c>
      <c r="I384" s="482">
        <v>0.46479999999999999</v>
      </c>
      <c r="J384" s="482">
        <v>0.46479999999999999</v>
      </c>
      <c r="K384" s="482">
        <v>0.46479999999999999</v>
      </c>
      <c r="L384" s="482">
        <v>0.46479999999999999</v>
      </c>
      <c r="M384" s="482">
        <v>0.46479999999999999</v>
      </c>
    </row>
    <row r="385" spans="1:13">
      <c r="A385" s="479">
        <v>7.7</v>
      </c>
      <c r="B385" s="482">
        <v>0.65049999999999997</v>
      </c>
      <c r="C385" s="482">
        <v>0.65049999999999997</v>
      </c>
      <c r="D385" s="482">
        <v>0.61360000000000003</v>
      </c>
      <c r="E385" s="482">
        <v>0.61360000000000003</v>
      </c>
      <c r="F385" s="482">
        <v>0.61360000000000003</v>
      </c>
      <c r="G385" s="482">
        <v>0.54059999999999997</v>
      </c>
      <c r="H385" s="482">
        <v>0.54059999999999997</v>
      </c>
      <c r="I385" s="482">
        <v>0.46329999999999999</v>
      </c>
      <c r="J385" s="482">
        <v>0.46329999999999999</v>
      </c>
      <c r="K385" s="482">
        <v>0.46329999999999999</v>
      </c>
      <c r="L385" s="482">
        <v>0.46329999999999999</v>
      </c>
      <c r="M385" s="482">
        <v>0.46329999999999999</v>
      </c>
    </row>
    <row r="386" spans="1:13">
      <c r="A386" s="479">
        <v>7.8</v>
      </c>
      <c r="B386" s="482">
        <v>0.64949999999999997</v>
      </c>
      <c r="C386" s="482">
        <v>0.64949999999999997</v>
      </c>
      <c r="D386" s="482">
        <v>0.61229999999999996</v>
      </c>
      <c r="E386" s="482">
        <v>0.61229999999999996</v>
      </c>
      <c r="F386" s="482">
        <v>0.61229999999999996</v>
      </c>
      <c r="G386" s="482">
        <v>0.53910000000000002</v>
      </c>
      <c r="H386" s="482">
        <v>0.53910000000000002</v>
      </c>
      <c r="I386" s="482">
        <v>0.4617</v>
      </c>
      <c r="J386" s="482">
        <v>0.4617</v>
      </c>
      <c r="K386" s="482">
        <v>0.4617</v>
      </c>
      <c r="L386" s="482">
        <v>0.4617</v>
      </c>
      <c r="M386" s="482">
        <v>0.4617</v>
      </c>
    </row>
    <row r="387" spans="1:13">
      <c r="A387" s="479">
        <v>7.9</v>
      </c>
      <c r="B387" s="482">
        <v>0.64849999999999997</v>
      </c>
      <c r="C387" s="482">
        <v>0.64849999999999997</v>
      </c>
      <c r="D387" s="482">
        <v>0.61099999999999999</v>
      </c>
      <c r="E387" s="482">
        <v>0.61099999999999999</v>
      </c>
      <c r="F387" s="482">
        <v>0.61099999999999999</v>
      </c>
      <c r="G387" s="482">
        <v>0.53769999999999996</v>
      </c>
      <c r="H387" s="482">
        <v>0.53769999999999996</v>
      </c>
      <c r="I387" s="482">
        <v>0.4602</v>
      </c>
      <c r="J387" s="482">
        <v>0.4602</v>
      </c>
      <c r="K387" s="482">
        <v>0.4602</v>
      </c>
      <c r="L387" s="482">
        <v>0.4602</v>
      </c>
      <c r="M387" s="482">
        <v>0.4602</v>
      </c>
    </row>
    <row r="388" spans="1:13">
      <c r="A388" s="479">
        <v>8</v>
      </c>
      <c r="B388" s="482">
        <v>0.64749999999999996</v>
      </c>
      <c r="C388" s="482">
        <v>0.64749999999999996</v>
      </c>
      <c r="D388" s="482">
        <v>0.60970000000000002</v>
      </c>
      <c r="E388" s="482">
        <v>0.60970000000000002</v>
      </c>
      <c r="F388" s="482">
        <v>0.60970000000000002</v>
      </c>
      <c r="G388" s="482">
        <v>0.53620000000000001</v>
      </c>
      <c r="H388" s="482">
        <v>0.53620000000000001</v>
      </c>
      <c r="I388" s="482">
        <v>0.4587</v>
      </c>
      <c r="J388" s="482">
        <v>0.4587</v>
      </c>
      <c r="K388" s="482">
        <v>0.4587</v>
      </c>
      <c r="L388" s="482">
        <v>0.4587</v>
      </c>
      <c r="M388" s="482">
        <v>0.4587</v>
      </c>
    </row>
    <row r="389" spans="1:13">
      <c r="A389" s="479">
        <v>8.1</v>
      </c>
      <c r="B389" s="482">
        <v>0.64649999999999996</v>
      </c>
      <c r="C389" s="482">
        <v>0.64649999999999996</v>
      </c>
      <c r="D389" s="482">
        <v>0.60840000000000005</v>
      </c>
      <c r="E389" s="482">
        <v>0.60840000000000005</v>
      </c>
      <c r="F389" s="482">
        <v>0.60840000000000005</v>
      </c>
      <c r="G389" s="482">
        <v>0.53480000000000005</v>
      </c>
      <c r="H389" s="482">
        <v>0.53480000000000005</v>
      </c>
      <c r="I389" s="482">
        <v>0.4572</v>
      </c>
      <c r="J389" s="482">
        <v>0.4572</v>
      </c>
      <c r="K389" s="482">
        <v>0.4572</v>
      </c>
      <c r="L389" s="482">
        <v>0.4572</v>
      </c>
      <c r="M389" s="482">
        <v>0.4572</v>
      </c>
    </row>
    <row r="390" spans="1:13">
      <c r="A390" s="479">
        <v>8.1999999999999993</v>
      </c>
      <c r="B390" s="482">
        <v>0.64549999999999996</v>
      </c>
      <c r="C390" s="482">
        <v>0.64549999999999996</v>
      </c>
      <c r="D390" s="482">
        <v>0.60709999999999997</v>
      </c>
      <c r="E390" s="482">
        <v>0.60709999999999997</v>
      </c>
      <c r="F390" s="482">
        <v>0.60709999999999997</v>
      </c>
      <c r="G390" s="482">
        <v>0.5333</v>
      </c>
      <c r="H390" s="482">
        <v>0.5333</v>
      </c>
      <c r="I390" s="482">
        <v>0.45569999999999999</v>
      </c>
      <c r="J390" s="482">
        <v>0.45569999999999999</v>
      </c>
      <c r="K390" s="482">
        <v>0.45569999999999999</v>
      </c>
      <c r="L390" s="482">
        <v>0.45569999999999999</v>
      </c>
      <c r="M390" s="482">
        <v>0.45569999999999999</v>
      </c>
    </row>
    <row r="391" spans="1:13">
      <c r="A391" s="479">
        <v>8.3000000000000007</v>
      </c>
      <c r="B391" s="482">
        <v>0.64449999999999996</v>
      </c>
      <c r="C391" s="482">
        <v>0.64449999999999996</v>
      </c>
      <c r="D391" s="482">
        <v>0.60580000000000001</v>
      </c>
      <c r="E391" s="482">
        <v>0.60580000000000001</v>
      </c>
      <c r="F391" s="482">
        <v>0.60580000000000001</v>
      </c>
      <c r="G391" s="482">
        <v>0.53190000000000004</v>
      </c>
      <c r="H391" s="482">
        <v>0.53190000000000004</v>
      </c>
      <c r="I391" s="482">
        <v>0.45429999999999998</v>
      </c>
      <c r="J391" s="482">
        <v>0.45429999999999998</v>
      </c>
      <c r="K391" s="482">
        <v>0.45429999999999998</v>
      </c>
      <c r="L391" s="482">
        <v>0.45429999999999998</v>
      </c>
      <c r="M391" s="482">
        <v>0.45429999999999998</v>
      </c>
    </row>
    <row r="392" spans="1:13">
      <c r="A392" s="479">
        <v>8.4</v>
      </c>
      <c r="B392" s="482">
        <v>0.64349999999999996</v>
      </c>
      <c r="C392" s="482">
        <v>0.64349999999999996</v>
      </c>
      <c r="D392" s="482">
        <v>0.60450000000000004</v>
      </c>
      <c r="E392" s="482">
        <v>0.60450000000000004</v>
      </c>
      <c r="F392" s="482">
        <v>0.60450000000000004</v>
      </c>
      <c r="G392" s="482">
        <v>0.53039999999999998</v>
      </c>
      <c r="H392" s="482">
        <v>0.53039999999999998</v>
      </c>
      <c r="I392" s="482">
        <v>0.45290000000000002</v>
      </c>
      <c r="J392" s="482">
        <v>0.45290000000000002</v>
      </c>
      <c r="K392" s="482">
        <v>0.45290000000000002</v>
      </c>
      <c r="L392" s="482">
        <v>0.45290000000000002</v>
      </c>
      <c r="M392" s="482">
        <v>0.45290000000000002</v>
      </c>
    </row>
    <row r="393" spans="1:13">
      <c r="A393" s="479">
        <v>8.5</v>
      </c>
      <c r="B393" s="482">
        <v>0.64249999999999996</v>
      </c>
      <c r="C393" s="482">
        <v>0.64249999999999996</v>
      </c>
      <c r="D393" s="482">
        <v>0.60319999999999996</v>
      </c>
      <c r="E393" s="482">
        <v>0.60319999999999996</v>
      </c>
      <c r="F393" s="482">
        <v>0.60319999999999996</v>
      </c>
      <c r="G393" s="482">
        <v>0.52900000000000003</v>
      </c>
      <c r="H393" s="482">
        <v>0.52900000000000003</v>
      </c>
      <c r="I393" s="482">
        <v>0.45140000000000002</v>
      </c>
      <c r="J393" s="482">
        <v>0.45140000000000002</v>
      </c>
      <c r="K393" s="482">
        <v>0.45140000000000002</v>
      </c>
      <c r="L393" s="482">
        <v>0.45140000000000002</v>
      </c>
      <c r="M393" s="482">
        <v>0.45140000000000002</v>
      </c>
    </row>
    <row r="394" spans="1:13">
      <c r="A394" s="479">
        <v>8.6</v>
      </c>
      <c r="B394" s="482">
        <v>0.64149999999999996</v>
      </c>
      <c r="C394" s="482">
        <v>0.64149999999999996</v>
      </c>
      <c r="D394" s="482">
        <v>0.60189999999999999</v>
      </c>
      <c r="E394" s="482">
        <v>0.60189999999999999</v>
      </c>
      <c r="F394" s="482">
        <v>0.60189999999999999</v>
      </c>
      <c r="G394" s="482">
        <v>0.52749999999999997</v>
      </c>
      <c r="H394" s="482">
        <v>0.52749999999999997</v>
      </c>
      <c r="I394" s="482">
        <v>0.45</v>
      </c>
      <c r="J394" s="482">
        <v>0.45</v>
      </c>
      <c r="K394" s="482">
        <v>0.45</v>
      </c>
      <c r="L394" s="482">
        <v>0.45</v>
      </c>
      <c r="M394" s="482">
        <v>0.45</v>
      </c>
    </row>
    <row r="395" spans="1:13">
      <c r="A395" s="479">
        <v>8.6999999999999993</v>
      </c>
      <c r="B395" s="482">
        <v>0.64049999999999996</v>
      </c>
      <c r="C395" s="482">
        <v>0.64049999999999996</v>
      </c>
      <c r="D395" s="482">
        <v>0.60060000000000002</v>
      </c>
      <c r="E395" s="482">
        <v>0.60060000000000002</v>
      </c>
      <c r="F395" s="482">
        <v>0.60060000000000002</v>
      </c>
      <c r="G395" s="482">
        <v>0.52610000000000001</v>
      </c>
      <c r="H395" s="482">
        <v>0.52610000000000001</v>
      </c>
      <c r="I395" s="482">
        <v>0.44850000000000001</v>
      </c>
      <c r="J395" s="482">
        <v>0.44850000000000001</v>
      </c>
      <c r="K395" s="482">
        <v>0.44850000000000001</v>
      </c>
      <c r="L395" s="482">
        <v>0.44850000000000001</v>
      </c>
      <c r="M395" s="482">
        <v>0.44850000000000001</v>
      </c>
    </row>
    <row r="396" spans="1:13">
      <c r="A396" s="479">
        <v>8.8000000000000007</v>
      </c>
      <c r="B396" s="482">
        <v>0.63949999999999996</v>
      </c>
      <c r="C396" s="482">
        <v>0.63949999999999996</v>
      </c>
      <c r="D396" s="482">
        <v>0.59930000000000005</v>
      </c>
      <c r="E396" s="482">
        <v>0.59930000000000005</v>
      </c>
      <c r="F396" s="482">
        <v>0.59930000000000005</v>
      </c>
      <c r="G396" s="482">
        <v>0.52459999999999996</v>
      </c>
      <c r="H396" s="482">
        <v>0.52459999999999996</v>
      </c>
      <c r="I396" s="482">
        <v>0.4471</v>
      </c>
      <c r="J396" s="482">
        <v>0.4471</v>
      </c>
      <c r="K396" s="482">
        <v>0.4471</v>
      </c>
      <c r="L396" s="482">
        <v>0.4471</v>
      </c>
      <c r="M396" s="482">
        <v>0.4471</v>
      </c>
    </row>
    <row r="397" spans="1:13">
      <c r="A397" s="479">
        <v>8.9</v>
      </c>
      <c r="B397" s="482">
        <v>0.63849999999999996</v>
      </c>
      <c r="C397" s="482">
        <v>0.63849999999999996</v>
      </c>
      <c r="D397" s="482">
        <v>0.59799999999999998</v>
      </c>
      <c r="E397" s="482">
        <v>0.59799999999999998</v>
      </c>
      <c r="F397" s="482">
        <v>0.59799999999999998</v>
      </c>
      <c r="G397" s="482">
        <v>0.5232</v>
      </c>
      <c r="H397" s="482">
        <v>0.5232</v>
      </c>
      <c r="I397" s="482">
        <v>0.4456</v>
      </c>
      <c r="J397" s="482">
        <v>0.4456</v>
      </c>
      <c r="K397" s="482">
        <v>0.4456</v>
      </c>
      <c r="L397" s="482">
        <v>0.4456</v>
      </c>
      <c r="M397" s="482">
        <v>0.4456</v>
      </c>
    </row>
    <row r="398" spans="1:13">
      <c r="A398" s="483">
        <v>9</v>
      </c>
      <c r="B398" s="482">
        <v>0.63749999999999996</v>
      </c>
      <c r="C398" s="482">
        <v>0.63749999999999996</v>
      </c>
      <c r="D398" s="482">
        <v>0.59670000000000001</v>
      </c>
      <c r="E398" s="482">
        <v>0.59670000000000001</v>
      </c>
      <c r="F398" s="482">
        <v>0.59670000000000001</v>
      </c>
      <c r="G398" s="482">
        <v>0.52170000000000005</v>
      </c>
      <c r="H398" s="482">
        <v>0.52170000000000005</v>
      </c>
      <c r="I398" s="482">
        <v>0.44429999999999997</v>
      </c>
      <c r="J398" s="482">
        <v>0.44429999999999997</v>
      </c>
      <c r="K398" s="482">
        <v>0.44429999999999997</v>
      </c>
      <c r="L398" s="482">
        <v>0.44429999999999997</v>
      </c>
      <c r="M398" s="482">
        <v>0.44429999999999997</v>
      </c>
    </row>
    <row r="399" spans="1:13">
      <c r="A399" s="483">
        <v>9.1</v>
      </c>
      <c r="B399" s="482">
        <v>0.63649999999999995</v>
      </c>
      <c r="C399" s="482">
        <v>0.63649999999999995</v>
      </c>
      <c r="D399" s="482">
        <v>0.59540000000000004</v>
      </c>
      <c r="E399" s="482">
        <v>0.59540000000000004</v>
      </c>
      <c r="F399" s="482">
        <v>0.59540000000000004</v>
      </c>
      <c r="G399" s="482">
        <v>0.52029999999999998</v>
      </c>
      <c r="H399" s="482">
        <v>0.52029999999999998</v>
      </c>
      <c r="I399" s="482">
        <v>0.44290000000000002</v>
      </c>
      <c r="J399" s="482">
        <v>0.44290000000000002</v>
      </c>
      <c r="K399" s="482">
        <v>0.44290000000000002</v>
      </c>
      <c r="L399" s="482">
        <v>0.44290000000000002</v>
      </c>
      <c r="M399" s="482">
        <v>0.44290000000000002</v>
      </c>
    </row>
    <row r="400" spans="1:13">
      <c r="A400" s="483">
        <v>9.1999999999999993</v>
      </c>
      <c r="B400" s="482">
        <v>0.63549999999999995</v>
      </c>
      <c r="C400" s="482">
        <v>0.63549999999999995</v>
      </c>
      <c r="D400" s="482">
        <v>0.59409999999999996</v>
      </c>
      <c r="E400" s="482">
        <v>0.59409999999999996</v>
      </c>
      <c r="F400" s="482">
        <v>0.59409999999999996</v>
      </c>
      <c r="G400" s="482">
        <v>0.51880000000000004</v>
      </c>
      <c r="H400" s="482">
        <v>0.51880000000000004</v>
      </c>
      <c r="I400" s="482">
        <v>0.44159999999999999</v>
      </c>
      <c r="J400" s="482">
        <v>0.44159999999999999</v>
      </c>
      <c r="K400" s="482">
        <v>0.44159999999999999</v>
      </c>
      <c r="L400" s="482">
        <v>0.44159999999999999</v>
      </c>
      <c r="M400" s="482">
        <v>0.44159999999999999</v>
      </c>
    </row>
    <row r="401" spans="1:13">
      <c r="A401" s="483">
        <v>9.3000000000000007</v>
      </c>
      <c r="B401" s="482">
        <v>0.63449999999999995</v>
      </c>
      <c r="C401" s="482">
        <v>0.63449999999999995</v>
      </c>
      <c r="D401" s="482">
        <v>0.59279999999999999</v>
      </c>
      <c r="E401" s="482">
        <v>0.59279999999999999</v>
      </c>
      <c r="F401" s="482">
        <v>0.59279999999999999</v>
      </c>
      <c r="G401" s="482">
        <v>0.51739999999999997</v>
      </c>
      <c r="H401" s="482">
        <v>0.51739999999999997</v>
      </c>
      <c r="I401" s="482">
        <v>0.44019999999999998</v>
      </c>
      <c r="J401" s="482">
        <v>0.44019999999999998</v>
      </c>
      <c r="K401" s="482">
        <v>0.44019999999999998</v>
      </c>
      <c r="L401" s="482">
        <v>0.44019999999999998</v>
      </c>
      <c r="M401" s="482">
        <v>0.44019999999999998</v>
      </c>
    </row>
    <row r="402" spans="1:13">
      <c r="A402" s="483">
        <v>9.4</v>
      </c>
      <c r="B402" s="482">
        <v>0.63349999999999995</v>
      </c>
      <c r="C402" s="482">
        <v>0.63349999999999995</v>
      </c>
      <c r="D402" s="482">
        <v>0.59150000000000003</v>
      </c>
      <c r="E402" s="482">
        <v>0.59150000000000003</v>
      </c>
      <c r="F402" s="482">
        <v>0.59150000000000003</v>
      </c>
      <c r="G402" s="482">
        <v>0.51600000000000001</v>
      </c>
      <c r="H402" s="482">
        <v>0.51600000000000001</v>
      </c>
      <c r="I402" s="482">
        <v>0.43880000000000002</v>
      </c>
      <c r="J402" s="482">
        <v>0.43880000000000002</v>
      </c>
      <c r="K402" s="482">
        <v>0.43880000000000002</v>
      </c>
      <c r="L402" s="482">
        <v>0.43880000000000002</v>
      </c>
      <c r="M402" s="482">
        <v>0.43880000000000002</v>
      </c>
    </row>
    <row r="403" spans="1:13">
      <c r="A403" s="483">
        <v>9.5</v>
      </c>
      <c r="B403" s="482">
        <v>0.63249999999999995</v>
      </c>
      <c r="C403" s="482">
        <v>0.63249999999999995</v>
      </c>
      <c r="D403" s="482">
        <v>0.59030000000000005</v>
      </c>
      <c r="E403" s="482">
        <v>0.59030000000000005</v>
      </c>
      <c r="F403" s="482">
        <v>0.59030000000000005</v>
      </c>
      <c r="G403" s="482">
        <v>0.51470000000000005</v>
      </c>
      <c r="H403" s="482">
        <v>0.51470000000000005</v>
      </c>
      <c r="I403" s="482">
        <v>0.4375</v>
      </c>
      <c r="J403" s="482">
        <v>0.4375</v>
      </c>
      <c r="K403" s="482">
        <v>0.4375</v>
      </c>
      <c r="L403" s="482">
        <v>0.4375</v>
      </c>
      <c r="M403" s="482">
        <v>0.4375</v>
      </c>
    </row>
    <row r="404" spans="1:13">
      <c r="A404" s="483">
        <v>9.6</v>
      </c>
      <c r="B404" s="482">
        <v>0.63149999999999995</v>
      </c>
      <c r="C404" s="482">
        <v>0.63149999999999995</v>
      </c>
      <c r="D404" s="482">
        <v>0.58909999999999996</v>
      </c>
      <c r="E404" s="482">
        <v>0.58909999999999996</v>
      </c>
      <c r="F404" s="482">
        <v>0.58909999999999996</v>
      </c>
      <c r="G404" s="482">
        <v>0.51329999999999998</v>
      </c>
      <c r="H404" s="482">
        <v>0.51329999999999998</v>
      </c>
      <c r="I404" s="482">
        <v>0.43609999999999999</v>
      </c>
      <c r="J404" s="482">
        <v>0.43609999999999999</v>
      </c>
      <c r="K404" s="482">
        <v>0.43609999999999999</v>
      </c>
      <c r="L404" s="482">
        <v>0.43609999999999999</v>
      </c>
      <c r="M404" s="482">
        <v>0.43609999999999999</v>
      </c>
    </row>
    <row r="405" spans="1:13">
      <c r="A405" s="483">
        <v>9.6999999999999993</v>
      </c>
      <c r="B405" s="482">
        <v>0.63049999999999995</v>
      </c>
      <c r="C405" s="482">
        <v>0.63049999999999995</v>
      </c>
      <c r="D405" s="482">
        <v>0.58789999999999998</v>
      </c>
      <c r="E405" s="482">
        <v>0.58789999999999998</v>
      </c>
      <c r="F405" s="482">
        <v>0.58789999999999998</v>
      </c>
      <c r="G405" s="482">
        <v>0.51200000000000001</v>
      </c>
      <c r="H405" s="482">
        <v>0.51200000000000001</v>
      </c>
      <c r="I405" s="482">
        <v>0.43480000000000002</v>
      </c>
      <c r="J405" s="482">
        <v>0.43480000000000002</v>
      </c>
      <c r="K405" s="482">
        <v>0.43480000000000002</v>
      </c>
      <c r="L405" s="482">
        <v>0.43480000000000002</v>
      </c>
      <c r="M405" s="482">
        <v>0.43480000000000002</v>
      </c>
    </row>
    <row r="406" spans="1:13">
      <c r="A406" s="483">
        <v>9.8000000000000007</v>
      </c>
      <c r="B406" s="482">
        <v>0.62949999999999995</v>
      </c>
      <c r="C406" s="482">
        <v>0.62949999999999995</v>
      </c>
      <c r="D406" s="482">
        <v>0.5867</v>
      </c>
      <c r="E406" s="482">
        <v>0.5867</v>
      </c>
      <c r="F406" s="482">
        <v>0.5867</v>
      </c>
      <c r="G406" s="482">
        <v>0.51060000000000005</v>
      </c>
      <c r="H406" s="482">
        <v>0.51060000000000005</v>
      </c>
      <c r="I406" s="482">
        <v>0.43340000000000001</v>
      </c>
      <c r="J406" s="482">
        <v>0.43340000000000001</v>
      </c>
      <c r="K406" s="482">
        <v>0.43340000000000001</v>
      </c>
      <c r="L406" s="482">
        <v>0.43340000000000001</v>
      </c>
      <c r="M406" s="482">
        <v>0.43340000000000001</v>
      </c>
    </row>
    <row r="407" spans="1:13">
      <c r="A407" s="483">
        <v>9.9</v>
      </c>
      <c r="B407" s="482">
        <v>0.62849999999999995</v>
      </c>
      <c r="C407" s="482">
        <v>0.62849999999999995</v>
      </c>
      <c r="D407" s="482">
        <v>0.58550000000000002</v>
      </c>
      <c r="E407" s="482">
        <v>0.58550000000000002</v>
      </c>
      <c r="F407" s="482">
        <v>0.58550000000000002</v>
      </c>
      <c r="G407" s="482">
        <v>0.50919999999999999</v>
      </c>
      <c r="H407" s="482">
        <v>0.50919999999999999</v>
      </c>
      <c r="I407" s="482">
        <v>0.432</v>
      </c>
      <c r="J407" s="482">
        <v>0.432</v>
      </c>
      <c r="K407" s="482">
        <v>0.432</v>
      </c>
      <c r="L407" s="482">
        <v>0.432</v>
      </c>
      <c r="M407" s="482">
        <v>0.432</v>
      </c>
    </row>
    <row r="408" spans="1:13">
      <c r="A408" s="483">
        <v>10</v>
      </c>
      <c r="B408" s="482">
        <v>0.62749999999999995</v>
      </c>
      <c r="C408" s="482">
        <v>0.62749999999999995</v>
      </c>
      <c r="D408" s="482">
        <v>0.58430000000000004</v>
      </c>
      <c r="E408" s="482">
        <v>0.58430000000000004</v>
      </c>
      <c r="F408" s="482">
        <v>0.58430000000000004</v>
      </c>
      <c r="G408" s="482">
        <v>0.50790000000000002</v>
      </c>
      <c r="H408" s="482">
        <v>0.50790000000000002</v>
      </c>
      <c r="I408" s="482">
        <v>0.43070000000000003</v>
      </c>
      <c r="J408" s="482">
        <v>0.43070000000000003</v>
      </c>
      <c r="K408" s="482">
        <v>0.43070000000000003</v>
      </c>
      <c r="L408" s="482">
        <v>0.43070000000000003</v>
      </c>
      <c r="M408" s="482">
        <v>0.43070000000000003</v>
      </c>
    </row>
  </sheetData>
  <sheetProtection password="C66D" sheet="1" objects="1" scenarios="1" formatCells="0" formatColumns="0" formatRows="0"/>
  <phoneticPr fontId="21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464" t="s">
        <v>2406</v>
      </c>
      <c r="B1" s="465"/>
      <c r="C1" s="465"/>
      <c r="D1" s="465"/>
      <c r="E1" s="465"/>
      <c r="F1" s="466"/>
      <c r="G1" s="466"/>
      <c r="H1" s="466"/>
      <c r="I1" s="466"/>
      <c r="J1" s="466"/>
      <c r="K1" s="466"/>
      <c r="L1" s="466"/>
      <c r="M1" s="466"/>
      <c r="N1" s="466"/>
      <c r="O1" s="466"/>
      <c r="P1" s="466"/>
    </row>
    <row r="2" spans="1:16" ht="15.75">
      <c r="A2" s="467" t="s">
        <v>97</v>
      </c>
      <c r="B2" s="468" t="e">
        <f ca="1">SUMIF(B6:B13,"&lt;&gt;#ref!",B6:B13)</f>
        <v>#DIV/0!</v>
      </c>
      <c r="C2" s="467" t="s">
        <v>2407</v>
      </c>
      <c r="D2" s="467" t="s">
        <v>2408</v>
      </c>
      <c r="E2" s="469">
        <f ca="1">SUMIF(E6:E13,"&lt;&gt;#ref!",E6:E13)</f>
        <v>0</v>
      </c>
      <c r="F2" s="466"/>
      <c r="G2" s="466"/>
      <c r="H2" s="466"/>
      <c r="I2" s="466"/>
      <c r="J2" s="466"/>
      <c r="K2" s="466"/>
      <c r="L2" s="466"/>
      <c r="M2" s="466"/>
      <c r="N2" s="466"/>
      <c r="O2" s="466"/>
      <c r="P2" s="466"/>
    </row>
    <row r="3" spans="1:16" ht="15.75">
      <c r="A3" s="467" t="s">
        <v>2409</v>
      </c>
      <c r="B3" s="468" t="e">
        <f ca="1">ROUND(B2*10000/E2,0)</f>
        <v>#DIV/0!</v>
      </c>
      <c r="C3" s="467" t="s">
        <v>2410</v>
      </c>
      <c r="D3" s="466"/>
      <c r="E3" s="466"/>
      <c r="F3" s="466"/>
      <c r="G3" s="466"/>
      <c r="H3" s="466"/>
      <c r="I3" s="466"/>
      <c r="J3" s="466"/>
      <c r="K3" s="466"/>
      <c r="L3" s="466"/>
      <c r="M3" s="466"/>
      <c r="N3" s="466"/>
      <c r="O3" s="466"/>
      <c r="P3" s="466"/>
    </row>
    <row r="4" spans="1:16" ht="15.75">
      <c r="A4" s="470"/>
      <c r="B4" s="466"/>
      <c r="C4" s="466"/>
      <c r="D4" s="466"/>
      <c r="E4" s="466"/>
      <c r="F4" s="466"/>
      <c r="G4" s="466"/>
      <c r="H4" s="466"/>
      <c r="I4" s="466"/>
      <c r="J4" s="466"/>
      <c r="K4" s="466"/>
      <c r="L4" s="466"/>
      <c r="M4" s="466"/>
      <c r="N4" s="466"/>
      <c r="O4" s="466"/>
      <c r="P4" s="466"/>
    </row>
    <row r="5" spans="1:16" ht="28.5">
      <c r="A5" s="471" t="s">
        <v>2411</v>
      </c>
      <c r="B5" s="472" t="s">
        <v>2412</v>
      </c>
      <c r="C5" s="473"/>
      <c r="D5" s="466"/>
      <c r="E5" s="474" t="s">
        <v>2413</v>
      </c>
      <c r="F5" s="466"/>
      <c r="G5" s="466"/>
      <c r="H5" s="466"/>
      <c r="I5" s="466"/>
      <c r="J5" s="466"/>
      <c r="K5" s="466"/>
      <c r="L5" s="466"/>
      <c r="M5" s="466"/>
      <c r="N5" s="466"/>
      <c r="O5" s="466"/>
      <c r="P5" s="466"/>
    </row>
    <row r="6" spans="1:16" ht="15.75">
      <c r="A6" s="475" t="s">
        <v>2414</v>
      </c>
      <c r="B6" s="468" t="e">
        <f ca="1">SUMIF(INDIRECT("'"&amp;A6&amp;"'"&amp;"!A:A"),"总价",INDIRECT("'"&amp;A6&amp;"'"&amp;"!B:B"))</f>
        <v>#DIV/0!</v>
      </c>
      <c r="C6" s="467" t="s">
        <v>2407</v>
      </c>
      <c r="D6" s="466"/>
      <c r="E6" s="469">
        <f ca="1">SUMIF(INDIRECT("'"&amp;A6&amp;"'"&amp;"!C:C"),"建筑面积",INDIRECT("'"&amp;A6&amp;"'"&amp;"!D:D"))</f>
        <v>0</v>
      </c>
      <c r="F6" s="466"/>
      <c r="G6" s="466"/>
      <c r="H6" s="466"/>
      <c r="I6" s="466"/>
      <c r="J6" s="466"/>
      <c r="K6" s="466"/>
      <c r="L6" s="466"/>
      <c r="M6" s="466"/>
      <c r="N6" s="466"/>
      <c r="O6" s="466"/>
      <c r="P6" s="466"/>
    </row>
    <row r="7" spans="1:16" ht="15.75">
      <c r="A7" s="475"/>
      <c r="B7" s="468" t="e">
        <f ca="1">SUMIF(INDIRECT("'"&amp;A7&amp;"'"&amp;"!A:A"),"总价",INDIRECT("'"&amp;A7&amp;"'"&amp;"!B:B"))</f>
        <v>#REF!</v>
      </c>
      <c r="C7" s="467" t="s">
        <v>2407</v>
      </c>
      <c r="D7" s="466"/>
      <c r="E7" s="469" t="e">
        <f t="shared" ref="E7:E13" ca="1" si="0">SUMIF(INDIRECT("'"&amp;A7&amp;"'"&amp;"!C:C"),"建筑面积",INDIRECT("'"&amp;A7&amp;"'"&amp;"!D:D"))</f>
        <v>#REF!</v>
      </c>
      <c r="F7" s="466"/>
      <c r="G7" s="466"/>
      <c r="H7" s="466"/>
      <c r="I7" s="466"/>
      <c r="J7" s="466"/>
      <c r="K7" s="466"/>
      <c r="L7" s="466"/>
      <c r="M7" s="466"/>
      <c r="N7" s="466"/>
      <c r="O7" s="466"/>
      <c r="P7" s="466"/>
    </row>
    <row r="8" spans="1:16" ht="15.75">
      <c r="A8" s="475"/>
      <c r="B8" s="468" t="e">
        <f t="shared" ref="B8:B13" ca="1" si="1">SUMIF(INDIRECT("'"&amp;A8&amp;"'"&amp;"!A:A"),"总价",INDIRECT("'"&amp;A8&amp;"'"&amp;"!B:B"))</f>
        <v>#REF!</v>
      </c>
      <c r="C8" s="467" t="s">
        <v>2407</v>
      </c>
      <c r="D8" s="466"/>
      <c r="E8" s="469" t="e">
        <f t="shared" ca="1" si="0"/>
        <v>#REF!</v>
      </c>
      <c r="F8" s="466"/>
      <c r="G8" s="466"/>
      <c r="H8" s="466"/>
      <c r="I8" s="466"/>
      <c r="J8" s="466"/>
      <c r="K8" s="466"/>
      <c r="L8" s="466"/>
      <c r="M8" s="466"/>
      <c r="N8" s="466"/>
      <c r="O8" s="466"/>
      <c r="P8" s="466"/>
    </row>
    <row r="9" spans="1:16" ht="15.75">
      <c r="A9" s="475"/>
      <c r="B9" s="468" t="e">
        <f t="shared" ca="1" si="1"/>
        <v>#REF!</v>
      </c>
      <c r="C9" s="467" t="s">
        <v>2407</v>
      </c>
      <c r="D9" s="466"/>
      <c r="E9" s="469" t="e">
        <f t="shared" ca="1" si="0"/>
        <v>#REF!</v>
      </c>
      <c r="F9" s="466"/>
      <c r="G9" s="466"/>
      <c r="H9" s="466"/>
      <c r="I9" s="466"/>
      <c r="J9" s="466"/>
      <c r="K9" s="466"/>
      <c r="L9" s="466"/>
      <c r="M9" s="466"/>
      <c r="N9" s="466"/>
      <c r="O9" s="466"/>
      <c r="P9" s="466"/>
    </row>
    <row r="10" spans="1:16" ht="15.75">
      <c r="A10" s="475"/>
      <c r="B10" s="468" t="e">
        <f t="shared" ca="1" si="1"/>
        <v>#REF!</v>
      </c>
      <c r="C10" s="467" t="s">
        <v>2407</v>
      </c>
      <c r="D10" s="466"/>
      <c r="E10" s="469" t="e">
        <f t="shared" ca="1" si="0"/>
        <v>#REF!</v>
      </c>
      <c r="F10" s="466"/>
      <c r="G10" s="466"/>
      <c r="H10" s="466"/>
      <c r="I10" s="466"/>
      <c r="J10" s="466"/>
      <c r="K10" s="466"/>
      <c r="L10" s="466"/>
      <c r="M10" s="466"/>
      <c r="N10" s="466"/>
      <c r="O10" s="466"/>
      <c r="P10" s="466"/>
    </row>
    <row r="11" spans="1:16" ht="15.75">
      <c r="A11" s="475"/>
      <c r="B11" s="468" t="e">
        <f t="shared" ca="1" si="1"/>
        <v>#REF!</v>
      </c>
      <c r="C11" s="467" t="s">
        <v>2407</v>
      </c>
      <c r="D11" s="466"/>
      <c r="E11" s="469" t="e">
        <f t="shared" ca="1" si="0"/>
        <v>#REF!</v>
      </c>
      <c r="F11" s="466"/>
      <c r="G11" s="466"/>
      <c r="H11" s="466"/>
      <c r="I11" s="466"/>
      <c r="J11" s="466"/>
      <c r="K11" s="466"/>
      <c r="L11" s="466"/>
      <c r="M11" s="466"/>
      <c r="N11" s="466"/>
      <c r="O11" s="466"/>
      <c r="P11" s="466"/>
    </row>
    <row r="12" spans="1:16" ht="15.75">
      <c r="A12" s="475"/>
      <c r="B12" s="468" t="e">
        <f t="shared" ca="1" si="1"/>
        <v>#REF!</v>
      </c>
      <c r="C12" s="467" t="s">
        <v>2407</v>
      </c>
      <c r="D12" s="466"/>
      <c r="E12" s="469" t="e">
        <f t="shared" ca="1" si="0"/>
        <v>#REF!</v>
      </c>
      <c r="F12" s="466"/>
      <c r="G12" s="466"/>
      <c r="H12" s="466"/>
      <c r="I12" s="466"/>
      <c r="J12" s="466"/>
      <c r="K12" s="466"/>
      <c r="L12" s="466"/>
      <c r="M12" s="466"/>
      <c r="N12" s="466"/>
      <c r="O12" s="466"/>
      <c r="P12" s="466"/>
    </row>
    <row r="13" spans="1:16" ht="15.75">
      <c r="A13" s="475"/>
      <c r="B13" s="468" t="e">
        <f t="shared" ca="1" si="1"/>
        <v>#REF!</v>
      </c>
      <c r="C13" s="467" t="s">
        <v>2407</v>
      </c>
      <c r="D13" s="466"/>
      <c r="E13" s="469" t="e">
        <f t="shared" ca="1" si="0"/>
        <v>#REF!</v>
      </c>
      <c r="F13" s="466"/>
      <c r="G13" s="466"/>
      <c r="H13" s="466"/>
      <c r="I13" s="466"/>
      <c r="J13" s="466"/>
      <c r="K13" s="466"/>
      <c r="L13" s="466"/>
      <c r="M13" s="466"/>
      <c r="N13" s="466"/>
      <c r="O13" s="466"/>
      <c r="P13" s="466"/>
    </row>
    <row r="14" spans="1:16">
      <c r="A14" s="466"/>
      <c r="B14" s="466"/>
      <c r="C14" s="466"/>
      <c r="D14" s="466"/>
      <c r="E14" s="466"/>
      <c r="F14" s="466"/>
      <c r="G14" s="466"/>
      <c r="H14" s="466"/>
      <c r="I14" s="466"/>
      <c r="J14" s="466"/>
      <c r="K14" s="466"/>
      <c r="L14" s="466"/>
      <c r="M14" s="466"/>
      <c r="N14" s="466"/>
      <c r="O14" s="466"/>
      <c r="P14" s="466"/>
    </row>
    <row r="15" spans="1:16">
      <c r="A15" s="466"/>
      <c r="B15" s="466"/>
      <c r="C15" s="466"/>
      <c r="D15" s="466"/>
      <c r="E15" s="466"/>
      <c r="F15" s="466"/>
      <c r="G15" s="466"/>
      <c r="H15" s="466"/>
      <c r="I15" s="466"/>
      <c r="J15" s="466"/>
      <c r="K15" s="466"/>
      <c r="L15" s="466"/>
      <c r="M15" s="466"/>
      <c r="N15" s="466"/>
      <c r="O15" s="466"/>
      <c r="P15" s="466"/>
    </row>
    <row r="16" spans="1:16">
      <c r="A16" s="466"/>
      <c r="B16" s="466"/>
      <c r="C16" s="466"/>
      <c r="D16" s="466"/>
      <c r="E16" s="466"/>
      <c r="F16" s="466"/>
      <c r="G16" s="466"/>
      <c r="H16" s="466"/>
      <c r="I16" s="466"/>
      <c r="J16" s="466"/>
      <c r="K16" s="466"/>
      <c r="L16" s="466"/>
      <c r="M16" s="466"/>
      <c r="N16" s="466"/>
      <c r="O16" s="466"/>
      <c r="P16" s="466"/>
    </row>
    <row r="17" spans="1:16">
      <c r="A17" s="466"/>
      <c r="B17" s="466"/>
      <c r="C17" s="466"/>
      <c r="D17" s="466"/>
      <c r="E17" s="466"/>
      <c r="F17" s="466"/>
      <c r="G17" s="466"/>
      <c r="H17" s="466"/>
      <c r="I17" s="466"/>
      <c r="J17" s="466"/>
      <c r="K17" s="466"/>
      <c r="L17" s="466"/>
      <c r="M17" s="466"/>
      <c r="N17" s="466"/>
      <c r="O17" s="466"/>
      <c r="P17" s="466"/>
    </row>
    <row r="18" spans="1:16">
      <c r="A18" s="466"/>
      <c r="B18" s="466"/>
      <c r="C18" s="466"/>
      <c r="D18" s="466"/>
      <c r="E18" s="466"/>
      <c r="F18" s="466"/>
      <c r="G18" s="466"/>
      <c r="H18" s="466"/>
      <c r="I18" s="466"/>
      <c r="J18" s="466"/>
      <c r="K18" s="466"/>
      <c r="L18" s="466"/>
      <c r="M18" s="466"/>
      <c r="N18" s="466"/>
      <c r="O18" s="466"/>
      <c r="P18" s="466"/>
    </row>
    <row r="19" spans="1:16">
      <c r="A19" s="466"/>
      <c r="B19" s="466"/>
      <c r="C19" s="466"/>
      <c r="D19" s="466"/>
      <c r="E19" s="466"/>
      <c r="F19" s="466"/>
      <c r="G19" s="466"/>
      <c r="H19" s="466"/>
      <c r="I19" s="466"/>
      <c r="J19" s="466"/>
      <c r="K19" s="466"/>
      <c r="L19" s="466"/>
      <c r="M19" s="466"/>
      <c r="N19" s="466"/>
      <c r="O19" s="466"/>
      <c r="P19" s="466"/>
    </row>
    <row r="20" spans="1:16">
      <c r="A20" s="466"/>
      <c r="B20" s="466"/>
      <c r="C20" s="466"/>
      <c r="D20" s="466"/>
      <c r="E20" s="466"/>
      <c r="F20" s="466"/>
      <c r="G20" s="466"/>
      <c r="H20" s="466"/>
      <c r="I20" s="466"/>
      <c r="J20" s="466"/>
      <c r="K20" s="466"/>
      <c r="L20" s="466"/>
      <c r="M20" s="466"/>
      <c r="N20" s="466"/>
      <c r="O20" s="466"/>
      <c r="P20" s="466"/>
    </row>
    <row r="21" spans="1:16">
      <c r="A21" s="466"/>
      <c r="B21" s="466"/>
      <c r="C21" s="466"/>
      <c r="D21" s="466"/>
      <c r="E21" s="466"/>
      <c r="F21" s="466"/>
      <c r="G21" s="466"/>
      <c r="H21" s="466"/>
      <c r="I21" s="466"/>
      <c r="J21" s="466"/>
      <c r="K21" s="466"/>
      <c r="L21" s="466"/>
      <c r="M21" s="466"/>
      <c r="N21" s="466"/>
      <c r="O21" s="466"/>
      <c r="P21" s="466"/>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G7" sqref="G7"/>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5"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3" customFormat="1" ht="21">
      <c r="A1" s="1606" t="s">
        <v>1610</v>
      </c>
      <c r="B1" s="1080"/>
      <c r="C1" s="1607" t="s">
        <v>491</v>
      </c>
      <c r="D1" s="1608" t="s">
        <v>124</v>
      </c>
      <c r="E1" s="1609" t="s">
        <v>1611</v>
      </c>
      <c r="F1" s="1610">
        <f ca="1">J53</f>
        <v>45.29</v>
      </c>
      <c r="G1" s="1611">
        <f>MATCH(C1,'数据-取费表'!A6:A16,0)+5</f>
        <v>9</v>
      </c>
      <c r="H1" s="1612"/>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spans="1:37" ht="18" customHeight="1">
      <c r="A2" s="1446" t="s">
        <v>1612</v>
      </c>
      <c r="B2" s="1613">
        <f ca="1">C40+J29+L46</f>
        <v>272295</v>
      </c>
      <c r="C2" s="1614" t="s">
        <v>1613</v>
      </c>
      <c r="D2" s="1614"/>
      <c r="E2" s="1616"/>
      <c r="F2" s="1617"/>
      <c r="G2" s="1618"/>
      <c r="H2" s="1619"/>
      <c r="I2" s="1619"/>
      <c r="J2" s="1619"/>
      <c r="K2" s="1773"/>
      <c r="L2" s="1619"/>
      <c r="M2" s="1619"/>
    </row>
    <row r="3" spans="1:37" ht="18" customHeight="1" thickBot="1">
      <c r="A3" s="1620" t="s">
        <v>1614</v>
      </c>
      <c r="B3" s="1621">
        <f ca="1">IF(ISERROR(B2*10000/F43),0,ROUND(B2*10000/F43,0))</f>
        <v>200051</v>
      </c>
      <c r="C3" s="1614" t="s">
        <v>1615</v>
      </c>
      <c r="D3" s="1614"/>
      <c r="E3" s="1616"/>
      <c r="F3" s="1617"/>
      <c r="G3" s="1618"/>
      <c r="H3" s="1622" t="s">
        <v>1616</v>
      </c>
      <c r="I3" s="1774"/>
      <c r="J3" s="1774"/>
      <c r="K3" s="1775"/>
      <c r="L3" s="1774"/>
      <c r="M3" s="1774"/>
    </row>
    <row r="4" spans="1:37" ht="18" customHeight="1">
      <c r="A4" s="1623" t="s">
        <v>1617</v>
      </c>
      <c r="B4" s="1624" t="s">
        <v>1618</v>
      </c>
      <c r="C4" s="1624" t="s">
        <v>1619</v>
      </c>
      <c r="D4" s="1624" t="s">
        <v>1620</v>
      </c>
      <c r="E4" s="1625" t="s">
        <v>1621</v>
      </c>
      <c r="F4" s="1626"/>
      <c r="G4" s="730"/>
      <c r="H4" s="1623" t="s">
        <v>1617</v>
      </c>
      <c r="I4" s="1624" t="s">
        <v>1618</v>
      </c>
      <c r="J4" s="1624" t="s">
        <v>1619</v>
      </c>
      <c r="K4" s="1624" t="s">
        <v>1620</v>
      </c>
      <c r="L4" s="1625" t="s">
        <v>1621</v>
      </c>
      <c r="M4" s="1626"/>
    </row>
    <row r="5" spans="1:37" ht="18" customHeight="1">
      <c r="A5" s="1627">
        <v>1</v>
      </c>
      <c r="B5" s="1628" t="s">
        <v>1622</v>
      </c>
      <c r="C5" s="1629">
        <f ca="1">C6+C10+C12</f>
        <v>16007</v>
      </c>
      <c r="D5" s="1630" t="s">
        <v>1623</v>
      </c>
      <c r="E5" s="1631"/>
      <c r="F5" s="1632"/>
      <c r="G5" s="730"/>
      <c r="H5" s="1627">
        <v>1</v>
      </c>
      <c r="I5" s="1628" t="s">
        <v>1622</v>
      </c>
      <c r="J5" s="1629">
        <f ca="1">J6+J10+J12</f>
        <v>0</v>
      </c>
      <c r="K5" s="1630" t="s">
        <v>1623</v>
      </c>
      <c r="L5" s="1631"/>
      <c r="M5" s="1632"/>
    </row>
    <row r="6" spans="1:37" ht="18" customHeight="1">
      <c r="A6" s="1633" t="s">
        <v>846</v>
      </c>
      <c r="B6" s="3381" t="s">
        <v>1624</v>
      </c>
      <c r="C6" s="1634">
        <f ca="1">ROUND(F6*F8*F7*(1-F9)/10000,0)</f>
        <v>16007</v>
      </c>
      <c r="D6" s="1635" t="s">
        <v>1625</v>
      </c>
      <c r="E6" s="1636" t="s">
        <v>1626</v>
      </c>
      <c r="F6" s="1637">
        <f ca="1">INDIRECT("'数据-取费表'!u"&amp;$G$1)</f>
        <v>300</v>
      </c>
      <c r="G6" s="730"/>
      <c r="H6" s="1633" t="s">
        <v>846</v>
      </c>
      <c r="I6" s="3381" t="s">
        <v>1624</v>
      </c>
      <c r="J6" s="1707">
        <f ca="1">ROUND(M6*M8*M7*(1-M9)/10000,0)</f>
        <v>0</v>
      </c>
      <c r="K6" s="1635" t="s">
        <v>1627</v>
      </c>
      <c r="L6" s="1636" t="s">
        <v>1626</v>
      </c>
      <c r="M6" s="1637">
        <f ca="1">INDIRECT("'数据-取费表'!z"&amp;$G$1)</f>
        <v>0</v>
      </c>
    </row>
    <row r="7" spans="1:37" ht="18" customHeight="1">
      <c r="A7" s="1638"/>
      <c r="B7" s="3382"/>
      <c r="C7" s="1639"/>
      <c r="D7" s="1640"/>
      <c r="E7" s="3062" t="s">
        <v>1628</v>
      </c>
      <c r="F7" s="1637">
        <f ca="1">IF(INDIRECT("'数据-取费表'!ah"&amp;$G$1)="",INDIRECT("'数据-取费表'!k"&amp;$G$1),INDIRECT("'数据-取费表'!ah"&amp;$G$1))</f>
        <v>49403.210000000006</v>
      </c>
      <c r="G7" s="730"/>
      <c r="H7" s="1642"/>
      <c r="I7" s="3382"/>
      <c r="J7" s="1643"/>
      <c r="K7" s="1640"/>
      <c r="L7" s="1636" t="s">
        <v>1628</v>
      </c>
      <c r="M7" s="1637">
        <f ca="1">F7</f>
        <v>49403.210000000006</v>
      </c>
    </row>
    <row r="8" spans="1:37" ht="18" customHeight="1">
      <c r="A8" s="1642"/>
      <c r="B8" s="3382"/>
      <c r="C8" s="1643"/>
      <c r="D8" s="1640"/>
      <c r="E8" s="1636" t="s">
        <v>1629</v>
      </c>
      <c r="F8" s="1637">
        <f ca="1">INDIRECT("'数据-取费表'!ai"&amp;$G$1)</f>
        <v>12</v>
      </c>
      <c r="G8" s="730"/>
      <c r="H8" s="1642"/>
      <c r="I8" s="3382"/>
      <c r="J8" s="1643"/>
      <c r="K8" s="1640"/>
      <c r="L8" s="1636" t="s">
        <v>1629</v>
      </c>
      <c r="M8" s="1637">
        <f ca="1">INDIRECT("'数据-取费表'!ai"&amp;$G$1)</f>
        <v>12</v>
      </c>
    </row>
    <row r="9" spans="1:37" ht="18" customHeight="1">
      <c r="A9" s="1642"/>
      <c r="B9" s="3383"/>
      <c r="C9" s="1643"/>
      <c r="D9" s="1640"/>
      <c r="E9" s="1636" t="s">
        <v>1630</v>
      </c>
      <c r="F9" s="1644">
        <f ca="1">INDIRECT("'数据-取费表'!w"&amp;$G$1)</f>
        <v>0.1</v>
      </c>
      <c r="G9" s="730"/>
      <c r="H9" s="1642"/>
      <c r="I9" s="3383"/>
      <c r="J9" s="1643"/>
      <c r="K9" s="1640"/>
      <c r="L9" s="1647" t="s">
        <v>1630</v>
      </c>
      <c r="M9" s="1652">
        <f ca="1">INDIRECT("'数据-取费表'!ab"&amp;$G$1)</f>
        <v>0</v>
      </c>
    </row>
    <row r="10" spans="1:37" ht="18" customHeight="1">
      <c r="A10" s="1633" t="s">
        <v>850</v>
      </c>
      <c r="B10" s="1645" t="s">
        <v>1631</v>
      </c>
      <c r="C10" s="284">
        <f ca="1">ROUND(IF(F10="押一",C6/12*F11,IF(F10="押二",C6/12*2*F11,IF(F10="押三",C6/12*3*F11,C11*F11))),0)</f>
        <v>0</v>
      </c>
      <c r="D10" s="1646" t="s">
        <v>1632</v>
      </c>
      <c r="E10" s="1647" t="s">
        <v>1633</v>
      </c>
      <c r="F10" s="1648" t="s">
        <v>3031</v>
      </c>
      <c r="G10" s="730"/>
      <c r="H10" s="1633" t="s">
        <v>850</v>
      </c>
      <c r="I10" s="1645" t="s">
        <v>1631</v>
      </c>
      <c r="J10" s="1707">
        <f ca="1">ROUND(IF(M10="押一",J6/12*M11,IF(M10="押二",J6/12*2*M11,IF(M10="押三",J6/12*3*M11,J11*M11))),0)</f>
        <v>0</v>
      </c>
      <c r="K10" s="1646" t="s">
        <v>1632</v>
      </c>
      <c r="L10" s="1647" t="s">
        <v>1633</v>
      </c>
      <c r="M10" s="1648" t="s">
        <v>1635</v>
      </c>
    </row>
    <row r="11" spans="1:37" ht="18" customHeight="1">
      <c r="A11" s="1649"/>
      <c r="B11" s="1650" t="s">
        <v>1636</v>
      </c>
      <c r="C11" s="1651"/>
      <c r="D11" s="1874"/>
      <c r="E11" s="1647" t="s">
        <v>1637</v>
      </c>
      <c r="F11" s="1652">
        <f ca="1">'数据-取费表'!B39</f>
        <v>1.4999999999999999E-2</v>
      </c>
      <c r="G11" s="730"/>
      <c r="H11" s="1653"/>
      <c r="I11" s="1650" t="s">
        <v>1636</v>
      </c>
      <c r="J11" s="1651"/>
      <c r="K11" s="1778"/>
      <c r="L11" s="1647" t="s">
        <v>1637</v>
      </c>
      <c r="M11" s="1779">
        <f ca="1">'数据-取费表'!B39</f>
        <v>1.4999999999999999E-2</v>
      </c>
    </row>
    <row r="12" spans="1:37" ht="18" customHeight="1" thickBot="1">
      <c r="A12" s="1654" t="s">
        <v>898</v>
      </c>
      <c r="B12" s="1655" t="s">
        <v>1638</v>
      </c>
      <c r="C12" s="1656"/>
      <c r="D12" s="1657"/>
      <c r="E12" s="1658"/>
      <c r="F12" s="1659"/>
      <c r="G12" s="730"/>
      <c r="H12" s="1654" t="s">
        <v>898</v>
      </c>
      <c r="I12" s="1655" t="s">
        <v>1638</v>
      </c>
      <c r="J12" s="1656"/>
      <c r="K12" s="1780"/>
      <c r="L12" s="1658"/>
      <c r="M12" s="1781"/>
    </row>
    <row r="13" spans="1:37" ht="18" customHeight="1" thickTop="1">
      <c r="A13" s="1660">
        <v>2</v>
      </c>
      <c r="B13" s="1661" t="s">
        <v>1639</v>
      </c>
      <c r="C13" s="1662">
        <f ca="1">ROUND(C29*F13,0)</f>
        <v>6376</v>
      </c>
      <c r="D13" s="3049" t="s">
        <v>1640</v>
      </c>
      <c r="E13" s="3049" t="s">
        <v>1641</v>
      </c>
      <c r="F13" s="1664">
        <f ca="1">INDIRECT("'数据-取费表'!y"&amp;$G$1)</f>
        <v>1</v>
      </c>
      <c r="G13" s="730"/>
      <c r="H13" s="1660">
        <v>2</v>
      </c>
      <c r="I13" s="1661" t="s">
        <v>1639</v>
      </c>
      <c r="J13" s="1782">
        <f ca="1">ROUND(J14*J15,0)</f>
        <v>0</v>
      </c>
      <c r="K13" s="1685" t="s">
        <v>1640</v>
      </c>
      <c r="L13" s="1783"/>
      <c r="M13" s="1784"/>
    </row>
    <row r="14" spans="1:37" ht="18" customHeight="1">
      <c r="A14" s="1665" t="s">
        <v>869</v>
      </c>
      <c r="B14" s="1636" t="s">
        <v>1642</v>
      </c>
      <c r="C14" s="1666">
        <f ca="1">INDIRECT("'数据-取费表'!m"&amp;$G$1)+INDIRECT("'数据-取费表'!t"&amp;$G$1)</f>
        <v>4764</v>
      </c>
      <c r="D14" s="3059" t="s">
        <v>1643</v>
      </c>
      <c r="E14" s="3056"/>
      <c r="F14" s="1669"/>
      <c r="G14" s="730"/>
      <c r="H14" s="1665" t="s">
        <v>846</v>
      </c>
      <c r="I14" s="1636" t="s">
        <v>1644</v>
      </c>
      <c r="J14" s="285">
        <f ca="1">C29</f>
        <v>6376</v>
      </c>
      <c r="K14" s="3061"/>
      <c r="L14" s="1786"/>
      <c r="M14" s="1787"/>
    </row>
    <row r="15" spans="1:37" s="1604" customFormat="1" ht="18" customHeight="1" thickBot="1">
      <c r="A15" s="1665" t="s">
        <v>873</v>
      </c>
      <c r="B15" s="1636" t="s">
        <v>1512</v>
      </c>
      <c r="C15" s="285">
        <f ca="1">ROUND(C14*F15,0)</f>
        <v>143</v>
      </c>
      <c r="D15" s="3050" t="s">
        <v>1645</v>
      </c>
      <c r="E15" s="3050" t="s">
        <v>1646</v>
      </c>
      <c r="F15" s="1671">
        <f>'数据-取费表'!B33</f>
        <v>0.03</v>
      </c>
      <c r="G15" s="1672"/>
      <c r="H15" s="1673" t="s">
        <v>850</v>
      </c>
      <c r="I15" s="1658" t="s">
        <v>1641</v>
      </c>
      <c r="J15" s="1781">
        <f ca="1">INDIRECT("'数据-取费表'!ad"&amp;$G$1)</f>
        <v>0</v>
      </c>
      <c r="K15" s="1788"/>
      <c r="L15" s="1789"/>
      <c r="M15" s="1790"/>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thickTop="1">
      <c r="A16" s="1665" t="s">
        <v>877</v>
      </c>
      <c r="B16" s="1636" t="s">
        <v>1515</v>
      </c>
      <c r="C16" s="285">
        <f ca="1">ROUND(INDIRECT("'数据-取费表'!m"&amp;$G$1)*F16,0)</f>
        <v>0</v>
      </c>
      <c r="D16" s="1636" t="s">
        <v>1645</v>
      </c>
      <c r="E16" s="1636" t="s">
        <v>1646</v>
      </c>
      <c r="F16" s="1674">
        <f ca="1">IF(INDIRECT("'数据-取费表'!c"&amp;$G$1)="住宅",'数据-取费表'!B34,0)</f>
        <v>0</v>
      </c>
      <c r="G16" s="730"/>
      <c r="H16" s="1660" t="s">
        <v>1647</v>
      </c>
      <c r="I16" s="1661" t="s">
        <v>1648</v>
      </c>
      <c r="J16" s="1662">
        <f ca="1">ROUND(J17+J22+J23+J24,0)</f>
        <v>105</v>
      </c>
      <c r="K16" s="1685" t="s">
        <v>1649</v>
      </c>
      <c r="L16" s="3052"/>
      <c r="M16" s="1632"/>
    </row>
    <row r="17" spans="1:37" s="1604" customFormat="1" ht="18" customHeight="1">
      <c r="A17" s="1665" t="s">
        <v>1650</v>
      </c>
      <c r="B17" s="1636" t="s">
        <v>1651</v>
      </c>
      <c r="C17" s="285">
        <f ca="1">ROUND(F17*(F43+INDIRECT("'数据-取费表'!S"&amp;$G$1))/10000,0)</f>
        <v>272</v>
      </c>
      <c r="D17" s="1636" t="s">
        <v>1652</v>
      </c>
      <c r="E17" s="1636" t="s">
        <v>1653</v>
      </c>
      <c r="F17" s="1675">
        <f>'数据-取费表'!B35</f>
        <v>200</v>
      </c>
      <c r="G17" s="1672"/>
      <c r="H17" s="1665" t="s">
        <v>846</v>
      </c>
      <c r="I17" s="1636" t="s">
        <v>1654</v>
      </c>
      <c r="J17" s="1688">
        <f ca="1">ROUND(IF(AND(项目基本情况!B11="自然人",项目基本情况!B10="北京市"),J6*M17/(1+'数据-取费表'!C42),J18+J19+J20),0)</f>
        <v>54</v>
      </c>
      <c r="K17" s="3059" t="s">
        <v>1655</v>
      </c>
      <c r="L17" s="3055" t="s">
        <v>1656</v>
      </c>
      <c r="M17" s="1690" t="str">
        <f>IF(项目基本情况!B11="企业","",IF('数据-取费表'!B10="住宅",IF(M6*M7*M8/12/(1+'数据-取费表'!F30)&gt;100000,4%,2.5%),IF(M6*M7*M8/12/(1+'数据-取费表'!F30)&gt;100000,12%,7%)))</f>
        <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604" customFormat="1" ht="18" customHeight="1">
      <c r="A18" s="1665" t="s">
        <v>1657</v>
      </c>
      <c r="B18" s="1636" t="s">
        <v>1521</v>
      </c>
      <c r="C18" s="285">
        <f ca="1">ROUND(C14*F18,0)</f>
        <v>71</v>
      </c>
      <c r="D18" s="1636" t="s">
        <v>1645</v>
      </c>
      <c r="E18" s="1636" t="s">
        <v>1646</v>
      </c>
      <c r="F18" s="1674">
        <f>'数据-取费表'!B36</f>
        <v>1.4999999999999999E-2</v>
      </c>
      <c r="G18" s="1672"/>
      <c r="H18" s="1665" t="s">
        <v>869</v>
      </c>
      <c r="I18" s="1636" t="s">
        <v>1658</v>
      </c>
      <c r="J18" s="285">
        <f ca="1">ROUND(J6*M18/(1+'数据-取费表'!C42),2)</f>
        <v>0</v>
      </c>
      <c r="K18" s="3055" t="s">
        <v>1659</v>
      </c>
      <c r="L18" s="1636" t="s">
        <v>1646</v>
      </c>
      <c r="M18" s="1674">
        <f>'数据-取费表'!B41</f>
        <v>5.5E-2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665" t="s">
        <v>846</v>
      </c>
      <c r="B19" s="1636" t="s">
        <v>1660</v>
      </c>
      <c r="C19" s="285">
        <f ca="1">SUM(C14:C18)</f>
        <v>5250</v>
      </c>
      <c r="D19" s="1676" t="s">
        <v>1661</v>
      </c>
      <c r="E19" s="3072"/>
      <c r="F19" s="1675"/>
      <c r="G19" s="730"/>
      <c r="H19" s="1665" t="s">
        <v>873</v>
      </c>
      <c r="I19" s="1636" t="s">
        <v>1662</v>
      </c>
      <c r="J19" s="285">
        <f ca="1">IF(K19="按租金收入计税",ROUND(J6*M19/(1+'数据-取费表'!C42),2),ROUND(C29*M19*0.7,2))</f>
        <v>53.56</v>
      </c>
      <c r="K19" s="1692" t="s">
        <v>1663</v>
      </c>
      <c r="L19" s="1636" t="s">
        <v>1646</v>
      </c>
      <c r="M19" s="1674">
        <f>IF(K19="按租金收入计税",'数据-取费表'!B51,'数据-取费表'!B50)</f>
        <v>1.2E-2</v>
      </c>
    </row>
    <row r="20" spans="1:37" s="1604" customFormat="1" ht="18" customHeight="1">
      <c r="A20" s="1665" t="s">
        <v>850</v>
      </c>
      <c r="B20" s="1636" t="s">
        <v>1664</v>
      </c>
      <c r="C20" s="285">
        <f ca="1">ROUND(C19*F20,0)</f>
        <v>105</v>
      </c>
      <c r="D20" s="1677" t="s">
        <v>1665</v>
      </c>
      <c r="E20" s="1636" t="s">
        <v>1646</v>
      </c>
      <c r="F20" s="1674">
        <f>'数据-取费表'!B37</f>
        <v>0.02</v>
      </c>
      <c r="G20" s="1672"/>
      <c r="H20" s="1665" t="s">
        <v>877</v>
      </c>
      <c r="I20" s="1635" t="s">
        <v>1666</v>
      </c>
      <c r="J20" s="1694">
        <f ca="1">ROUND(M20*M21/10000,2)</f>
        <v>0</v>
      </c>
      <c r="K20" s="1695" t="s">
        <v>1667</v>
      </c>
      <c r="L20" s="1636" t="s">
        <v>1668</v>
      </c>
      <c r="M20" s="1679">
        <f>'数据-取费表'!B52</f>
        <v>1.5</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604" customFormat="1" ht="18" customHeight="1">
      <c r="A21" s="1665" t="s">
        <v>898</v>
      </c>
      <c r="B21" s="1636" t="s">
        <v>1669</v>
      </c>
      <c r="C21" s="285" t="s">
        <v>124</v>
      </c>
      <c r="D21" s="1677" t="s">
        <v>1670</v>
      </c>
      <c r="E21" s="1636" t="s">
        <v>1671</v>
      </c>
      <c r="F21" s="1674">
        <f>'数据-取费表'!B38</f>
        <v>0.02</v>
      </c>
      <c r="G21" s="1672"/>
      <c r="H21" s="1678"/>
      <c r="I21" s="1791"/>
      <c r="J21" s="1698"/>
      <c r="K21" s="1699"/>
      <c r="L21" s="1636" t="s">
        <v>1672</v>
      </c>
      <c r="M21" s="1637">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665" t="s">
        <v>901</v>
      </c>
      <c r="B22" s="1636" t="s">
        <v>1673</v>
      </c>
      <c r="C22" s="285"/>
      <c r="D22" s="1676" t="str">
        <f>IF(F23&lt;=1,"单利计息。","复利计息。")&amp;"建造成本、管理费用、销售费用产生的利息。"</f>
        <v>复利计息。建造成本、管理费用、销售费用产生的利息。</v>
      </c>
      <c r="E22" s="3072"/>
      <c r="F22" s="1675"/>
      <c r="G22" s="730"/>
      <c r="H22" s="1665" t="s">
        <v>850</v>
      </c>
      <c r="I22" s="1636" t="s">
        <v>1674</v>
      </c>
      <c r="J22" s="285">
        <f ca="1">ROUND(J14*M22,1)</f>
        <v>51</v>
      </c>
      <c r="K22" s="3055" t="s">
        <v>1675</v>
      </c>
      <c r="L22" s="1636" t="s">
        <v>1646</v>
      </c>
      <c r="M22" s="1701">
        <f ca="1">INDIRECT("'数据-取费表'!Ak"&amp;$G$1)</f>
        <v>8.0000000000000002E-3</v>
      </c>
    </row>
    <row r="23" spans="1:37" s="1604" customFormat="1" ht="18" customHeight="1">
      <c r="A23" s="1665" t="s">
        <v>869</v>
      </c>
      <c r="B23" s="1636" t="s">
        <v>1676</v>
      </c>
      <c r="C23" s="285">
        <f ca="1">IF('数据-取费表'!B22&lt;=1,ROUND(C19*F24*F23/2,0)+ROUND(C20*F24*F23/2,0),ROUND(C19*(POWER((1+F24),F23/2)-1),0)+ROUND(C20*(POWER((1+F24),F23/2)-1),0))</f>
        <v>279</v>
      </c>
      <c r="D23" s="233" t="str">
        <f>IF(F23&lt;=1,"(建造成本+管理费用)×利率×(建设周期÷2)","(建造成本+管理费用)×((1+利率)^(建设周期÷2)-1)")</f>
        <v>(建造成本+管理费用)×((1+利率)^(建设周期÷2)-1)</v>
      </c>
      <c r="E23" s="1636" t="s">
        <v>1677</v>
      </c>
      <c r="F23" s="1679">
        <f>'数据-取费表'!B20</f>
        <v>3</v>
      </c>
      <c r="G23" s="1672"/>
      <c r="H23" s="1665" t="s">
        <v>898</v>
      </c>
      <c r="I23" s="1636" t="s">
        <v>1678</v>
      </c>
      <c r="J23" s="285">
        <f ca="1">ROUND(J13*M23,1)</f>
        <v>0</v>
      </c>
      <c r="K23" s="3055" t="s">
        <v>1679</v>
      </c>
      <c r="L23" s="1636" t="s">
        <v>1646</v>
      </c>
      <c r="M23" s="1702">
        <f ca="1">INDIRECT("'数据-取费表'!Al"&amp;$G$1)</f>
        <v>1E-3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604" customFormat="1" ht="18" customHeight="1" thickBot="1">
      <c r="A24" s="1665" t="s">
        <v>873</v>
      </c>
      <c r="B24" s="1636" t="s">
        <v>1680</v>
      </c>
      <c r="C24" s="285">
        <f>ROUND(IF('数据-取费表'!B22&lt;=1,F21*F24*F23/2,F21*(POWER((1+F24),F23/2)-1)),4)</f>
        <v>1E-3</v>
      </c>
      <c r="D24" s="233" t="str">
        <f>IF(F23&lt;=1,"销售费用×利率×(建设周期÷2)","销售费用×((1+利率)^(建设周期÷2)-1)")</f>
        <v>销售费用×((1+利率)^(建设周期÷2)-1)</v>
      </c>
      <c r="E24" s="1636" t="s">
        <v>1681</v>
      </c>
      <c r="F24" s="1680">
        <f>'数据-取费表'!B40</f>
        <v>3.4500000000000003E-2</v>
      </c>
      <c r="G24" s="1672"/>
      <c r="H24" s="1673" t="s">
        <v>901</v>
      </c>
      <c r="I24" s="1658" t="s">
        <v>1664</v>
      </c>
      <c r="J24" s="1681">
        <f ca="1">ROUND(J5*M24,1)</f>
        <v>0</v>
      </c>
      <c r="K24" s="1682" t="s">
        <v>1682</v>
      </c>
      <c r="L24" s="1658" t="s">
        <v>1646</v>
      </c>
      <c r="M24" s="1659">
        <f ca="1">INDIRECT("'数据-取费表'!Am"&amp;$G$1)</f>
        <v>8.0000000000000002E-3</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thickTop="1">
      <c r="A25" s="1665" t="s">
        <v>905</v>
      </c>
      <c r="B25" s="1636" t="s">
        <v>1683</v>
      </c>
      <c r="C25" s="285"/>
      <c r="D25" s="1676" t="s">
        <v>1684</v>
      </c>
      <c r="E25" s="3072"/>
      <c r="F25" s="1675"/>
      <c r="G25" s="730"/>
      <c r="H25" s="1660" t="s">
        <v>1685</v>
      </c>
      <c r="I25" s="1703" t="s">
        <v>1686</v>
      </c>
      <c r="J25" s="1662">
        <f ca="1">J5-J16</f>
        <v>-105</v>
      </c>
      <c r="K25" s="1704" t="s">
        <v>1687</v>
      </c>
      <c r="L25" s="1705"/>
      <c r="M25" s="1706"/>
    </row>
    <row r="26" spans="1:37">
      <c r="A26" s="1665" t="s">
        <v>869</v>
      </c>
      <c r="B26" s="1636" t="s">
        <v>1688</v>
      </c>
      <c r="C26" s="285">
        <f ca="1">ROUND((C19+C20)*F26,0)</f>
        <v>268</v>
      </c>
      <c r="D26" s="1677" t="s">
        <v>1689</v>
      </c>
      <c r="E26" s="1647" t="s">
        <v>1690</v>
      </c>
      <c r="F26" s="1644">
        <f ca="1">INDIRECT("'数据-取费表'!q"&amp;$G$1)</f>
        <v>0.05</v>
      </c>
      <c r="G26" s="730"/>
      <c r="H26" s="1627" t="s">
        <v>1691</v>
      </c>
      <c r="I26" s="1628" t="s">
        <v>1692</v>
      </c>
      <c r="J26" s="1707">
        <f ca="1">IF(J5&lt;&gt;0,ROUND(J25*(1-((1+M28)/(1+M26))^M27)/(M26-M28),0),0)</f>
        <v>0</v>
      </c>
      <c r="K26" s="1695" t="s">
        <v>1693</v>
      </c>
      <c r="L26" s="1636" t="s">
        <v>1694</v>
      </c>
      <c r="M26" s="1644">
        <f ca="1">INDIRECT("'数据-取费表'!I"&amp;$G$1)</f>
        <v>0.05</v>
      </c>
    </row>
    <row r="27" spans="1:37" ht="18" customHeight="1">
      <c r="A27" s="1665" t="s">
        <v>873</v>
      </c>
      <c r="B27" s="1636" t="s">
        <v>1695</v>
      </c>
      <c r="C27" s="285">
        <f ca="1">ROUND(F21*F26,4)</f>
        <v>1E-3</v>
      </c>
      <c r="D27" s="1677" t="s">
        <v>1696</v>
      </c>
      <c r="E27" s="3050"/>
      <c r="F27" s="1671"/>
      <c r="G27" s="730"/>
      <c r="H27" s="1642"/>
      <c r="I27" s="1709"/>
      <c r="J27" s="1643"/>
      <c r="K27" s="1710" t="s">
        <v>1697</v>
      </c>
      <c r="L27" s="1636" t="s">
        <v>1698</v>
      </c>
      <c r="M27" s="1711">
        <f ca="1">INDIRECT("'数据-取费表'!ag"&amp;$G$1)</f>
        <v>0</v>
      </c>
    </row>
    <row r="28" spans="1:37" s="1604" customFormat="1" ht="18" customHeight="1">
      <c r="A28" s="1665" t="s">
        <v>906</v>
      </c>
      <c r="B28" s="1636" t="s">
        <v>1699</v>
      </c>
      <c r="C28" s="285">
        <f>ROUND(F28/(1+'数据-取费表'!C42),4)</f>
        <v>5.2400000000000002E-2</v>
      </c>
      <c r="D28" s="1677" t="s">
        <v>1700</v>
      </c>
      <c r="E28" s="1636" t="s">
        <v>1646</v>
      </c>
      <c r="F28" s="1674">
        <f>'数据-取费表'!B41</f>
        <v>5.5E-2</v>
      </c>
      <c r="G28" s="1672"/>
      <c r="H28" s="1649"/>
      <c r="I28" s="1712"/>
      <c r="J28" s="1662"/>
      <c r="K28" s="1699"/>
      <c r="L28" s="1636" t="s">
        <v>1701</v>
      </c>
      <c r="M28" s="1644">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604" customFormat="1" ht="18" customHeight="1" thickBot="1">
      <c r="A29" s="1673" t="s">
        <v>1546</v>
      </c>
      <c r="B29" s="1658" t="s">
        <v>1702</v>
      </c>
      <c r="C29" s="1681">
        <f ca="1">ROUND((C19+C20+C23+C26)/(1-F21-C24-C27-C28),0)</f>
        <v>6376</v>
      </c>
      <c r="D29" s="1682"/>
      <c r="E29" s="1658"/>
      <c r="F29" s="1683"/>
      <c r="G29" s="1672"/>
      <c r="H29" s="1684" t="s">
        <v>1703</v>
      </c>
      <c r="I29" s="1713" t="s">
        <v>1704</v>
      </c>
      <c r="J29" s="1714">
        <f ca="1">ROUND(J26/(1+F40)^F41,0)</f>
        <v>0</v>
      </c>
      <c r="K29" s="1715" t="s">
        <v>1705</v>
      </c>
      <c r="L29" s="1716"/>
      <c r="M29" s="1717">
        <f ca="1">INDIRECT("'数据-取费表'!k"&amp;$G$1)</f>
        <v>13611.27</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thickTop="1">
      <c r="A30" s="1660" t="s">
        <v>1647</v>
      </c>
      <c r="B30" s="1661" t="s">
        <v>1648</v>
      </c>
      <c r="C30" s="1662">
        <f ca="1">ROUND(C31+C36+C37+C38,0)</f>
        <v>2854</v>
      </c>
      <c r="D30" s="1685" t="s">
        <v>1649</v>
      </c>
      <c r="E30" s="3052"/>
      <c r="F30" s="1632"/>
      <c r="G30" s="730"/>
      <c r="H30" s="1687"/>
      <c r="I30" s="1792"/>
      <c r="J30" s="1793"/>
      <c r="K30" s="274"/>
      <c r="L30" s="1794"/>
      <c r="M30" s="1795"/>
    </row>
    <row r="31" spans="1:37" ht="18" customHeight="1">
      <c r="A31" s="1665" t="s">
        <v>846</v>
      </c>
      <c r="B31" s="1636" t="s">
        <v>1654</v>
      </c>
      <c r="C31" s="1688">
        <f ca="1">ROUND(IF(AND(项目基本情况!B11="自然人",项目基本情况!B10="北京市"),C6*F31/(1+'数据-取费表'!C42),C32+C33+C34),0)</f>
        <v>2668</v>
      </c>
      <c r="D31" s="3059" t="s">
        <v>1655</v>
      </c>
      <c r="E31" s="3055" t="s">
        <v>1656</v>
      </c>
      <c r="F31" s="1690" t="str">
        <f>IF(项目基本情况!B11="企业","——",IF('数据-取费表'!B10="住宅",IF(F6*F7*F8/12/(1+'数据-取费表'!F30)&gt;100000,4%,2.5%),IF(F6*F7*F8/12/(1+'数据-取费表'!F30)&gt;100000,12%,7%)))</f>
        <v>——</v>
      </c>
      <c r="G31" s="730"/>
      <c r="H31" s="1691" t="s">
        <v>1706</v>
      </c>
      <c r="I31" s="1792"/>
      <c r="J31" s="1793"/>
      <c r="K31" s="274"/>
      <c r="L31" s="1794"/>
      <c r="M31" s="1795"/>
    </row>
    <row r="32" spans="1:37" ht="18" customHeight="1">
      <c r="A32" s="1665" t="s">
        <v>869</v>
      </c>
      <c r="B32" s="1636" t="s">
        <v>1658</v>
      </c>
      <c r="C32" s="285">
        <f ca="1">IF(项目基本情况!B11="自然人","——",ROUND(C6*F32/(1+'数据-取费表'!C42),2))</f>
        <v>838.46</v>
      </c>
      <c r="D32" s="3055" t="s">
        <v>1659</v>
      </c>
      <c r="E32" s="1636" t="s">
        <v>1646</v>
      </c>
      <c r="F32" s="1680">
        <f>'数据-取费表'!B41</f>
        <v>5.5E-2</v>
      </c>
      <c r="G32" s="730"/>
      <c r="H32" s="1687"/>
      <c r="I32" s="1792"/>
      <c r="J32" s="1793"/>
      <c r="K32" s="274"/>
      <c r="L32" s="1794"/>
      <c r="M32" s="1795"/>
    </row>
    <row r="33" spans="1:18" ht="18" customHeight="1">
      <c r="A33" s="1665" t="s">
        <v>873</v>
      </c>
      <c r="B33" s="1636" t="s">
        <v>1662</v>
      </c>
      <c r="C33" s="285">
        <f ca="1">IF(项目基本情况!B11="自然人","——",IF(D33="按租金收入计税",ROUND(C6*F33/(1+'数据-取费表'!C42),2),IF(D33="按房产原值计税",ROUND(C29*F33*0.7,2),INDIRECT("'数据-取费表'!Aj"&amp;$G$1))))</f>
        <v>1829.37</v>
      </c>
      <c r="D33" s="1692" t="s">
        <v>1707</v>
      </c>
      <c r="E33" s="1636" t="s">
        <v>1646</v>
      </c>
      <c r="F33" s="1674">
        <f>IF(D33="按票据","——",IF(D33="按租金收入计税",'数据-取费表'!B51,'数据-取费表'!B50))</f>
        <v>0.12</v>
      </c>
      <c r="G33" s="730"/>
      <c r="H33" s="1693"/>
      <c r="I33" s="1792"/>
      <c r="J33" s="1793"/>
      <c r="K33" s="1796"/>
      <c r="L33" s="1693"/>
      <c r="M33" s="1693"/>
    </row>
    <row r="34" spans="1:18" ht="18" customHeight="1">
      <c r="A34" s="1633" t="s">
        <v>877</v>
      </c>
      <c r="B34" s="1635" t="s">
        <v>1666</v>
      </c>
      <c r="C34" s="1694">
        <f ca="1">IF(项目基本情况!B11="自然人","——",ROUND(F34*F35/10000,2))</f>
        <v>0</v>
      </c>
      <c r="D34" s="1695" t="s">
        <v>1667</v>
      </c>
      <c r="E34" s="1636" t="s">
        <v>1668</v>
      </c>
      <c r="F34" s="1679">
        <f>'数据-取费表'!B52</f>
        <v>1.5</v>
      </c>
      <c r="G34" s="730"/>
      <c r="H34" s="1687"/>
      <c r="I34" s="1792"/>
      <c r="J34" s="1793"/>
      <c r="K34" s="1797"/>
      <c r="L34" s="1798"/>
      <c r="M34" s="1798"/>
    </row>
    <row r="35" spans="1:18" ht="18" customHeight="1">
      <c r="A35" s="1696"/>
      <c r="B35" s="1697"/>
      <c r="C35" s="1698"/>
      <c r="D35" s="1699"/>
      <c r="E35" s="1636" t="s">
        <v>1672</v>
      </c>
      <c r="F35" s="1637">
        <f ca="1">INDIRECT("'数据-取费表'!r"&amp;$G$1)</f>
        <v>0</v>
      </c>
      <c r="G35" s="730"/>
      <c r="H35" s="1687"/>
      <c r="I35" s="1792"/>
      <c r="J35" s="1793"/>
      <c r="K35" s="1796"/>
      <c r="L35" s="1693"/>
      <c r="M35" s="1693"/>
    </row>
    <row r="36" spans="1:18" ht="18" customHeight="1">
      <c r="A36" s="1700" t="s">
        <v>850</v>
      </c>
      <c r="B36" s="1636" t="s">
        <v>1674</v>
      </c>
      <c r="C36" s="285">
        <f ca="1">ROUND(C29*F36,1)</f>
        <v>51</v>
      </c>
      <c r="D36" s="3055" t="s">
        <v>1708</v>
      </c>
      <c r="E36" s="1636" t="s">
        <v>1646</v>
      </c>
      <c r="F36" s="1701">
        <f ca="1">INDIRECT("'数据-取费表'!Ak"&amp;$G$1)</f>
        <v>8.0000000000000002E-3</v>
      </c>
      <c r="G36" s="730"/>
      <c r="H36" s="1693"/>
      <c r="I36" s="1792"/>
      <c r="J36" s="1793"/>
      <c r="K36" s="1799"/>
      <c r="L36" s="1693"/>
      <c r="M36" s="1693"/>
    </row>
    <row r="37" spans="1:18" ht="18" customHeight="1">
      <c r="A37" s="1665" t="s">
        <v>898</v>
      </c>
      <c r="B37" s="1636" t="s">
        <v>1678</v>
      </c>
      <c r="C37" s="285">
        <f ca="1">ROUND(C13*F37,1)</f>
        <v>6.4</v>
      </c>
      <c r="D37" s="3055" t="s">
        <v>1679</v>
      </c>
      <c r="E37" s="1636" t="s">
        <v>1646</v>
      </c>
      <c r="F37" s="1702">
        <f ca="1">INDIRECT("'数据-取费表'!Al"&amp;$G$1)</f>
        <v>1E-3</v>
      </c>
      <c r="G37" s="730"/>
      <c r="H37" s="1693"/>
      <c r="I37" s="1792"/>
      <c r="J37" s="1793"/>
      <c r="K37" s="1799"/>
      <c r="L37" s="1693"/>
      <c r="M37" s="1693"/>
    </row>
    <row r="38" spans="1:18" ht="18" customHeight="1" thickBot="1">
      <c r="A38" s="1673" t="s">
        <v>901</v>
      </c>
      <c r="B38" s="1658" t="s">
        <v>1664</v>
      </c>
      <c r="C38" s="1681">
        <f ca="1">ROUND(C5*F38,1)</f>
        <v>128.1</v>
      </c>
      <c r="D38" s="1682" t="s">
        <v>1682</v>
      </c>
      <c r="E38" s="1658" t="s">
        <v>1646</v>
      </c>
      <c r="F38" s="1659">
        <f ca="1">INDIRECT("'数据-取费表'!Am"&amp;$G$1)</f>
        <v>8.0000000000000002E-3</v>
      </c>
      <c r="G38" s="730"/>
      <c r="H38" s="1693"/>
      <c r="I38" s="1792"/>
      <c r="J38" s="1793"/>
      <c r="K38" s="1794"/>
      <c r="L38" s="1693"/>
      <c r="M38" s="1693"/>
    </row>
    <row r="39" spans="1:18" ht="24.6" customHeight="1" thickTop="1">
      <c r="A39" s="1660" t="s">
        <v>1685</v>
      </c>
      <c r="B39" s="1703" t="s">
        <v>1686</v>
      </c>
      <c r="C39" s="1662">
        <f ca="1">C5-C30</f>
        <v>13153</v>
      </c>
      <c r="D39" s="1704" t="s">
        <v>1687</v>
      </c>
      <c r="E39" s="1705"/>
      <c r="F39" s="1706"/>
      <c r="G39" s="730"/>
      <c r="H39" s="1693"/>
      <c r="I39" s="1792"/>
      <c r="J39" s="1793"/>
      <c r="K39" s="1794"/>
      <c r="L39" s="1693"/>
      <c r="M39" s="1693"/>
    </row>
    <row r="40" spans="1:18" ht="18" customHeight="1">
      <c r="A40" s="1627" t="s">
        <v>1691</v>
      </c>
      <c r="B40" s="1628" t="s">
        <v>1709</v>
      </c>
      <c r="C40" s="1707">
        <f ca="1">ROUND(C39*(1-((1+F42)/(1+F40))^F41)/(F40-F42),0)</f>
        <v>272199</v>
      </c>
      <c r="D40" s="1695" t="s">
        <v>1693</v>
      </c>
      <c r="E40" s="1636" t="s">
        <v>1694</v>
      </c>
      <c r="F40" s="1644">
        <f ca="1">INDIRECT("'数据-取费表'!I"&amp;$G$1)</f>
        <v>0.05</v>
      </c>
      <c r="G40" s="730"/>
      <c r="H40" s="1708"/>
      <c r="I40" s="1792"/>
      <c r="J40" s="1793"/>
      <c r="K40" s="1794"/>
      <c r="L40" s="1708"/>
      <c r="M40" s="1708"/>
    </row>
    <row r="41" spans="1:18" ht="18" customHeight="1">
      <c r="A41" s="1642"/>
      <c r="B41" s="1709"/>
      <c r="C41" s="1643"/>
      <c r="D41" s="1710" t="s">
        <v>1697</v>
      </c>
      <c r="E41" s="1636" t="s">
        <v>1698</v>
      </c>
      <c r="F41" s="1711">
        <f ca="1">IF(INDIRECT("'数据-取费表'!af"&amp;$G$1)=0,INDIRECT("'数据-取费表'!ae"&amp;$G$1),INDIRECT("'数据-取费表'!af"&amp;$G$1))</f>
        <v>45.29</v>
      </c>
      <c r="G41" s="730"/>
      <c r="H41" s="274"/>
      <c r="I41" s="1792"/>
      <c r="J41" s="1793"/>
      <c r="K41" s="1799"/>
      <c r="L41" s="274"/>
      <c r="M41" s="274"/>
    </row>
    <row r="42" spans="1:18" ht="18" customHeight="1">
      <c r="A42" s="1649"/>
      <c r="B42" s="1712"/>
      <c r="C42" s="1662"/>
      <c r="D42" s="1699"/>
      <c r="E42" s="1636" t="s">
        <v>1701</v>
      </c>
      <c r="F42" s="1644">
        <f ca="1">INDIRECT("'数据-取费表'!v"&amp;$G$1)</f>
        <v>0.01</v>
      </c>
      <c r="G42" s="730"/>
      <c r="H42" s="274"/>
      <c r="I42" s="1792"/>
      <c r="J42" s="1793"/>
      <c r="K42" s="1799"/>
      <c r="L42" s="274"/>
      <c r="M42" s="274"/>
    </row>
    <row r="43" spans="1:18" ht="18" customHeight="1" thickBot="1">
      <c r="A43" s="1684" t="s">
        <v>1703</v>
      </c>
      <c r="B43" s="1713" t="s">
        <v>1710</v>
      </c>
      <c r="C43" s="1714">
        <f ca="1">ROUND(C40*10000/F43,0)</f>
        <v>199981</v>
      </c>
      <c r="D43" s="1715" t="s">
        <v>1711</v>
      </c>
      <c r="E43" s="1716" t="s">
        <v>1712</v>
      </c>
      <c r="F43" s="1717">
        <f ca="1">INDIRECT("'数据-取费表'!k"&amp;$G$1)</f>
        <v>13611.27</v>
      </c>
      <c r="G43" s="730"/>
      <c r="H43" s="274"/>
      <c r="I43" s="274"/>
      <c r="J43" s="274"/>
      <c r="K43" s="1799"/>
      <c r="L43" s="274"/>
      <c r="M43" s="274"/>
    </row>
    <row r="44" spans="1:18" s="730" customFormat="1" ht="18" customHeight="1">
      <c r="A44" s="1718"/>
      <c r="B44" s="1718"/>
      <c r="C44" s="1719"/>
      <c r="D44" s="1718"/>
      <c r="E44" s="1718"/>
      <c r="F44" s="1718"/>
      <c r="K44" s="1800"/>
    </row>
    <row r="45" spans="1:18" s="730" customFormat="1" ht="18" customHeight="1" thickBot="1">
      <c r="A45" s="1718"/>
      <c r="B45" s="1718"/>
      <c r="C45" s="1719"/>
      <c r="D45" s="1718"/>
      <c r="E45" s="1718"/>
      <c r="F45" s="1718"/>
      <c r="J45" s="315"/>
      <c r="O45" s="1880" t="s">
        <v>1713</v>
      </c>
      <c r="P45" s="1708"/>
      <c r="Q45" s="1708"/>
      <c r="R45" s="1708"/>
    </row>
    <row r="46" spans="1:18" s="730" customFormat="1" ht="13.5" thickBot="1">
      <c r="A46" s="1722" t="s">
        <v>1714</v>
      </c>
      <c r="C46" s="1723">
        <f ca="1">C68-C40</f>
        <v>-282758</v>
      </c>
      <c r="D46" s="1724" t="str">
        <f>C2</f>
        <v>万元</v>
      </c>
      <c r="E46" s="1718"/>
      <c r="F46" s="1718"/>
      <c r="I46" s="1802" t="s">
        <v>1715</v>
      </c>
      <c r="J46" s="1803"/>
      <c r="K46" s="1804"/>
      <c r="L46" s="1805">
        <f ca="1">IF(M47="住宅",0,IF(L48&gt;J51,L60,J60))</f>
        <v>96</v>
      </c>
      <c r="O46" s="1806" t="s">
        <v>1716</v>
      </c>
      <c r="P46" s="1807" t="s">
        <v>1717</v>
      </c>
      <c r="Q46" s="1848" t="s">
        <v>1718</v>
      </c>
      <c r="R46" s="1848" t="s">
        <v>1719</v>
      </c>
    </row>
    <row r="47" spans="1:18" s="730" customFormat="1" ht="13.5" thickBot="1">
      <c r="A47" s="1725" t="s">
        <v>1617</v>
      </c>
      <c r="B47" s="1726" t="s">
        <v>1618</v>
      </c>
      <c r="C47" s="1875" t="s">
        <v>1619</v>
      </c>
      <c r="D47" s="1726" t="s">
        <v>1620</v>
      </c>
      <c r="E47" s="1727" t="s">
        <v>1621</v>
      </c>
      <c r="F47" s="278"/>
      <c r="G47" s="1728"/>
      <c r="I47" s="1808" t="s">
        <v>1720</v>
      </c>
      <c r="J47" s="1809" t="s">
        <v>1565</v>
      </c>
      <c r="K47" s="1810" t="s">
        <v>1721</v>
      </c>
      <c r="L47" s="1811">
        <f ca="1">INDIRECT("'数据-取费表'!d"&amp;$G$1)</f>
        <v>50</v>
      </c>
      <c r="M47" s="1812" t="str">
        <f>IF(ISNUMBER(FIND("住宅",C1)),"住宅","非住宅")</f>
        <v>非住宅</v>
      </c>
      <c r="O47" s="1813" t="s">
        <v>1410</v>
      </c>
      <c r="P47" s="1814" t="s">
        <v>1722</v>
      </c>
      <c r="Q47" s="1849">
        <f ca="1">C40+J29</f>
        <v>272199</v>
      </c>
      <c r="R47" s="1849" t="s">
        <v>1723</v>
      </c>
    </row>
    <row r="48" spans="1:18" s="730" customFormat="1" ht="28.5" thickBot="1">
      <c r="A48" s="1729" t="s">
        <v>1724</v>
      </c>
      <c r="B48" s="1628" t="s">
        <v>1622</v>
      </c>
      <c r="C48" s="3071">
        <f ca="1">C49+C53+C55</f>
        <v>0</v>
      </c>
      <c r="D48" s="1730"/>
      <c r="E48" s="1731"/>
      <c r="F48" s="1732"/>
      <c r="G48" s="1728"/>
      <c r="H48" s="1733"/>
      <c r="I48" s="789" t="s">
        <v>1725</v>
      </c>
      <c r="J48" s="1815" t="s">
        <v>1726</v>
      </c>
      <c r="K48" s="1816" t="s">
        <v>1727</v>
      </c>
      <c r="L48" s="1817">
        <f ca="1">INDIRECT("'数据-取费表'!f"&amp;$G$1)</f>
        <v>45.29</v>
      </c>
      <c r="O48" s="1813" t="s">
        <v>1413</v>
      </c>
      <c r="P48" s="1814" t="s">
        <v>1728</v>
      </c>
      <c r="Q48" s="1849">
        <f ca="1">J60</f>
        <v>96</v>
      </c>
      <c r="R48" s="1849" t="s">
        <v>1729</v>
      </c>
    </row>
    <row r="49" spans="1:18" s="730" customFormat="1" ht="13.5" thickBot="1">
      <c r="A49" s="1734" t="s">
        <v>1730</v>
      </c>
      <c r="B49" s="1735" t="s">
        <v>1731</v>
      </c>
      <c r="C49" s="1736">
        <f ca="1">ROUND(F49*F51*F50*(1-F52)/10000,0)</f>
        <v>0</v>
      </c>
      <c r="D49" s="1737" t="s">
        <v>1627</v>
      </c>
      <c r="E49" s="1738" t="s">
        <v>1732</v>
      </c>
      <c r="F49" s="1739"/>
      <c r="H49" s="1733"/>
      <c r="I49" s="789" t="s">
        <v>1733</v>
      </c>
      <c r="J49" s="1818">
        <v>2023</v>
      </c>
      <c r="K49" s="1816" t="s">
        <v>1734</v>
      </c>
      <c r="L49" s="1819"/>
      <c r="O49" s="1820" t="s">
        <v>1735</v>
      </c>
      <c r="P49" s="1814" t="s">
        <v>1736</v>
      </c>
      <c r="Q49" s="1849">
        <f ca="1">C29</f>
        <v>6376</v>
      </c>
      <c r="R49" s="1849" t="s">
        <v>1723</v>
      </c>
    </row>
    <row r="50" spans="1:18" s="730" customFormat="1" ht="13.5" thickBot="1">
      <c r="A50" s="1740"/>
      <c r="B50" s="248"/>
      <c r="C50" s="1876"/>
      <c r="D50" s="1742"/>
      <c r="E50" s="1743" t="s">
        <v>1628</v>
      </c>
      <c r="F50" s="1744">
        <f ca="1">F7</f>
        <v>49403.210000000006</v>
      </c>
      <c r="H50" s="1733"/>
      <c r="I50" s="789" t="s">
        <v>1737</v>
      </c>
      <c r="J50" s="1821">
        <f>SUMPRODUCT((I63:I65=J47)*(J62:L62=J48)*(J63:L65))</f>
        <v>60</v>
      </c>
      <c r="K50" s="1816" t="s">
        <v>1738</v>
      </c>
      <c r="L50" s="1819"/>
      <c r="M50" s="1822"/>
      <c r="O50" s="1820" t="s">
        <v>1739</v>
      </c>
      <c r="P50" s="1814" t="s">
        <v>1740</v>
      </c>
      <c r="Q50" s="1850">
        <f ca="1">J58</f>
        <v>0.4</v>
      </c>
      <c r="R50" s="1849"/>
    </row>
    <row r="51" spans="1:18" s="730" customFormat="1" ht="13.5" thickBot="1">
      <c r="A51" s="1745"/>
      <c r="B51" s="248"/>
      <c r="C51" s="1741"/>
      <c r="D51" s="1742"/>
      <c r="E51" s="1746" t="s">
        <v>1629</v>
      </c>
      <c r="F51" s="1637">
        <f ca="1">F8</f>
        <v>12</v>
      </c>
      <c r="I51" s="1823" t="s">
        <v>1741</v>
      </c>
      <c r="J51" s="1817">
        <f>IF(J49="",J50,J49+J50-YEAR('数据-取费表'!B2))</f>
        <v>59</v>
      </c>
      <c r="K51" s="1824" t="s">
        <v>1742</v>
      </c>
      <c r="L51" s="1825">
        <f ca="1">ROUND(-PV(INDIRECT("'数据-取费表'!h"&amp;$G$1),J51,(C39-C13*C76),0),0)</f>
        <v>260679</v>
      </c>
      <c r="M51" s="1826"/>
      <c r="O51" s="1820" t="s">
        <v>1743</v>
      </c>
      <c r="P51" s="1814" t="s">
        <v>1744</v>
      </c>
      <c r="Q51" s="1850">
        <f>J52</f>
        <v>7.4999999999999997E-2</v>
      </c>
      <c r="R51" s="1849"/>
    </row>
    <row r="52" spans="1:18" s="730" customFormat="1" ht="13.5" thickBot="1">
      <c r="A52" s="1745"/>
      <c r="B52" s="248"/>
      <c r="C52" s="1741"/>
      <c r="D52" s="1742"/>
      <c r="E52" s="1746" t="s">
        <v>1630</v>
      </c>
      <c r="F52" s="1747"/>
      <c r="I52" s="1827" t="s">
        <v>1745</v>
      </c>
      <c r="J52" s="1828">
        <v>7.4999999999999997E-2</v>
      </c>
      <c r="K52" s="1827" t="s">
        <v>1746</v>
      </c>
      <c r="L52" s="1828"/>
      <c r="O52" s="1820" t="s">
        <v>1747</v>
      </c>
      <c r="P52" s="1814" t="s">
        <v>1748</v>
      </c>
      <c r="Q52" s="1849">
        <f ca="1">J53</f>
        <v>45.29</v>
      </c>
      <c r="R52" s="1849" t="s">
        <v>1749</v>
      </c>
    </row>
    <row r="53" spans="1:18" s="730" customFormat="1" ht="24.75" thickBot="1">
      <c r="A53" s="1877" t="s">
        <v>1750</v>
      </c>
      <c r="B53" s="1878" t="s">
        <v>1631</v>
      </c>
      <c r="C53" s="284">
        <f ca="1">ROUND(IF(F53="押一",C49/12*F11,IF(F53="押二",C49/12*2*F11,IF(F53="押三",C49/12*3*F11,C54*F11))),0)</f>
        <v>0</v>
      </c>
      <c r="D53" s="1646" t="s">
        <v>1632</v>
      </c>
      <c r="E53" s="1647" t="s">
        <v>1633</v>
      </c>
      <c r="F53" s="1648"/>
      <c r="I53" s="1829" t="s">
        <v>1751</v>
      </c>
      <c r="J53" s="1830">
        <f ca="1">IF(M47="住宅",IF(D1="——",MAX(J51,L48),MAX(J51,L48-'数据-取费表'!B24)),IF(D1="——",MIN(J51,L48),MIN(J51,L48-'数据-取费表'!B24)))</f>
        <v>45.29</v>
      </c>
      <c r="K53" s="3379" t="s">
        <v>1752</v>
      </c>
      <c r="L53" s="3380"/>
      <c r="O53" s="1813" t="s">
        <v>1514</v>
      </c>
      <c r="P53" s="1814" t="s">
        <v>1753</v>
      </c>
      <c r="Q53" s="1849">
        <f ca="1">Q47+Q48</f>
        <v>272295</v>
      </c>
      <c r="R53" s="1849" t="s">
        <v>1754</v>
      </c>
    </row>
    <row r="54" spans="1:18" s="730" customFormat="1" ht="13.5" thickBot="1">
      <c r="A54" s="1879"/>
      <c r="B54" s="1650" t="s">
        <v>1636</v>
      </c>
      <c r="C54" s="1651"/>
      <c r="D54" s="1646"/>
      <c r="E54" s="3070"/>
      <c r="F54" s="1751"/>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2"/>
      <c r="K54" s="1832"/>
      <c r="L54" s="1832"/>
      <c r="O54" s="1801" t="s">
        <v>1755</v>
      </c>
      <c r="P54" s="1614"/>
      <c r="Q54" s="1614"/>
      <c r="R54" s="1614"/>
    </row>
    <row r="55" spans="1:18" s="730" customFormat="1" ht="13.5" thickBot="1">
      <c r="A55" s="1654" t="s">
        <v>898</v>
      </c>
      <c r="B55" s="1655" t="s">
        <v>1638</v>
      </c>
      <c r="C55" s="1656"/>
      <c r="D55" s="1646"/>
      <c r="E55" s="3070"/>
      <c r="F55" s="1751"/>
      <c r="I55" s="1833" t="s">
        <v>1756</v>
      </c>
      <c r="J55" s="1834">
        <f ca="1">ROUND(IF(J47="钢混",J57/J50,1-(1-2%)*(J50-J57)/J50),3)</f>
        <v>0.22900000000000001</v>
      </c>
      <c r="K55" s="1835" t="s">
        <v>1757</v>
      </c>
      <c r="L55" s="1836" t="s">
        <v>1758</v>
      </c>
      <c r="O55" s="1806" t="s">
        <v>1716</v>
      </c>
      <c r="P55" s="1807" t="s">
        <v>1717</v>
      </c>
      <c r="Q55" s="1848" t="s">
        <v>1718</v>
      </c>
      <c r="R55" s="1848" t="s">
        <v>1719</v>
      </c>
    </row>
    <row r="56" spans="1:18" s="730" customFormat="1" ht="25.5" thickTop="1" thickBot="1">
      <c r="A56" s="1752">
        <v>2</v>
      </c>
      <c r="B56" s="1753" t="s">
        <v>1639</v>
      </c>
      <c r="C56" s="181">
        <f ca="1">C13</f>
        <v>6376</v>
      </c>
      <c r="D56" s="1754"/>
      <c r="E56" s="1755"/>
      <c r="F56" s="1751"/>
      <c r="I56" s="1837" t="s">
        <v>1759</v>
      </c>
      <c r="J56" s="1838" t="s">
        <v>3007</v>
      </c>
      <c r="K56" s="789" t="s">
        <v>1760</v>
      </c>
      <c r="L56" s="1817" t="str">
        <f ca="1">IF(L48&lt;J51,"——",L48-J53)</f>
        <v>——</v>
      </c>
      <c r="O56" s="1813" t="s">
        <v>1410</v>
      </c>
      <c r="P56" s="1814" t="s">
        <v>1722</v>
      </c>
      <c r="Q56" s="1849">
        <f ca="1">C40+J29</f>
        <v>272199</v>
      </c>
      <c r="R56" s="1849" t="s">
        <v>1723</v>
      </c>
    </row>
    <row r="57" spans="1:18" s="730" customFormat="1" ht="24.75" thickBot="1">
      <c r="A57" s="1756"/>
      <c r="B57" s="1757" t="s">
        <v>1702</v>
      </c>
      <c r="C57" s="191">
        <f ca="1">C29</f>
        <v>6376</v>
      </c>
      <c r="D57" s="1758"/>
      <c r="E57" s="1759"/>
      <c r="F57" s="1760"/>
      <c r="I57" s="1839" t="s">
        <v>1761</v>
      </c>
      <c r="J57" s="1840">
        <f ca="1">IF(OR(M47="住宅",J51&lt;L48,J56="是"),"——",J51-L48)</f>
        <v>13.71</v>
      </c>
      <c r="K57" s="789" t="s">
        <v>1762</v>
      </c>
      <c r="L57" s="1817" t="str">
        <f ca="1">IF(L48&lt;J51,"——",IF(L55="比较法",L49,IF(L55="基准地价",L50,L51)))</f>
        <v>——</v>
      </c>
      <c r="O57" s="1813" t="s">
        <v>1413</v>
      </c>
      <c r="P57" s="1814" t="s">
        <v>1763</v>
      </c>
      <c r="Q57" s="1849">
        <f ca="1">L60</f>
        <v>0</v>
      </c>
      <c r="R57" s="1849" t="s">
        <v>1764</v>
      </c>
    </row>
    <row r="58" spans="1:18" s="730" customFormat="1" ht="24.75" thickBot="1">
      <c r="A58" s="1761" t="s">
        <v>1647</v>
      </c>
      <c r="B58" s="1753" t="s">
        <v>1648</v>
      </c>
      <c r="C58" s="284">
        <f ca="1">ROUND(C59+C64+C65+C66,0)</f>
        <v>593</v>
      </c>
      <c r="D58" s="1762" t="s">
        <v>1649</v>
      </c>
      <c r="E58" s="1763"/>
      <c r="F58" s="1732"/>
      <c r="I58" s="1839" t="s">
        <v>1765</v>
      </c>
      <c r="J58" s="1841">
        <f ca="1">IF(J55&lt;0.4,0.4,J55)</f>
        <v>0.4</v>
      </c>
      <c r="K58" s="1824" t="s">
        <v>1766</v>
      </c>
      <c r="L58" s="1817" t="e">
        <f ca="1">ROUND(POWER(1+L52,L47-L48)*(POWER(1+L52,L48)-1)/(POWER(1+L52,L47)-1),4)</f>
        <v>#DIV/0!</v>
      </c>
      <c r="O58" s="1820" t="s">
        <v>1735</v>
      </c>
      <c r="P58" s="1814" t="s">
        <v>1767</v>
      </c>
      <c r="Q58" s="1849">
        <f>IF(L55="比较法",L49,IF(L55="基准地价",L50,0))</f>
        <v>0</v>
      </c>
      <c r="R58" s="1849" t="s">
        <v>1723</v>
      </c>
    </row>
    <row r="59" spans="1:18" s="730" customFormat="1" ht="24.75" thickBot="1">
      <c r="A59" s="1665" t="s">
        <v>846</v>
      </c>
      <c r="B59" s="1757" t="s">
        <v>1654</v>
      </c>
      <c r="C59" s="1688">
        <f ca="1">ROUND(IF(AND(项目基本情况!B11="自然人",项目基本情况!B10="北京市"),C49*F59/(1+'数据-取费表'!C42),C60+C61+C62),0)</f>
        <v>536</v>
      </c>
      <c r="D59" s="1764" t="s">
        <v>1655</v>
      </c>
      <c r="E59" s="1765" t="s">
        <v>1656</v>
      </c>
      <c r="F59" s="1690" t="str">
        <f>IF(项目基本情况!B11="企业","——",IF('数据-取费表'!B10="住宅",IF(F49*F50*F51/12/(1+'数据-取费表'!F30)&gt;100000,4%,2.5%),IF(F49*F50*F51/12/(1+'数据-取费表'!F30)&gt;100000,12%,7%)))</f>
        <v>——</v>
      </c>
      <c r="I59" s="1839" t="s">
        <v>1768</v>
      </c>
      <c r="J59" s="1840">
        <f ca="1">IF(OR(M47="住宅",J51&lt;L48,J56="是"),"——",ROUND(C29*J58,0))</f>
        <v>2550</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7"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0" t="s">
        <v>1739</v>
      </c>
      <c r="P59" s="1814" t="s">
        <v>1769</v>
      </c>
      <c r="Q59" s="1850">
        <f>L52</f>
        <v>0</v>
      </c>
      <c r="R59" s="1849"/>
    </row>
    <row r="60" spans="1:18" s="730" customFormat="1" ht="16.5" thickBot="1">
      <c r="A60" s="1665" t="s">
        <v>869</v>
      </c>
      <c r="B60" s="1757" t="s">
        <v>1658</v>
      </c>
      <c r="C60" s="285">
        <f ca="1">IF(项目基本情况!B11="自然人","——",ROUND(C48*F60/(1+'数据-取费表'!C42),2))</f>
        <v>0</v>
      </c>
      <c r="D60" s="1765" t="s">
        <v>1659</v>
      </c>
      <c r="E60" s="1757" t="s">
        <v>1646</v>
      </c>
      <c r="F60" s="1680">
        <f t="shared" ref="F60:F66" si="0">F32</f>
        <v>5.5E-2</v>
      </c>
      <c r="I60" s="1842" t="s">
        <v>1770</v>
      </c>
      <c r="J60" s="1843">
        <f ca="1">IF(OR(M47="住宅",J51&lt;L48,J56="是"),"0",ROUND(J59/(1+J52)^J53,0))</f>
        <v>96</v>
      </c>
      <c r="K60" s="1844" t="s">
        <v>1771</v>
      </c>
      <c r="L60" s="1843">
        <f ca="1">IF(OR(M47="住宅",L48&lt;J51),0,ROUND(L57*(L58/L59-1),0))</f>
        <v>0</v>
      </c>
      <c r="O60" s="1820" t="s">
        <v>1743</v>
      </c>
      <c r="P60" s="1814" t="s">
        <v>1772</v>
      </c>
      <c r="Q60" s="1849" t="e">
        <f ca="1">L58</f>
        <v>#DIV/0!</v>
      </c>
      <c r="R60" s="1849" t="s">
        <v>1773</v>
      </c>
    </row>
    <row r="61" spans="1:18" s="730" customFormat="1" ht="13.5" thickBot="1">
      <c r="A61" s="1665" t="s">
        <v>873</v>
      </c>
      <c r="B61" s="1757" t="s">
        <v>1662</v>
      </c>
      <c r="C61" s="285">
        <f ca="1">IF(项目基本情况!B11="自然人","——",IF(D61="按租金收入计税",ROUND(C49*F61/(1+'数据-取费表'!C42),2),IF(D61="按房产原值计税",ROUND(C57*F61*0.7,2),INDIRECT("'数据-取费表'!Aj"&amp;$G$1))))</f>
        <v>535.58000000000004</v>
      </c>
      <c r="D61" s="1692" t="s">
        <v>1663</v>
      </c>
      <c r="E61" s="1757" t="s">
        <v>1646</v>
      </c>
      <c r="F61" s="1674">
        <f t="shared" si="0"/>
        <v>0.12</v>
      </c>
      <c r="I61" s="1708"/>
      <c r="J61" s="1708"/>
      <c r="K61" s="1708"/>
      <c r="L61" s="1708"/>
      <c r="O61" s="1820" t="s">
        <v>1747</v>
      </c>
      <c r="P61" s="1814" t="str">
        <f>K59</f>
        <v>建筑物剩余耐用年限下的土地年期修正系数Kn</v>
      </c>
      <c r="Q61" s="1849" t="e">
        <f ca="1">L59</f>
        <v>#DIV/0!</v>
      </c>
      <c r="R61" s="1849" t="s">
        <v>1774</v>
      </c>
    </row>
    <row r="62" spans="1:18" s="730" customFormat="1" ht="13.5" thickBot="1">
      <c r="A62" s="1665" t="s">
        <v>877</v>
      </c>
      <c r="B62" s="1766" t="s">
        <v>1666</v>
      </c>
      <c r="C62" s="1694">
        <f ca="1">IF(项目基本情况!B11="自然人","——",ROUND(F62*F63/10000,2))</f>
        <v>0</v>
      </c>
      <c r="D62" s="1767" t="s">
        <v>1667</v>
      </c>
      <c r="E62" s="1757" t="s">
        <v>1668</v>
      </c>
      <c r="F62" s="1679">
        <f t="shared" si="0"/>
        <v>1.5</v>
      </c>
      <c r="I62" s="1845" t="s">
        <v>1775</v>
      </c>
      <c r="J62" s="988" t="s">
        <v>1776</v>
      </c>
      <c r="K62" s="988" t="s">
        <v>1777</v>
      </c>
      <c r="L62" s="988" t="s">
        <v>1778</v>
      </c>
      <c r="M62" s="1846" t="s">
        <v>1779</v>
      </c>
      <c r="O62" s="1813" t="s">
        <v>1514</v>
      </c>
      <c r="P62" s="1814" t="s">
        <v>1753</v>
      </c>
      <c r="Q62" s="1849">
        <f ca="1">Q56+Q57</f>
        <v>272199</v>
      </c>
      <c r="R62" s="1849" t="s">
        <v>1754</v>
      </c>
    </row>
    <row r="63" spans="1:18" s="730" customFormat="1" ht="13.5" thickBot="1">
      <c r="A63" s="1678"/>
      <c r="B63" s="1768"/>
      <c r="C63" s="1698"/>
      <c r="D63" s="1769"/>
      <c r="E63" s="1757" t="s">
        <v>1672</v>
      </c>
      <c r="F63" s="1637">
        <f t="shared" ca="1" si="0"/>
        <v>0</v>
      </c>
      <c r="I63" s="1845" t="s">
        <v>1780</v>
      </c>
      <c r="J63" s="988">
        <v>70</v>
      </c>
      <c r="K63" s="988">
        <v>50</v>
      </c>
      <c r="L63" s="988">
        <v>80</v>
      </c>
      <c r="M63" s="1847">
        <v>0.02</v>
      </c>
      <c r="O63" s="1801" t="s">
        <v>1781</v>
      </c>
      <c r="P63" s="1614"/>
      <c r="Q63" s="1614"/>
      <c r="R63" s="1614"/>
    </row>
    <row r="64" spans="1:18" s="730" customFormat="1" ht="13.5" thickBot="1">
      <c r="A64" s="1665" t="s">
        <v>850</v>
      </c>
      <c r="B64" s="1757" t="s">
        <v>1674</v>
      </c>
      <c r="C64" s="285">
        <f ca="1">ROUND(C57*F64,1)</f>
        <v>51</v>
      </c>
      <c r="D64" s="1765" t="s">
        <v>1708</v>
      </c>
      <c r="E64" s="1757" t="s">
        <v>1646</v>
      </c>
      <c r="F64" s="1701">
        <f t="shared" ca="1" si="0"/>
        <v>8.0000000000000002E-3</v>
      </c>
      <c r="I64" s="1845" t="s">
        <v>1782</v>
      </c>
      <c r="J64" s="988">
        <v>50</v>
      </c>
      <c r="K64" s="988">
        <v>35</v>
      </c>
      <c r="L64" s="988">
        <v>60</v>
      </c>
      <c r="M64" s="1846">
        <v>0</v>
      </c>
      <c r="O64" s="1806" t="s">
        <v>1716</v>
      </c>
      <c r="P64" s="1807" t="s">
        <v>1717</v>
      </c>
      <c r="Q64" s="1848" t="s">
        <v>1718</v>
      </c>
      <c r="R64" s="1848" t="s">
        <v>1719</v>
      </c>
    </row>
    <row r="65" spans="1:18" s="730" customFormat="1" ht="13.5" thickBot="1">
      <c r="A65" s="1665" t="s">
        <v>898</v>
      </c>
      <c r="B65" s="1757" t="s">
        <v>1678</v>
      </c>
      <c r="C65" s="285">
        <f ca="1">ROUND(C56*F65,1)</f>
        <v>6.4</v>
      </c>
      <c r="D65" s="1765" t="s">
        <v>1679</v>
      </c>
      <c r="E65" s="1757" t="s">
        <v>1646</v>
      </c>
      <c r="F65" s="1702">
        <f t="shared" ca="1" si="0"/>
        <v>1E-3</v>
      </c>
      <c r="I65" s="1845" t="s">
        <v>1783</v>
      </c>
      <c r="J65" s="988">
        <v>40</v>
      </c>
      <c r="K65" s="988">
        <v>30</v>
      </c>
      <c r="L65" s="988">
        <v>50</v>
      </c>
      <c r="M65" s="1847">
        <v>0.02</v>
      </c>
      <c r="O65" s="1813" t="s">
        <v>1410</v>
      </c>
      <c r="P65" s="1814" t="s">
        <v>1722</v>
      </c>
      <c r="Q65" s="1849">
        <f ca="1">C40+J29</f>
        <v>272199</v>
      </c>
      <c r="R65" s="1849" t="s">
        <v>1723</v>
      </c>
    </row>
    <row r="66" spans="1:18" s="730" customFormat="1" ht="16.5" thickBot="1">
      <c r="A66" s="1665" t="s">
        <v>901</v>
      </c>
      <c r="B66" s="1757" t="s">
        <v>1664</v>
      </c>
      <c r="C66" s="285">
        <f ca="1">ROUND(C48*F66,1)</f>
        <v>0</v>
      </c>
      <c r="D66" s="1765" t="s">
        <v>1682</v>
      </c>
      <c r="E66" s="1757" t="s">
        <v>1646</v>
      </c>
      <c r="F66" s="1644">
        <f t="shared" ca="1" si="0"/>
        <v>8.0000000000000002E-3</v>
      </c>
      <c r="O66" s="1813" t="s">
        <v>1413</v>
      </c>
      <c r="P66" s="1814" t="s">
        <v>1763</v>
      </c>
      <c r="Q66" s="1849">
        <f ca="1">L60</f>
        <v>0</v>
      </c>
      <c r="R66" s="1849" t="s">
        <v>1764</v>
      </c>
    </row>
    <row r="67" spans="1:18" s="730" customFormat="1" ht="16.5" thickBot="1">
      <c r="A67" s="1752" t="s">
        <v>1685</v>
      </c>
      <c r="B67" s="1851" t="s">
        <v>1686</v>
      </c>
      <c r="C67" s="284">
        <f ca="1">C48-C58</f>
        <v>-593</v>
      </c>
      <c r="D67" s="1764" t="s">
        <v>1687</v>
      </c>
      <c r="E67" s="1852"/>
      <c r="F67" s="1853"/>
      <c r="O67" s="1820" t="s">
        <v>1735</v>
      </c>
      <c r="P67" s="1814" t="s">
        <v>1767</v>
      </c>
      <c r="Q67" s="1873">
        <f ca="1">L51</f>
        <v>260679</v>
      </c>
      <c r="R67" s="1849" t="s">
        <v>1784</v>
      </c>
    </row>
    <row r="68" spans="1:18" s="730" customFormat="1" ht="16.5" thickBot="1">
      <c r="A68" s="1854" t="s">
        <v>1691</v>
      </c>
      <c r="B68" s="1855" t="s">
        <v>1709</v>
      </c>
      <c r="C68" s="1707">
        <f ca="1">ROUND(C67*(1-((1+F70)/(1+F68))^F69)/(F68-F70),0)</f>
        <v>-10559</v>
      </c>
      <c r="D68" s="1767" t="s">
        <v>1693</v>
      </c>
      <c r="E68" s="1757" t="s">
        <v>1694</v>
      </c>
      <c r="F68" s="1644">
        <f ca="1">F40</f>
        <v>0.05</v>
      </c>
      <c r="O68" s="1820" t="s">
        <v>1739</v>
      </c>
      <c r="P68" s="1872" t="s">
        <v>1785</v>
      </c>
      <c r="Q68" s="1849">
        <f ca="1">ROUND(Q69-Q70*Q71,0)</f>
        <v>12675</v>
      </c>
      <c r="R68" s="1849" t="s">
        <v>1786</v>
      </c>
    </row>
    <row r="69" spans="1:18" s="730" customFormat="1" ht="13.5" thickBot="1">
      <c r="A69" s="1856"/>
      <c r="B69" s="1857"/>
      <c r="C69" s="1643"/>
      <c r="D69" s="1858" t="s">
        <v>1697</v>
      </c>
      <c r="E69" s="1757" t="s">
        <v>1698</v>
      </c>
      <c r="F69" s="1711">
        <f ca="1">F41</f>
        <v>45.29</v>
      </c>
      <c r="O69" s="1820" t="s">
        <v>1787</v>
      </c>
      <c r="P69" s="1872" t="s">
        <v>1788</v>
      </c>
      <c r="Q69" s="1849">
        <f ca="1">C39</f>
        <v>13153</v>
      </c>
      <c r="R69" s="1849" t="s">
        <v>1723</v>
      </c>
    </row>
    <row r="70" spans="1:18" s="730" customFormat="1" ht="13.5" thickBot="1">
      <c r="A70" s="1859"/>
      <c r="B70" s="1860"/>
      <c r="C70" s="1662"/>
      <c r="D70" s="1769"/>
      <c r="E70" s="1757" t="s">
        <v>1701</v>
      </c>
      <c r="F70" s="1747"/>
      <c r="O70" s="1820" t="s">
        <v>1789</v>
      </c>
      <c r="P70" s="1872" t="s">
        <v>1790</v>
      </c>
      <c r="Q70" s="1849">
        <f ca="1">C13</f>
        <v>6376</v>
      </c>
      <c r="R70" s="1849" t="s">
        <v>1723</v>
      </c>
    </row>
    <row r="71" spans="1:18" s="730" customFormat="1" ht="13.5" thickBot="1">
      <c r="A71" s="1861" t="s">
        <v>1703</v>
      </c>
      <c r="B71" s="1862" t="s">
        <v>1710</v>
      </c>
      <c r="C71" s="1714">
        <f ca="1">ROUND(C68*10000/F71,0)</f>
        <v>-7758</v>
      </c>
      <c r="D71" s="1863" t="s">
        <v>1711</v>
      </c>
      <c r="E71" s="1864" t="s">
        <v>1712</v>
      </c>
      <c r="F71" s="1717">
        <f ca="1">F43</f>
        <v>13611.27</v>
      </c>
      <c r="O71" s="1820" t="s">
        <v>1791</v>
      </c>
      <c r="P71" s="1872" t="s">
        <v>1792</v>
      </c>
      <c r="Q71" s="1850">
        <f ca="1">C76</f>
        <v>7.4999999999999997E-2</v>
      </c>
      <c r="R71" s="1849"/>
    </row>
    <row r="72" spans="1:18" s="730" customFormat="1" ht="13.5" thickBot="1">
      <c r="B72" s="315"/>
      <c r="C72" s="315"/>
      <c r="O72" s="1820" t="s">
        <v>1743</v>
      </c>
      <c r="P72" s="1814" t="s">
        <v>1769</v>
      </c>
      <c r="Q72" s="1850">
        <f>L52</f>
        <v>0</v>
      </c>
      <c r="R72" s="1849"/>
    </row>
    <row r="73" spans="1:18" ht="16.5" thickBot="1">
      <c r="A73" s="730"/>
      <c r="B73" s="315"/>
      <c r="C73" s="315"/>
      <c r="D73" s="730"/>
      <c r="E73" s="730"/>
      <c r="F73" s="730"/>
      <c r="O73" s="1820" t="s">
        <v>1747</v>
      </c>
      <c r="P73" s="1814" t="s">
        <v>1772</v>
      </c>
      <c r="Q73" s="1849" t="e">
        <f ca="1">L58</f>
        <v>#DIV/0!</v>
      </c>
      <c r="R73" s="1849" t="s">
        <v>1773</v>
      </c>
    </row>
    <row r="74" spans="1:18" ht="13.5" thickBot="1">
      <c r="A74" s="730"/>
      <c r="B74" s="223" t="s">
        <v>1793</v>
      </c>
      <c r="C74" s="1865"/>
      <c r="D74" s="730"/>
      <c r="E74" s="730"/>
      <c r="F74" s="730"/>
      <c r="O74" s="1820" t="s">
        <v>1794</v>
      </c>
      <c r="P74" s="1814" t="str">
        <f>K59</f>
        <v>建筑物剩余耐用年限下的土地年期修正系数Kn</v>
      </c>
      <c r="Q74" s="1849" t="e">
        <f ca="1">L59</f>
        <v>#DIV/0!</v>
      </c>
      <c r="R74" s="1849" t="s">
        <v>1774</v>
      </c>
    </row>
    <row r="75" spans="1:18" ht="13.5" thickBot="1">
      <c r="A75" s="730"/>
      <c r="B75" s="1866" t="s">
        <v>1795</v>
      </c>
      <c r="C75" s="1867">
        <f ca="1">ROUND(C13*C76,0)</f>
        <v>478</v>
      </c>
      <c r="D75" s="730"/>
      <c r="E75" s="730"/>
      <c r="F75" s="730"/>
      <c r="K75" s="1800"/>
      <c r="L75" s="730"/>
      <c r="O75" s="1813" t="s">
        <v>1514</v>
      </c>
      <c r="P75" s="1814" t="s">
        <v>1753</v>
      </c>
      <c r="Q75" s="1849">
        <f ca="1">Q65+Q66</f>
        <v>272199</v>
      </c>
      <c r="R75" s="1849" t="s">
        <v>1754</v>
      </c>
    </row>
    <row r="76" spans="1:18">
      <c r="B76" s="557" t="s">
        <v>1796</v>
      </c>
      <c r="C76" s="1868">
        <f ca="1">INDIRECT("'数据-取费表'!j"&amp;$G$1)</f>
        <v>7.4999999999999997E-2</v>
      </c>
      <c r="I76" s="730"/>
      <c r="J76" s="730"/>
      <c r="K76" s="1800"/>
      <c r="L76" s="730"/>
    </row>
    <row r="77" spans="1:18">
      <c r="B77" s="1869" t="s">
        <v>1797</v>
      </c>
      <c r="C77" s="1870"/>
      <c r="I77" s="730"/>
      <c r="J77" s="730"/>
      <c r="K77" s="1800"/>
      <c r="L77" s="730"/>
    </row>
    <row r="78" spans="1:18">
      <c r="B78" s="221" t="s">
        <v>1798</v>
      </c>
      <c r="C78" s="1871"/>
    </row>
    <row r="79" spans="1:18">
      <c r="B79" s="1866" t="s">
        <v>1799</v>
      </c>
      <c r="C79" s="224">
        <f ca="1">1-C80</f>
        <v>0.96399999999999997</v>
      </c>
    </row>
    <row r="80" spans="1:18">
      <c r="B80" s="1866" t="s">
        <v>1800</v>
      </c>
      <c r="C80" s="224">
        <f ca="1">ROUND(C75/C39,3)</f>
        <v>3.5999999999999997E-2</v>
      </c>
    </row>
    <row r="81" spans="2:3">
      <c r="B81" s="221" t="s">
        <v>1801</v>
      </c>
      <c r="C81" s="191"/>
    </row>
    <row r="82" spans="2:3">
      <c r="B82" s="223" t="s">
        <v>1490</v>
      </c>
      <c r="C82" s="225">
        <f ca="1">1-C83</f>
        <v>0.97699999999999998</v>
      </c>
    </row>
    <row r="83" spans="2:3">
      <c r="B83" s="223" t="s">
        <v>1491</v>
      </c>
      <c r="C83" s="224">
        <f ca="1">ROUND(C13/C40,3)</f>
        <v>2.3E-2</v>
      </c>
    </row>
  </sheetData>
  <sheetProtection formatCells="0" formatColumns="0" formatRows="0"/>
  <mergeCells count="3">
    <mergeCell ref="B6:B9"/>
    <mergeCell ref="I6:I9"/>
    <mergeCell ref="K53:L53"/>
  </mergeCells>
  <phoneticPr fontId="21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G7" sqref="G7"/>
    </sheetView>
  </sheetViews>
  <sheetFormatPr defaultColWidth="9" defaultRowHeight="12.75"/>
  <cols>
    <col min="1" max="1" width="9" style="351"/>
    <col min="2" max="6" width="9" style="351" customWidth="1"/>
    <col min="7" max="7" width="9" style="352"/>
    <col min="8" max="8" width="9" style="351"/>
    <col min="9" max="12" width="9" style="351" customWidth="1"/>
    <col min="13" max="13" width="2.25" style="351" customWidth="1"/>
    <col min="14" max="14" width="9" style="352" customWidth="1"/>
    <col min="15" max="17" width="9" style="351" customWidth="1"/>
    <col min="18" max="18" width="2.375" style="351" customWidth="1"/>
    <col min="19" max="19" width="7.125" style="352" customWidth="1"/>
    <col min="20" max="22" width="7.125" style="351" customWidth="1"/>
    <col min="23" max="23" width="24.25" style="351" customWidth="1"/>
    <col min="24" max="25" width="9" style="351"/>
    <col min="26" max="27" width="11.625" style="351" customWidth="1"/>
    <col min="28" max="28" width="9" style="351"/>
    <col min="29" max="29" width="2" style="351" customWidth="1"/>
    <col min="30" max="16384" width="9" style="351"/>
  </cols>
  <sheetData>
    <row r="1" spans="1:34" s="343" customFormat="1">
      <c r="B1" s="3470" t="s">
        <v>2415</v>
      </c>
      <c r="C1" s="3470"/>
      <c r="D1" s="3470"/>
      <c r="E1" s="3470"/>
      <c r="F1" s="3470"/>
      <c r="G1" s="3471" t="s">
        <v>2416</v>
      </c>
      <c r="H1" s="3471"/>
      <c r="I1" s="3471"/>
      <c r="J1" s="3471"/>
      <c r="K1" s="3471"/>
      <c r="L1" s="3471"/>
      <c r="N1" s="3471" t="s">
        <v>2417</v>
      </c>
      <c r="O1" s="3471"/>
      <c r="P1" s="3471"/>
      <c r="Q1" s="3471"/>
      <c r="S1" s="3471" t="s">
        <v>2418</v>
      </c>
      <c r="T1" s="3471"/>
      <c r="U1" s="3471"/>
      <c r="V1" s="3471"/>
      <c r="X1" s="3472" t="s">
        <v>2419</v>
      </c>
      <c r="Y1" s="3471"/>
      <c r="Z1" s="3471"/>
      <c r="AA1" s="3471"/>
      <c r="AB1" s="3471"/>
      <c r="AD1" s="3472" t="s">
        <v>2420</v>
      </c>
      <c r="AE1" s="3471"/>
      <c r="AF1" s="3471"/>
      <c r="AG1" s="3471"/>
      <c r="AH1" s="3471"/>
    </row>
    <row r="2" spans="1:34" s="344" customFormat="1" ht="13.5">
      <c r="B2" s="353" t="s">
        <v>2421</v>
      </c>
      <c r="C2" s="353" t="s">
        <v>2422</v>
      </c>
      <c r="D2" s="354" t="s">
        <v>2168</v>
      </c>
      <c r="E2" s="354" t="s">
        <v>463</v>
      </c>
      <c r="F2" s="353" t="s">
        <v>2423</v>
      </c>
      <c r="G2" s="355"/>
      <c r="I2" s="353" t="s">
        <v>2421</v>
      </c>
      <c r="J2" s="354" t="s">
        <v>2181</v>
      </c>
      <c r="K2" s="354" t="s">
        <v>463</v>
      </c>
      <c r="L2" s="353" t="s">
        <v>2423</v>
      </c>
      <c r="N2" s="353" t="s">
        <v>2421</v>
      </c>
      <c r="O2" s="354" t="s">
        <v>2181</v>
      </c>
      <c r="P2" s="354" t="s">
        <v>463</v>
      </c>
      <c r="Q2" s="353" t="s">
        <v>2423</v>
      </c>
      <c r="S2" s="353" t="s">
        <v>2421</v>
      </c>
      <c r="T2" s="354" t="s">
        <v>2181</v>
      </c>
      <c r="U2" s="354" t="s">
        <v>463</v>
      </c>
      <c r="V2" s="353" t="s">
        <v>2423</v>
      </c>
      <c r="X2" s="353" t="s">
        <v>2421</v>
      </c>
      <c r="Y2" s="353" t="s">
        <v>2422</v>
      </c>
      <c r="Z2" s="354" t="s">
        <v>2168</v>
      </c>
      <c r="AA2" s="354" t="s">
        <v>463</v>
      </c>
      <c r="AB2" s="353" t="s">
        <v>2423</v>
      </c>
      <c r="AD2" s="353" t="s">
        <v>2421</v>
      </c>
      <c r="AE2" s="353" t="s">
        <v>2422</v>
      </c>
      <c r="AF2" s="354" t="s">
        <v>2168</v>
      </c>
      <c r="AG2" s="354" t="s">
        <v>463</v>
      </c>
      <c r="AH2" s="353" t="s">
        <v>2423</v>
      </c>
    </row>
    <row r="3" spans="1:34" s="345" customFormat="1" ht="14.25">
      <c r="A3" s="356" t="s">
        <v>2424</v>
      </c>
      <c r="B3" s="357"/>
      <c r="C3" s="357"/>
      <c r="D3" s="358"/>
      <c r="E3" s="358"/>
      <c r="F3" s="357"/>
      <c r="G3" s="359"/>
      <c r="I3" s="389">
        <f>ROUND(AVERAGE($I4:$I37),2)</f>
        <v>1.64</v>
      </c>
      <c r="J3" s="389">
        <f>ROUND(AVERAGE($J4:$J37),2)</f>
        <v>1.03</v>
      </c>
      <c r="K3" s="389">
        <f>ROUND(AVERAGE($K4:$K37),2)</f>
        <v>1.81</v>
      </c>
      <c r="L3" s="389">
        <f>ROUND(AVERAGE($L4:$L37),2)</f>
        <v>1.2</v>
      </c>
      <c r="N3" s="359"/>
      <c r="S3" s="359"/>
      <c r="W3" s="417"/>
      <c r="X3" s="418">
        <f>ROUND(SUMPRODUCT(PRODUCT(1+N3:N$36)),4)</f>
        <v>1.6585000000000001</v>
      </c>
      <c r="Y3" s="418">
        <f>ROUND(SUMPRODUCT(PRODUCT(1+O3:O$36)),4)</f>
        <v>1.3676999999999999</v>
      </c>
      <c r="Z3" s="418">
        <f t="shared" ref="Z3:Z34" si="0">Y3</f>
        <v>1.3676999999999999</v>
      </c>
      <c r="AA3" s="418">
        <f>ROUND(SUMPRODUCT(PRODUCT(1+P3:P$36)),4)</f>
        <v>1.7434000000000001</v>
      </c>
      <c r="AB3" s="418">
        <f>ROUND(SUMPRODUCT(PRODUCT(1+Q3:Q$36)),4)</f>
        <v>1.4609000000000001</v>
      </c>
      <c r="AD3" s="432">
        <f>ROUND(AVERAGE(I3:I$37)/100,4)</f>
        <v>1.6400000000000001E-2</v>
      </c>
      <c r="AE3" s="432">
        <f>ROUND(AVERAGE(J3:J$37)/100,4)</f>
        <v>1.03E-2</v>
      </c>
      <c r="AF3" s="432">
        <f t="shared" ref="AF3:AF35" si="1">AE3</f>
        <v>1.03E-2</v>
      </c>
      <c r="AG3" s="432">
        <f>ROUND(AVERAGE(K3:K$37)/100,4)</f>
        <v>1.8100000000000002E-2</v>
      </c>
      <c r="AH3" s="432">
        <f>ROUND(AVERAGE(L3:L$37)/100,4)</f>
        <v>1.2E-2</v>
      </c>
    </row>
    <row r="4" spans="1:34" s="343" customFormat="1" ht="14.25">
      <c r="B4" s="360"/>
      <c r="C4" s="360"/>
      <c r="D4" s="361"/>
      <c r="E4" s="361"/>
      <c r="F4" s="360"/>
      <c r="G4" s="362"/>
      <c r="I4" s="390"/>
      <c r="J4" s="390"/>
      <c r="K4" s="390"/>
      <c r="L4" s="390"/>
      <c r="N4" s="362"/>
      <c r="S4" s="362"/>
      <c r="X4" s="351"/>
      <c r="Y4" s="351"/>
      <c r="Z4" s="351"/>
      <c r="AA4" s="351"/>
      <c r="AB4" s="351"/>
      <c r="AD4" s="396"/>
      <c r="AE4" s="396"/>
      <c r="AF4" s="396"/>
      <c r="AG4" s="396"/>
      <c r="AH4" s="396"/>
    </row>
    <row r="5" spans="1:34" s="346" customFormat="1">
      <c r="A5" s="363" t="s">
        <v>2425</v>
      </c>
      <c r="B5" s="364">
        <f t="shared" ref="B5" si="2">B6*(1+N5)</f>
        <v>510.070896595546</v>
      </c>
      <c r="C5" s="364">
        <f t="shared" ref="C5" si="3">C6*(1+O5)</f>
        <v>352.55593185737399</v>
      </c>
      <c r="D5" s="364">
        <f t="shared" ref="D5" si="4">C5</f>
        <v>352.55593185737399</v>
      </c>
      <c r="E5" s="364">
        <f t="shared" ref="E5" si="5">E6*(1+P5)</f>
        <v>737.279924634037</v>
      </c>
      <c r="F5" s="364">
        <f t="shared" ref="F5" si="6">F6*(1+Q5)</f>
        <v>335.88319198297899</v>
      </c>
      <c r="G5" s="365">
        <v>2022</v>
      </c>
      <c r="H5" s="366">
        <v>1</v>
      </c>
      <c r="I5" s="391">
        <v>0</v>
      </c>
      <c r="J5" s="391">
        <v>0</v>
      </c>
      <c r="K5" s="391">
        <v>0</v>
      </c>
      <c r="L5" s="391">
        <v>0</v>
      </c>
      <c r="N5" s="392">
        <f t="shared" ref="N5" si="7">I5/100</f>
        <v>0</v>
      </c>
      <c r="O5" s="392">
        <f t="shared" ref="O5" si="8">J5/100</f>
        <v>0</v>
      </c>
      <c r="P5" s="392">
        <f t="shared" ref="P5" si="9">K5/100</f>
        <v>0</v>
      </c>
      <c r="Q5" s="392">
        <f t="shared" ref="Q5" si="10">L5/100</f>
        <v>0</v>
      </c>
      <c r="S5" s="419"/>
      <c r="W5" s="420" t="s">
        <v>2426</v>
      </c>
      <c r="X5" s="421">
        <f>ROUND(IF(项目基本情况!B1="出让",SUMPRODUCT(PRODUCT(1+N5:N$37)),SUMPRODUCT(PRODUCT(1+N5:N$36))),4)</f>
        <v>1.6585000000000001</v>
      </c>
      <c r="Y5" s="421">
        <f>ROUND(IF(项目基本情况!B1="出让",SUMPRODUCT(PRODUCT(1+O5:O$37)),SUMPRODUCT(PRODUCT(1+O5:O$36))),4)</f>
        <v>1.3676999999999999</v>
      </c>
      <c r="Z5" s="421">
        <f t="shared" ref="Z5" si="11">Y5</f>
        <v>1.3676999999999999</v>
      </c>
      <c r="AA5" s="421">
        <f>ROUND(IF(项目基本情况!B1="出让",SUMPRODUCT(PRODUCT(1+P5:P$37)),SUMPRODUCT(PRODUCT(1+P5:P$36))),4)</f>
        <v>1.7434000000000001</v>
      </c>
      <c r="AB5" s="421">
        <f>ROUND(IF(项目基本情况!B1="出让",SUMPRODUCT(PRODUCT(1+Q5:Q$37)),SUMPRODUCT(PRODUCT(1+Q5:Q$36))),4)</f>
        <v>1.4609000000000001</v>
      </c>
      <c r="AD5" s="433">
        <f>ROUND(AVERAGE(I5:I$37)/100,4)</f>
        <v>1.6400000000000001E-2</v>
      </c>
      <c r="AE5" s="433">
        <f>ROUND(AVERAGE(J5:J$37)/100,4)</f>
        <v>1.03E-2</v>
      </c>
      <c r="AF5" s="433">
        <f t="shared" ref="AF5" si="12">AE5</f>
        <v>1.03E-2</v>
      </c>
      <c r="AG5" s="433">
        <f>ROUND(AVERAGE(K5:K$37)/100,4)</f>
        <v>1.8100000000000002E-2</v>
      </c>
      <c r="AH5" s="433">
        <f>ROUND(AVERAGE(L5:L$37)/100,4)</f>
        <v>1.2E-2</v>
      </c>
    </row>
    <row r="6" spans="1:34" s="347" customFormat="1">
      <c r="A6" s="367" t="s">
        <v>2427</v>
      </c>
      <c r="B6" s="368">
        <f t="shared" ref="B6" si="13">B7*(1+N6)</f>
        <v>510.070896595546</v>
      </c>
      <c r="C6" s="368">
        <f t="shared" ref="C6" si="14">C7*(1+O6)</f>
        <v>352.55593185737399</v>
      </c>
      <c r="D6" s="368">
        <f t="shared" ref="D6" si="15">C6</f>
        <v>352.55593185737399</v>
      </c>
      <c r="E6" s="368">
        <f t="shared" ref="E6" si="16">E7*(1+P6)</f>
        <v>737.279924634037</v>
      </c>
      <c r="F6" s="368">
        <f t="shared" ref="F6" si="17">F7*(1+Q6)</f>
        <v>335.88319198297899</v>
      </c>
      <c r="G6" s="365">
        <v>2021</v>
      </c>
      <c r="H6" s="369">
        <v>4</v>
      </c>
      <c r="I6" s="393">
        <v>1.03</v>
      </c>
      <c r="J6" s="393">
        <v>0.24</v>
      </c>
      <c r="K6" s="393">
        <v>1.17</v>
      </c>
      <c r="L6" s="394">
        <v>0.55000000000000004</v>
      </c>
      <c r="M6" s="351"/>
      <c r="N6" s="395">
        <f t="shared" ref="N6" si="18">I6/100</f>
        <v>1.03E-2</v>
      </c>
      <c r="O6" s="396">
        <f t="shared" ref="O6" si="19">J6/100</f>
        <v>2.3999999999999998E-3</v>
      </c>
      <c r="P6" s="396">
        <f t="shared" ref="P6" si="20">K6/100</f>
        <v>1.17E-2</v>
      </c>
      <c r="Q6" s="396">
        <f t="shared" ref="Q6" si="21">L6/100</f>
        <v>5.4999999999999997E-3</v>
      </c>
      <c r="R6" s="422"/>
      <c r="S6" s="395"/>
      <c r="T6" s="396"/>
      <c r="U6" s="396"/>
      <c r="V6" s="396"/>
      <c r="W6" s="351"/>
      <c r="X6" s="351">
        <f>ROUND(IF(项目基本情况!B2="出让",SUMPRODUCT(PRODUCT(1+N6:N$37)),SUMPRODUCT(PRODUCT(1+N6:N$36))),4)</f>
        <v>1.6585000000000001</v>
      </c>
      <c r="Y6" s="351">
        <f>ROUND(IF(项目基本情况!B2="出让",SUMPRODUCT(PRODUCT(1+O6:O$37)),SUMPRODUCT(PRODUCT(1+O6:O$36))),4)</f>
        <v>1.3676999999999999</v>
      </c>
      <c r="Z6" s="351">
        <f t="shared" ref="Z6" si="22">Y6</f>
        <v>1.3676999999999999</v>
      </c>
      <c r="AA6" s="351">
        <f>ROUND(IF(项目基本情况!B2="出让",SUMPRODUCT(PRODUCT(1+P6:P$37)),SUMPRODUCT(PRODUCT(1+P6:P$36))),4)</f>
        <v>1.7434000000000001</v>
      </c>
      <c r="AB6" s="351">
        <f>ROUND(IF(项目基本情况!B2="出让",SUMPRODUCT(PRODUCT(1+Q6:Q$37)),SUMPRODUCT(PRODUCT(1+Q6:Q$36))),4)</f>
        <v>1.4609000000000001</v>
      </c>
      <c r="AC6" s="351"/>
      <c r="AD6" s="396">
        <f>ROUND(AVERAGE(I6:I$37)/100,4)</f>
        <v>1.6899999999999998E-2</v>
      </c>
      <c r="AE6" s="396">
        <f>ROUND(AVERAGE(J6:J$37)/100,4)</f>
        <v>1.06E-2</v>
      </c>
      <c r="AF6" s="396">
        <f t="shared" ref="AF6" si="23">AE6</f>
        <v>1.06E-2</v>
      </c>
      <c r="AG6" s="396">
        <f>ROUND(AVERAGE(K6:K$37)/100,4)</f>
        <v>1.8700000000000001E-2</v>
      </c>
      <c r="AH6" s="396">
        <f>ROUND(AVERAGE(L6:L$37)/100,4)</f>
        <v>1.24E-2</v>
      </c>
    </row>
    <row r="7" spans="1:34" s="347" customFormat="1">
      <c r="A7" s="367" t="s">
        <v>2428</v>
      </c>
      <c r="B7" s="368">
        <f t="shared" ref="B7" si="24">B8*(1+N7)</f>
        <v>504.87072809615597</v>
      </c>
      <c r="C7" s="368">
        <f t="shared" ref="C7" si="25">C8*(1+O7)</f>
        <v>351.71182348102002</v>
      </c>
      <c r="D7" s="368">
        <f t="shared" ref="D7" si="26">C7</f>
        <v>351.71182348102002</v>
      </c>
      <c r="E7" s="368">
        <f t="shared" ref="E7" si="27">E8*(1+P7)</f>
        <v>728.75350858360798</v>
      </c>
      <c r="F7" s="368">
        <f t="shared" ref="F7" si="28">F8*(1+Q7)</f>
        <v>334.04593931673702</v>
      </c>
      <c r="G7" s="365">
        <v>2021</v>
      </c>
      <c r="H7" s="369">
        <v>3</v>
      </c>
      <c r="I7" s="393">
        <v>0.47</v>
      </c>
      <c r="J7" s="393">
        <v>0.41</v>
      </c>
      <c r="K7" s="393">
        <v>0.48</v>
      </c>
      <c r="L7" s="394">
        <v>0.48</v>
      </c>
      <c r="M7" s="351"/>
      <c r="N7" s="395">
        <f t="shared" ref="N7" si="29">I7/100</f>
        <v>4.7000000000000002E-3</v>
      </c>
      <c r="O7" s="396">
        <f t="shared" ref="O7" si="30">J7/100</f>
        <v>4.1000000000000003E-3</v>
      </c>
      <c r="P7" s="396">
        <f t="shared" ref="P7" si="31">K7/100</f>
        <v>4.7999999999999996E-3</v>
      </c>
      <c r="Q7" s="396">
        <f t="shared" ref="Q7" si="32">L7/100</f>
        <v>4.7999999999999996E-3</v>
      </c>
      <c r="R7" s="422"/>
      <c r="S7" s="395"/>
      <c r="T7" s="396"/>
      <c r="U7" s="396"/>
      <c r="V7" s="396"/>
      <c r="W7" s="351"/>
      <c r="X7" s="351">
        <f>ROUND(IF(项目基本情况!B3="出让",SUMPRODUCT(PRODUCT(1+N7:N$37)),SUMPRODUCT(PRODUCT(1+N7:N$36))),4)</f>
        <v>1.6415999999999999</v>
      </c>
      <c r="Y7" s="351">
        <f>ROUND(IF(项目基本情况!B3="出让",SUMPRODUCT(PRODUCT(1+O7:O$37)),SUMPRODUCT(PRODUCT(1+O7:O$36))),4)</f>
        <v>1.3644000000000001</v>
      </c>
      <c r="Z7" s="351">
        <f t="shared" ref="Z7" si="33">Y7</f>
        <v>1.3644000000000001</v>
      </c>
      <c r="AA7" s="351">
        <f>ROUND(IF(项目基本情况!B3="出让",SUMPRODUCT(PRODUCT(1+P7:P$37)),SUMPRODUCT(PRODUCT(1+P7:P$36))),4)</f>
        <v>1.7232000000000001</v>
      </c>
      <c r="AB7" s="351">
        <f>ROUND(IF(项目基本情况!B3="出让",SUMPRODUCT(PRODUCT(1+Q7:Q$37)),SUMPRODUCT(PRODUCT(1+Q7:Q$36))),4)</f>
        <v>1.4529000000000001</v>
      </c>
      <c r="AC7" s="351"/>
      <c r="AD7" s="396">
        <f>ROUND(AVERAGE(I7:I$37)/100,4)</f>
        <v>1.72E-2</v>
      </c>
      <c r="AE7" s="396">
        <f>ROUND(AVERAGE(J7:J$37)/100,4)</f>
        <v>1.09E-2</v>
      </c>
      <c r="AF7" s="396">
        <f t="shared" ref="AF7" si="34">AE7</f>
        <v>1.09E-2</v>
      </c>
      <c r="AG7" s="396">
        <f>ROUND(AVERAGE(K7:K$37)/100,4)</f>
        <v>1.89E-2</v>
      </c>
      <c r="AH7" s="396">
        <f>ROUND(AVERAGE(L7:L$37)/100,4)</f>
        <v>1.26E-2</v>
      </c>
    </row>
    <row r="8" spans="1:34" s="347" customFormat="1">
      <c r="A8" s="367" t="s">
        <v>2429</v>
      </c>
      <c r="B8" s="368">
        <f t="shared" ref="B8" si="35">B9*(1+N8)</f>
        <v>502.508936096502</v>
      </c>
      <c r="C8" s="368">
        <f t="shared" ref="C8" si="36">C9*(1+O8)</f>
        <v>350.27569313914898</v>
      </c>
      <c r="D8" s="368">
        <f t="shared" ref="D8" si="37">C8</f>
        <v>350.27569313914898</v>
      </c>
      <c r="E8" s="368">
        <f t="shared" ref="E8" si="38">E9*(1+P8)</f>
        <v>725.27220201394096</v>
      </c>
      <c r="F8" s="368">
        <f t="shared" ref="F8" si="39">F9*(1+Q8)</f>
        <v>332.45017846012797</v>
      </c>
      <c r="G8" s="365">
        <v>2021</v>
      </c>
      <c r="H8" s="369">
        <v>2</v>
      </c>
      <c r="I8" s="393">
        <v>0.92</v>
      </c>
      <c r="J8" s="393">
        <v>0.72</v>
      </c>
      <c r="K8" s="393">
        <v>0.95</v>
      </c>
      <c r="L8" s="394">
        <v>1.01</v>
      </c>
      <c r="M8" s="351"/>
      <c r="N8" s="395">
        <f t="shared" ref="N8" si="40">I8/100</f>
        <v>9.1999999999999998E-3</v>
      </c>
      <c r="O8" s="396">
        <f t="shared" ref="O8" si="41">J8/100</f>
        <v>7.1999999999999998E-3</v>
      </c>
      <c r="P8" s="396">
        <f t="shared" ref="P8" si="42">K8/100</f>
        <v>9.4999999999999998E-3</v>
      </c>
      <c r="Q8" s="396">
        <f t="shared" ref="Q8" si="43">L8/100</f>
        <v>1.01E-2</v>
      </c>
      <c r="R8" s="422"/>
      <c r="S8" s="395"/>
      <c r="T8" s="396"/>
      <c r="U8" s="396"/>
      <c r="V8" s="396"/>
      <c r="W8" s="351"/>
      <c r="X8" s="351">
        <f>ROUND(IF(项目基本情况!B4="出让",SUMPRODUCT(PRODUCT(1+N8:N$37)),SUMPRODUCT(PRODUCT(1+N8:N$36))),4)</f>
        <v>1.6338999999999999</v>
      </c>
      <c r="Y8" s="351">
        <f>ROUND(IF(项目基本情况!B4="出让",SUMPRODUCT(PRODUCT(1+O8:O$37)),SUMPRODUCT(PRODUCT(1+O8:O$36))),4)</f>
        <v>1.3588</v>
      </c>
      <c r="Z8" s="351">
        <f t="shared" ref="Z8" si="44">Y8</f>
        <v>1.3588</v>
      </c>
      <c r="AA8" s="351">
        <f>ROUND(IF(项目基本情况!B4="出让",SUMPRODUCT(PRODUCT(1+P8:P$37)),SUMPRODUCT(PRODUCT(1+P8:P$36))),4)</f>
        <v>1.7150000000000001</v>
      </c>
      <c r="AB8" s="351">
        <f>ROUND(IF(项目基本情况!B4="出让",SUMPRODUCT(PRODUCT(1+Q8:Q$37)),SUMPRODUCT(PRODUCT(1+Q8:Q$36))),4)</f>
        <v>1.446</v>
      </c>
      <c r="AC8" s="351"/>
      <c r="AD8" s="396">
        <f>ROUND(AVERAGE(I8:I$37)/100,4)</f>
        <v>1.7600000000000001E-2</v>
      </c>
      <c r="AE8" s="396">
        <f>ROUND(AVERAGE(J8:J$37)/100,4)</f>
        <v>1.11E-2</v>
      </c>
      <c r="AF8" s="396">
        <f t="shared" ref="AF8" si="45">AE8</f>
        <v>1.11E-2</v>
      </c>
      <c r="AG8" s="396">
        <f>ROUND(AVERAGE(K8:K$37)/100,4)</f>
        <v>1.9400000000000001E-2</v>
      </c>
      <c r="AH8" s="396">
        <f>ROUND(AVERAGE(L8:L$37)/100,4)</f>
        <v>1.2800000000000001E-2</v>
      </c>
    </row>
    <row r="9" spans="1:34" s="347" customFormat="1">
      <c r="A9" s="367" t="s">
        <v>2430</v>
      </c>
      <c r="B9" s="368">
        <f t="shared" ref="B9" si="46">B10*(1+N9)</f>
        <v>497.927998510208</v>
      </c>
      <c r="C9" s="368">
        <f t="shared" ref="C9" si="47">C10*(1+O9)</f>
        <v>347.771736635374</v>
      </c>
      <c r="D9" s="368">
        <f t="shared" ref="D9" si="48">C9</f>
        <v>347.771736635374</v>
      </c>
      <c r="E9" s="368">
        <f t="shared" ref="E9" si="49">E10*(1+P9)</f>
        <v>718.446955932582</v>
      </c>
      <c r="F9" s="368">
        <f t="shared" ref="F9" si="50">F10*(1+Q9)</f>
        <v>329.12600580153202</v>
      </c>
      <c r="G9" s="365">
        <v>2021</v>
      </c>
      <c r="H9" s="369">
        <v>1</v>
      </c>
      <c r="I9" s="393">
        <v>0.97</v>
      </c>
      <c r="J9" s="393">
        <v>0.16</v>
      </c>
      <c r="K9" s="393">
        <v>1.1100000000000001</v>
      </c>
      <c r="L9" s="394">
        <v>0.36</v>
      </c>
      <c r="M9" s="351"/>
      <c r="N9" s="395">
        <f t="shared" ref="N9" si="51">I9/100</f>
        <v>9.7000000000000003E-3</v>
      </c>
      <c r="O9" s="396">
        <f t="shared" ref="O9" si="52">J9/100</f>
        <v>1.6000000000000001E-3</v>
      </c>
      <c r="P9" s="396">
        <f t="shared" ref="P9" si="53">K9/100</f>
        <v>1.11E-2</v>
      </c>
      <c r="Q9" s="396">
        <f t="shared" ref="Q9" si="54">L9/100</f>
        <v>3.5999999999999999E-3</v>
      </c>
      <c r="R9" s="422"/>
      <c r="S9" s="395">
        <f>B9/B10-1</f>
        <v>9.7000000000000402E-3</v>
      </c>
      <c r="T9" s="396">
        <f t="shared" ref="T9" si="55">C9/C10-1</f>
        <v>1.6000000000000499E-3</v>
      </c>
      <c r="U9" s="396">
        <f t="shared" ref="U9" si="56">D9/D10-1</f>
        <v>1.6000000000000499E-3</v>
      </c>
      <c r="V9" s="396">
        <f t="shared" ref="V9" si="57">E9/E10-1</f>
        <v>1.1100000000000099E-2</v>
      </c>
      <c r="W9" s="351"/>
      <c r="X9" s="351">
        <f>ROUND(IF(项目基本情况!B5="出让",SUMPRODUCT(PRODUCT(1+N9:N$37)),SUMPRODUCT(PRODUCT(1+N9:N$36))),4)</f>
        <v>1.619</v>
      </c>
      <c r="Y9" s="351">
        <f>ROUND(IF(项目基本情况!B5="出让",SUMPRODUCT(PRODUCT(1+O9:O$37)),SUMPRODUCT(PRODUCT(1+O9:O$36))),4)</f>
        <v>1.3491</v>
      </c>
      <c r="Z9" s="351">
        <f t="shared" ref="Z9" si="58">Y9</f>
        <v>1.3491</v>
      </c>
      <c r="AA9" s="351">
        <f>ROUND(IF(项目基本情况!B5="出让",SUMPRODUCT(PRODUCT(1+P9:P$37)),SUMPRODUCT(PRODUCT(1+P9:P$36))),4)</f>
        <v>1.6988000000000001</v>
      </c>
      <c r="AB9" s="351">
        <f>ROUND(IF(项目基本情况!B5="出让",SUMPRODUCT(PRODUCT(1+Q9:Q$37)),SUMPRODUCT(PRODUCT(1+Q9:Q$36))),4)</f>
        <v>1.4315</v>
      </c>
      <c r="AC9" s="351"/>
      <c r="AD9" s="396">
        <f>ROUND(AVERAGE(I9:I$37)/100,4)</f>
        <v>1.7899999999999999E-2</v>
      </c>
      <c r="AE9" s="396">
        <f>ROUND(AVERAGE(J9:J$37)/100,4)</f>
        <v>1.12E-2</v>
      </c>
      <c r="AF9" s="396">
        <f t="shared" ref="AF9" si="59">AE9</f>
        <v>1.12E-2</v>
      </c>
      <c r="AG9" s="396">
        <f>ROUND(AVERAGE(K9:K$37)/100,4)</f>
        <v>1.9699999999999999E-2</v>
      </c>
      <c r="AH9" s="396">
        <f>ROUND(AVERAGE(L9:L$37)/100,4)</f>
        <v>1.29E-2</v>
      </c>
    </row>
    <row r="10" spans="1:34" s="347" customFormat="1">
      <c r="A10" s="367" t="s">
        <v>2431</v>
      </c>
      <c r="B10" s="368">
        <f t="shared" ref="B10" si="60">B11*(1+N10)</f>
        <v>493.14449689037201</v>
      </c>
      <c r="C10" s="368">
        <f t="shared" ref="C10" si="61">C11*(1+O10)</f>
        <v>347.21619073020599</v>
      </c>
      <c r="D10" s="368">
        <f t="shared" ref="D10" si="62">C10</f>
        <v>347.21619073020599</v>
      </c>
      <c r="E10" s="368">
        <f t="shared" ref="E10" si="63">E11*(1+P10)</f>
        <v>710.55974278763904</v>
      </c>
      <c r="F10" s="368">
        <f t="shared" ref="F10" si="64">F11*(1+Q10)</f>
        <v>327.94540235306101</v>
      </c>
      <c r="G10" s="365">
        <v>2020</v>
      </c>
      <c r="H10" s="369">
        <v>4</v>
      </c>
      <c r="I10" s="393">
        <v>2.0699999999999998</v>
      </c>
      <c r="J10" s="393">
        <v>0.37</v>
      </c>
      <c r="K10" s="393">
        <v>2.35</v>
      </c>
      <c r="L10" s="394">
        <v>2.69</v>
      </c>
      <c r="M10" s="351"/>
      <c r="N10" s="395">
        <f t="shared" ref="N10" si="65">I10/100</f>
        <v>2.07E-2</v>
      </c>
      <c r="O10" s="396">
        <f t="shared" ref="O10" si="66">J10/100</f>
        <v>3.7000000000000002E-3</v>
      </c>
      <c r="P10" s="396">
        <f t="shared" ref="P10" si="67">K10/100</f>
        <v>2.35E-2</v>
      </c>
      <c r="Q10" s="396">
        <f t="shared" ref="Q10" si="68">L10/100</f>
        <v>2.69E-2</v>
      </c>
      <c r="R10" s="422"/>
      <c r="S10" s="395"/>
      <c r="T10" s="396"/>
      <c r="U10" s="396"/>
      <c r="V10" s="396"/>
      <c r="W10" s="351"/>
      <c r="X10" s="351">
        <f>ROUND(IF(项目基本情况!B6="出让",SUMPRODUCT(PRODUCT(1+N10:N$37)),SUMPRODUCT(PRODUCT(1+N10:N$36))),4)</f>
        <v>1.6034999999999999</v>
      </c>
      <c r="Y10" s="351">
        <f>ROUND(IF(项目基本情况!B6="出让",SUMPRODUCT(PRODUCT(1+O10:O$37)),SUMPRODUCT(PRODUCT(1+O10:O$36))),4)</f>
        <v>1.3469</v>
      </c>
      <c r="Z10" s="351">
        <f t="shared" ref="Z10" si="69">Y10</f>
        <v>1.3469</v>
      </c>
      <c r="AA10" s="351">
        <f>ROUND(IF(项目基本情况!B6="出让",SUMPRODUCT(PRODUCT(1+P10:P$37)),SUMPRODUCT(PRODUCT(1+P10:P$36))),4)</f>
        <v>1.6801999999999999</v>
      </c>
      <c r="AB10" s="351">
        <f>ROUND(IF(项目基本情况!B6="出让",SUMPRODUCT(PRODUCT(1+Q10:Q$37)),SUMPRODUCT(PRODUCT(1+Q10:Q$36))),4)</f>
        <v>1.4263999999999999</v>
      </c>
      <c r="AC10" s="351"/>
      <c r="AD10" s="396">
        <f>ROUND(AVERAGE(I10:I$37)/100,4)</f>
        <v>1.8200000000000001E-2</v>
      </c>
      <c r="AE10" s="396">
        <f>ROUND(AVERAGE(J10:J$37)/100,4)</f>
        <v>1.1599999999999999E-2</v>
      </c>
      <c r="AF10" s="396">
        <f t="shared" ref="AF10" si="70">AE10</f>
        <v>1.1599999999999999E-2</v>
      </c>
      <c r="AG10" s="396">
        <f>ROUND(AVERAGE(K10:K$37)/100,4)</f>
        <v>0.02</v>
      </c>
      <c r="AH10" s="396">
        <f>ROUND(AVERAGE(L10:L$37)/100,4)</f>
        <v>1.3299999999999999E-2</v>
      </c>
    </row>
    <row r="11" spans="1:34" s="347" customFormat="1">
      <c r="A11" s="367" t="s">
        <v>2432</v>
      </c>
      <c r="B11" s="368">
        <f t="shared" ref="B11" si="71">B12*(1+N11)</f>
        <v>483.143427932176</v>
      </c>
      <c r="C11" s="368">
        <f t="shared" ref="C11" si="72">C12*(1+O11)</f>
        <v>345.93622669144798</v>
      </c>
      <c r="D11" s="368">
        <f t="shared" ref="D11" si="73">C11</f>
        <v>345.93622669144798</v>
      </c>
      <c r="E11" s="368">
        <f t="shared" ref="E11" si="74">E12*(1+P11)</f>
        <v>694.24498562544102</v>
      </c>
      <c r="F11" s="368">
        <f t="shared" ref="F11" si="75">F12*(1+Q11)</f>
        <v>319.35475932716099</v>
      </c>
      <c r="G11" s="365">
        <v>2020</v>
      </c>
      <c r="H11" s="369">
        <v>3</v>
      </c>
      <c r="I11" s="393">
        <v>0.36</v>
      </c>
      <c r="J11" s="393">
        <v>-0.39</v>
      </c>
      <c r="K11" s="393">
        <v>0.49</v>
      </c>
      <c r="L11" s="394">
        <v>7.0000000000000007E-2</v>
      </c>
      <c r="M11" s="351"/>
      <c r="N11" s="395">
        <f t="shared" ref="N11" si="76">I11/100</f>
        <v>3.5999999999999999E-3</v>
      </c>
      <c r="O11" s="396">
        <f t="shared" ref="O11" si="77">J11/100</f>
        <v>-3.8999999999999998E-3</v>
      </c>
      <c r="P11" s="396">
        <f t="shared" ref="P11" si="78">K11/100</f>
        <v>4.8999999999999998E-3</v>
      </c>
      <c r="Q11" s="396">
        <f t="shared" ref="Q11" si="79">L11/100</f>
        <v>6.9999999999999999E-4</v>
      </c>
      <c r="R11" s="422"/>
      <c r="S11" s="395"/>
      <c r="T11" s="396"/>
      <c r="U11" s="396"/>
      <c r="V11" s="396"/>
      <c r="W11" s="351"/>
      <c r="X11" s="351">
        <f>ROUND(IF(项目基本情况!B7="出让",SUMPRODUCT(PRODUCT(1+N11:N$37)),SUMPRODUCT(PRODUCT(1+N11:N$36))),4)</f>
        <v>1.571</v>
      </c>
      <c r="Y11" s="351">
        <f>ROUND(IF(项目基本情况!B7="出让",SUMPRODUCT(PRODUCT(1+O11:O$37)),SUMPRODUCT(PRODUCT(1+O11:O$36))),4)</f>
        <v>1.3420000000000001</v>
      </c>
      <c r="Z11" s="351">
        <f t="shared" ref="Z11" si="80">Y11</f>
        <v>1.3420000000000001</v>
      </c>
      <c r="AA11" s="351">
        <f>ROUND(IF(项目基本情况!B7="出让",SUMPRODUCT(PRODUCT(1+P11:P$37)),SUMPRODUCT(PRODUCT(1+P11:P$36))),4)</f>
        <v>1.6415999999999999</v>
      </c>
      <c r="AB11" s="351">
        <f>ROUND(IF(项目基本情况!B7="出让",SUMPRODUCT(PRODUCT(1+Q11:Q$37)),SUMPRODUCT(PRODUCT(1+Q11:Q$36))),4)</f>
        <v>1.389</v>
      </c>
      <c r="AC11" s="351"/>
      <c r="AD11" s="396">
        <f>ROUND(AVERAGE(I11:I$37)/100,4)</f>
        <v>1.8100000000000002E-2</v>
      </c>
      <c r="AE11" s="396">
        <f>ROUND(AVERAGE(J11:J$37)/100,4)</f>
        <v>1.1900000000000001E-2</v>
      </c>
      <c r="AF11" s="396">
        <f t="shared" ref="AF11" si="81">AE11</f>
        <v>1.1900000000000001E-2</v>
      </c>
      <c r="AG11" s="396">
        <f>ROUND(AVERAGE(K11:K$37)/100,4)</f>
        <v>1.9900000000000001E-2</v>
      </c>
      <c r="AH11" s="396">
        <f>ROUND(AVERAGE(L11:L$37)/100,4)</f>
        <v>1.2800000000000001E-2</v>
      </c>
    </row>
    <row r="12" spans="1:34" s="347" customFormat="1">
      <c r="A12" s="367" t="s">
        <v>2433</v>
      </c>
      <c r="B12" s="368">
        <f t="shared" ref="B12" si="82">B13*(1+N12)</f>
        <v>481.410350669764</v>
      </c>
      <c r="C12" s="368">
        <f t="shared" ref="C12" si="83">C13*(1+O12)</f>
        <v>347.29066026648701</v>
      </c>
      <c r="D12" s="368">
        <f t="shared" ref="D12" si="84">C12</f>
        <v>347.29066026648701</v>
      </c>
      <c r="E12" s="368">
        <f t="shared" ref="E12" si="85">E13*(1+P12)</f>
        <v>690.85977273901995</v>
      </c>
      <c r="F12" s="368">
        <f t="shared" ref="F12" si="86">F13*(1+Q12)</f>
        <v>319.13136737000201</v>
      </c>
      <c r="G12" s="365">
        <v>2020</v>
      </c>
      <c r="H12" s="369">
        <v>2</v>
      </c>
      <c r="I12" s="393">
        <v>0.31</v>
      </c>
      <c r="J12" s="393">
        <v>-0.78</v>
      </c>
      <c r="K12" s="393">
        <v>0.5</v>
      </c>
      <c r="L12" s="394">
        <v>0.47</v>
      </c>
      <c r="M12" s="351"/>
      <c r="N12" s="395">
        <f t="shared" ref="N12" si="87">I12/100</f>
        <v>3.0999999999999999E-3</v>
      </c>
      <c r="O12" s="396">
        <f t="shared" ref="O12" si="88">J12/100</f>
        <v>-7.7999999999999996E-3</v>
      </c>
      <c r="P12" s="396">
        <f t="shared" ref="P12" si="89">K12/100</f>
        <v>5.0000000000000001E-3</v>
      </c>
      <c r="Q12" s="396">
        <f t="shared" ref="Q12" si="90">L12/100</f>
        <v>4.7000000000000002E-3</v>
      </c>
      <c r="R12" s="422"/>
      <c r="S12" s="395"/>
      <c r="T12" s="396"/>
      <c r="U12" s="396"/>
      <c r="V12" s="396"/>
      <c r="W12" s="351"/>
      <c r="X12" s="351">
        <f>ROUND(IF(项目基本情况!B8="出让",SUMPRODUCT(PRODUCT(1+N12:N$37)),SUMPRODUCT(PRODUCT(1+N12:N$36))),4)</f>
        <v>1.5652999999999999</v>
      </c>
      <c r="Y12" s="351">
        <f>ROUND(IF(项目基本情况!B8="出让",SUMPRODUCT(PRODUCT(1+O12:O$37)),SUMPRODUCT(PRODUCT(1+O12:O$36))),4)</f>
        <v>1.3472</v>
      </c>
      <c r="Z12" s="351">
        <f t="shared" ref="Z12" si="91">Y12</f>
        <v>1.3472</v>
      </c>
      <c r="AA12" s="351">
        <f>ROUND(IF(项目基本情况!B8="出让",SUMPRODUCT(PRODUCT(1+P12:P$37)),SUMPRODUCT(PRODUCT(1+P12:P$36))),4)</f>
        <v>1.6335999999999999</v>
      </c>
      <c r="AB12" s="351">
        <f>ROUND(IF(项目基本情况!B8="出让",SUMPRODUCT(PRODUCT(1+Q12:Q$37)),SUMPRODUCT(PRODUCT(1+Q12:Q$36))),4)</f>
        <v>1.3880999999999999</v>
      </c>
      <c r="AC12" s="351"/>
      <c r="AD12" s="396">
        <f>ROUND(AVERAGE(I12:I$37)/100,4)</f>
        <v>1.8599999999999998E-2</v>
      </c>
      <c r="AE12" s="396">
        <f>ROUND(AVERAGE(J12:J$37)/100,4)</f>
        <v>1.2500000000000001E-2</v>
      </c>
      <c r="AF12" s="396">
        <f t="shared" ref="AF12" si="92">AE12</f>
        <v>1.2500000000000001E-2</v>
      </c>
      <c r="AG12" s="396">
        <f>ROUND(AVERAGE(K12:K$37)/100,4)</f>
        <v>2.0400000000000001E-2</v>
      </c>
      <c r="AH12" s="396">
        <f>ROUND(AVERAGE(L12:L$37)/100,4)</f>
        <v>1.32E-2</v>
      </c>
    </row>
    <row r="13" spans="1:34" s="347" customFormat="1">
      <c r="A13" s="367" t="s">
        <v>2434</v>
      </c>
      <c r="B13" s="368">
        <f t="shared" ref="B13" si="93">B14*(1+N13)</f>
        <v>479.92259063878402</v>
      </c>
      <c r="C13" s="368">
        <f t="shared" ref="C13" si="94">C14*(1+O13)</f>
        <v>350.02082268341798</v>
      </c>
      <c r="D13" s="368">
        <f t="shared" ref="D13" si="95">C13</f>
        <v>350.02082268341798</v>
      </c>
      <c r="E13" s="368">
        <f t="shared" ref="E13" si="96">E14*(1+P13)</f>
        <v>687.42265944181099</v>
      </c>
      <c r="F13" s="368">
        <f t="shared" ref="F13" si="97">F14*(1+Q13)</f>
        <v>317.63846657709001</v>
      </c>
      <c r="G13" s="365">
        <v>2020</v>
      </c>
      <c r="H13" s="369">
        <v>1</v>
      </c>
      <c r="I13" s="393">
        <v>0.12</v>
      </c>
      <c r="J13" s="393">
        <v>-0.4</v>
      </c>
      <c r="K13" s="393">
        <v>0.21</v>
      </c>
      <c r="L13" s="394">
        <v>0.27</v>
      </c>
      <c r="M13" s="351"/>
      <c r="N13" s="395">
        <f t="shared" ref="N13" si="98">I13/100</f>
        <v>1.1999999999999999E-3</v>
      </c>
      <c r="O13" s="396">
        <f t="shared" ref="O13" si="99">J13/100</f>
        <v>-4.0000000000000001E-3</v>
      </c>
      <c r="P13" s="396">
        <f t="shared" ref="P13" si="100">K13/100</f>
        <v>2.0999999999999999E-3</v>
      </c>
      <c r="Q13" s="396">
        <f t="shared" ref="Q13" si="101">L13/100</f>
        <v>2.7000000000000001E-3</v>
      </c>
      <c r="R13" s="422"/>
      <c r="S13" s="395">
        <f>B13/B14-1</f>
        <v>1.2000000000000901E-3</v>
      </c>
      <c r="T13" s="396">
        <f t="shared" ref="T13" si="102">C13/C14-1</f>
        <v>-4.0000000000000001E-3</v>
      </c>
      <c r="U13" s="396">
        <f t="shared" ref="U13" si="103">D13/D14-1</f>
        <v>-4.0000000000000001E-3</v>
      </c>
      <c r="V13" s="396">
        <f t="shared" ref="V13" si="104">E13/E14-1</f>
        <v>2.0999999999999899E-3</v>
      </c>
      <c r="W13" s="351"/>
      <c r="X13" s="351">
        <f>ROUND(IF(项目基本情况!B8="出让",SUMPRODUCT(PRODUCT(1+N13:N$37)),SUMPRODUCT(PRODUCT(1+N13:N$36))),4)</f>
        <v>1.5605</v>
      </c>
      <c r="Y13" s="351">
        <f>ROUND(IF(项目基本情况!B8="出让",SUMPRODUCT(PRODUCT(1+O13:O$37)),SUMPRODUCT(PRODUCT(1+O13:O$36))),4)</f>
        <v>1.3577999999999999</v>
      </c>
      <c r="Z13" s="351">
        <f t="shared" ref="Z13" si="105">Y13</f>
        <v>1.3577999999999999</v>
      </c>
      <c r="AA13" s="351">
        <f>ROUND(IF(项目基本情况!B8="出让",SUMPRODUCT(PRODUCT(1+P13:P$37)),SUMPRODUCT(PRODUCT(1+P13:P$36))),4)</f>
        <v>1.6254999999999999</v>
      </c>
      <c r="AB13" s="351">
        <f>ROUND(IF(项目基本情况!B8="出让",SUMPRODUCT(PRODUCT(1+Q13:Q$37)),SUMPRODUCT(PRODUCT(1+Q13:Q$36))),4)</f>
        <v>1.3815999999999999</v>
      </c>
      <c r="AC13" s="351"/>
      <c r="AD13" s="396">
        <f>ROUND(AVERAGE(I13:I$37)/100,4)</f>
        <v>1.9199999999999998E-2</v>
      </c>
      <c r="AE13" s="396">
        <f>ROUND(AVERAGE(J13:J$37)/100,4)</f>
        <v>1.3299999999999999E-2</v>
      </c>
      <c r="AF13" s="396">
        <f t="shared" ref="AF13" si="106">AE13</f>
        <v>1.3299999999999999E-2</v>
      </c>
      <c r="AG13" s="396">
        <f>ROUND(AVERAGE(K13:K$37)/100,4)</f>
        <v>2.1100000000000001E-2</v>
      </c>
      <c r="AH13" s="396">
        <f>ROUND(AVERAGE(L13:L$37)/100,4)</f>
        <v>1.3599999999999999E-2</v>
      </c>
    </row>
    <row r="14" spans="1:34" s="347" customFormat="1">
      <c r="A14" s="367" t="s">
        <v>2435</v>
      </c>
      <c r="B14" s="368">
        <f t="shared" ref="B14" si="107">B15*(1+N14)</f>
        <v>479.34737379023602</v>
      </c>
      <c r="C14" s="368">
        <f t="shared" ref="C14" si="108">C15*(1+O14)</f>
        <v>351.42652879861203</v>
      </c>
      <c r="D14" s="368">
        <f t="shared" ref="D14" si="109">C14</f>
        <v>351.42652879861203</v>
      </c>
      <c r="E14" s="368">
        <f t="shared" ref="E14" si="110">E15*(1+P14)</f>
        <v>685.98209703803104</v>
      </c>
      <c r="F14" s="368">
        <f t="shared" ref="F14" si="111">F15*(1+Q14)</f>
        <v>316.78315206651001</v>
      </c>
      <c r="G14" s="365">
        <v>2019</v>
      </c>
      <c r="H14" s="369">
        <v>4</v>
      </c>
      <c r="I14" s="369">
        <v>0.45</v>
      </c>
      <c r="J14" s="369">
        <v>-0.12</v>
      </c>
      <c r="K14" s="369">
        <v>0.54</v>
      </c>
      <c r="L14" s="397">
        <v>0.48</v>
      </c>
      <c r="M14" s="351"/>
      <c r="N14" s="395">
        <f t="shared" ref="N14:N19" si="112">I14/100</f>
        <v>4.4999999999999997E-3</v>
      </c>
      <c r="O14" s="396">
        <f t="shared" ref="O14" si="113">J14/100</f>
        <v>-1.1999999999999999E-3</v>
      </c>
      <c r="P14" s="396">
        <f t="shared" ref="P14" si="114">K14/100</f>
        <v>5.4000000000000003E-3</v>
      </c>
      <c r="Q14" s="396">
        <f t="shared" ref="Q14" si="115">L14/100</f>
        <v>4.7999999999999996E-3</v>
      </c>
      <c r="R14" s="422"/>
      <c r="S14" s="395"/>
      <c r="T14" s="396"/>
      <c r="U14" s="396"/>
      <c r="V14" s="396"/>
      <c r="W14" s="351"/>
      <c r="X14" s="351">
        <f>ROUND(IF(项目基本情况!B8="出让",SUMPRODUCT(PRODUCT(1+N14:N$37)),SUMPRODUCT(PRODUCT(1+N14:N$36))),4)</f>
        <v>1.5586</v>
      </c>
      <c r="Y14" s="351">
        <f>ROUND(IF(项目基本情况!B8="出让",SUMPRODUCT(PRODUCT(1+O14:O$37)),SUMPRODUCT(PRODUCT(1+O14:O$36))),4)</f>
        <v>1.3633</v>
      </c>
      <c r="Z14" s="351">
        <f t="shared" ref="Z14" si="116">Y14</f>
        <v>1.3633</v>
      </c>
      <c r="AA14" s="351">
        <f>ROUND(IF(项目基本情况!B8="出让",SUMPRODUCT(PRODUCT(1+P14:P$37)),SUMPRODUCT(PRODUCT(1+P14:P$36))),4)</f>
        <v>1.6221000000000001</v>
      </c>
      <c r="AB14" s="351">
        <f>ROUND(IF(项目基本情况!B8="出让",SUMPRODUCT(PRODUCT(1+Q14:Q$37)),SUMPRODUCT(PRODUCT(1+Q14:Q$36))),4)</f>
        <v>1.3777999999999999</v>
      </c>
      <c r="AC14" s="351"/>
      <c r="AD14" s="396">
        <f>ROUND(AVERAGE(I14:I$37)/100,4)</f>
        <v>0.02</v>
      </c>
      <c r="AE14" s="396">
        <f>ROUND(AVERAGE(J14:J$37)/100,4)</f>
        <v>1.4E-2</v>
      </c>
      <c r="AF14" s="396">
        <f t="shared" ref="AF14" si="117">AE14</f>
        <v>1.4E-2</v>
      </c>
      <c r="AG14" s="396">
        <f>ROUND(AVERAGE(K14:K$37)/100,4)</f>
        <v>2.1899999999999999E-2</v>
      </c>
      <c r="AH14" s="396">
        <f>ROUND(AVERAGE(L14:L$37)/100,4)</f>
        <v>1.4E-2</v>
      </c>
    </row>
    <row r="15" spans="1:34" s="347" customFormat="1">
      <c r="A15" s="367" t="s">
        <v>2436</v>
      </c>
      <c r="B15" s="368">
        <f t="shared" ref="B15" si="118">B16*(1+N15)</f>
        <v>477.19997390765099</v>
      </c>
      <c r="C15" s="368">
        <f t="shared" ref="C15" si="119">C16*(1+O15)</f>
        <v>351.84874729536699</v>
      </c>
      <c r="D15" s="368">
        <f t="shared" ref="D15" si="120">C15</f>
        <v>351.84874729536699</v>
      </c>
      <c r="E15" s="368">
        <f t="shared" ref="E15" si="121">E16*(1+P15)</f>
        <v>682.29768951465201</v>
      </c>
      <c r="F15" s="368">
        <f t="shared" ref="F15" si="122">F16*(1+Q15)</f>
        <v>315.26985675408997</v>
      </c>
      <c r="G15" s="365">
        <v>2019</v>
      </c>
      <c r="H15" s="369">
        <v>3</v>
      </c>
      <c r="I15" s="369">
        <v>0.61</v>
      </c>
      <c r="J15" s="369">
        <v>0.67</v>
      </c>
      <c r="K15" s="369">
        <v>0.6</v>
      </c>
      <c r="L15" s="397">
        <v>1.03</v>
      </c>
      <c r="M15" s="351"/>
      <c r="N15" s="395">
        <f t="shared" si="112"/>
        <v>6.1000000000000004E-3</v>
      </c>
      <c r="O15" s="396">
        <f t="shared" ref="O15" si="123">J15/100</f>
        <v>6.7000000000000002E-3</v>
      </c>
      <c r="P15" s="396">
        <f t="shared" ref="P15" si="124">K15/100</f>
        <v>6.0000000000000001E-3</v>
      </c>
      <c r="Q15" s="396">
        <f t="shared" ref="Q15" si="125">L15/100</f>
        <v>1.03E-2</v>
      </c>
      <c r="R15" s="422"/>
      <c r="S15" s="395"/>
      <c r="T15" s="396"/>
      <c r="U15" s="396"/>
      <c r="V15" s="396"/>
      <c r="W15" s="351"/>
      <c r="X15" s="351">
        <f>ROUND(IF(项目基本情况!B8="出让",SUMPRODUCT(PRODUCT(1+N15:N$37)),SUMPRODUCT(PRODUCT(1+N15:N$36))),4)</f>
        <v>1.5516000000000001</v>
      </c>
      <c r="Y15" s="351">
        <f>ROUND(IF(项目基本情况!B8="出让",SUMPRODUCT(PRODUCT(1+O15:O$37)),SUMPRODUCT(PRODUCT(1+O15:O$36))),4)</f>
        <v>1.3649</v>
      </c>
      <c r="Z15" s="351">
        <f t="shared" ref="Z15" si="126">Y15</f>
        <v>1.3649</v>
      </c>
      <c r="AA15" s="351">
        <f>ROUND(IF(项目基本情况!B8="出让",SUMPRODUCT(PRODUCT(1+P15:P$37)),SUMPRODUCT(PRODUCT(1+P15:P$36))),4)</f>
        <v>1.6133999999999999</v>
      </c>
      <c r="AB15" s="351">
        <f>ROUND(IF(项目基本情况!B8="出让",SUMPRODUCT(PRODUCT(1+Q15:Q$37)),SUMPRODUCT(PRODUCT(1+Q15:Q$36))),4)</f>
        <v>1.3713</v>
      </c>
      <c r="AC15" s="351"/>
      <c r="AD15" s="396">
        <f>ROUND(AVERAGE(I15:I$37)/100,4)</f>
        <v>2.07E-2</v>
      </c>
      <c r="AE15" s="396">
        <f>ROUND(AVERAGE(J15:J$37)/100,4)</f>
        <v>1.47E-2</v>
      </c>
      <c r="AF15" s="396">
        <f t="shared" ref="AF15" si="127">AE15</f>
        <v>1.47E-2</v>
      </c>
      <c r="AG15" s="396">
        <f>ROUND(AVERAGE(K15:K$37)/100,4)</f>
        <v>2.2599999999999999E-2</v>
      </c>
      <c r="AH15" s="396">
        <f>ROUND(AVERAGE(L15:L$37)/100,4)</f>
        <v>1.44E-2</v>
      </c>
    </row>
    <row r="16" spans="1:34" s="347" customFormat="1">
      <c r="A16" s="367" t="s">
        <v>2437</v>
      </c>
      <c r="B16" s="368">
        <f t="shared" ref="B16" si="128">B17*(1+N16)</f>
        <v>474.30670301923402</v>
      </c>
      <c r="C16" s="368">
        <f t="shared" ref="C16" si="129">C17*(1+O16)</f>
        <v>349.50705005996502</v>
      </c>
      <c r="D16" s="368">
        <f t="shared" ref="D16" si="130">C16</f>
        <v>349.50705005996502</v>
      </c>
      <c r="E16" s="368">
        <f t="shared" ref="E16" si="131">E17*(1+P16)</f>
        <v>678.22831959707003</v>
      </c>
      <c r="F16" s="368">
        <f t="shared" ref="F16" si="132">F17*(1+Q16)</f>
        <v>312.05568321695603</v>
      </c>
      <c r="G16" s="365">
        <v>2019</v>
      </c>
      <c r="H16" s="370">
        <v>2</v>
      </c>
      <c r="I16" s="370">
        <v>1.53</v>
      </c>
      <c r="J16" s="370">
        <v>1.01</v>
      </c>
      <c r="K16" s="370">
        <v>1.62</v>
      </c>
      <c r="L16" s="398">
        <v>1.25</v>
      </c>
      <c r="M16" s="351"/>
      <c r="N16" s="395">
        <f t="shared" si="112"/>
        <v>1.5299999999999999E-2</v>
      </c>
      <c r="O16" s="396">
        <f t="shared" ref="O16" si="133">J16/100</f>
        <v>1.01E-2</v>
      </c>
      <c r="P16" s="396">
        <f t="shared" ref="P16" si="134">K16/100</f>
        <v>1.6199999999999999E-2</v>
      </c>
      <c r="Q16" s="396">
        <f t="shared" ref="Q16" si="135">L16/100</f>
        <v>1.2500000000000001E-2</v>
      </c>
      <c r="R16" s="422"/>
      <c r="S16" s="395"/>
      <c r="T16" s="396"/>
      <c r="U16" s="396"/>
      <c r="V16" s="396"/>
      <c r="W16" s="351"/>
      <c r="X16" s="351">
        <f>ROUND(IF(项目基本情况!B8="出让",SUMPRODUCT(PRODUCT(1+N16:N$37)),SUMPRODUCT(PRODUCT(1+N16:N$36))),4)</f>
        <v>1.5422</v>
      </c>
      <c r="Y16" s="351">
        <f>ROUND(IF(项目基本情况!B8="出让",SUMPRODUCT(PRODUCT(1+O16:O$37)),SUMPRODUCT(PRODUCT(1+O16:O$36))),4)</f>
        <v>1.3557999999999999</v>
      </c>
      <c r="Z16" s="351">
        <f t="shared" ref="Z16" si="136">Y16</f>
        <v>1.3557999999999999</v>
      </c>
      <c r="AA16" s="351">
        <f>ROUND(IF(项目基本情况!B8="出让",SUMPRODUCT(PRODUCT(1+P16:P$37)),SUMPRODUCT(PRODUCT(1+P16:P$36))),4)</f>
        <v>1.6036999999999999</v>
      </c>
      <c r="AB16" s="351">
        <f>ROUND(IF(项目基本情况!B8="出让",SUMPRODUCT(PRODUCT(1+Q16:Q$37)),SUMPRODUCT(PRODUCT(1+Q16:Q$36))),4)</f>
        <v>1.3573</v>
      </c>
      <c r="AC16" s="351"/>
      <c r="AD16" s="396">
        <f>ROUND(AVERAGE(I16:I$37)/100,4)</f>
        <v>2.1299999999999999E-2</v>
      </c>
      <c r="AE16" s="396">
        <f>ROUND(AVERAGE(J16:J$37)/100,4)</f>
        <v>1.4999999999999999E-2</v>
      </c>
      <c r="AF16" s="396">
        <f t="shared" ref="AF16" si="137">AE16</f>
        <v>1.4999999999999999E-2</v>
      </c>
      <c r="AG16" s="396">
        <f>ROUND(AVERAGE(K16:K$37)/100,4)</f>
        <v>2.3300000000000001E-2</v>
      </c>
      <c r="AH16" s="396">
        <f>ROUND(AVERAGE(L16:L$37)/100,4)</f>
        <v>1.46E-2</v>
      </c>
    </row>
    <row r="17" spans="1:34" s="347" customFormat="1">
      <c r="A17" s="367" t="s">
        <v>2438</v>
      </c>
      <c r="B17" s="368">
        <f t="shared" ref="B17" si="138">B18*(1+N17)</f>
        <v>467.159167752619</v>
      </c>
      <c r="C17" s="368">
        <f t="shared" ref="C17" si="139">C18*(1+O17)</f>
        <v>346.01232557169101</v>
      </c>
      <c r="D17" s="368">
        <f t="shared" ref="D17" si="140">C17</f>
        <v>346.01232557169101</v>
      </c>
      <c r="E17" s="368">
        <f t="shared" ref="E17" si="141">E18*(1+P17)</f>
        <v>667.41617752122602</v>
      </c>
      <c r="F17" s="368">
        <f t="shared" ref="F17" si="142">F18*(1+Q17)</f>
        <v>308.20314391798098</v>
      </c>
      <c r="G17" s="365">
        <v>2019</v>
      </c>
      <c r="H17" s="369">
        <v>1</v>
      </c>
      <c r="I17" s="369">
        <v>0.6</v>
      </c>
      <c r="J17" s="369">
        <v>0.37</v>
      </c>
      <c r="K17" s="369">
        <v>0.63</v>
      </c>
      <c r="L17" s="397">
        <v>1.1299999999999999</v>
      </c>
      <c r="M17" s="351"/>
      <c r="N17" s="395">
        <f t="shared" si="112"/>
        <v>6.0000000000000001E-3</v>
      </c>
      <c r="O17" s="396">
        <f t="shared" ref="O17" si="143">J17/100</f>
        <v>3.7000000000000002E-3</v>
      </c>
      <c r="P17" s="396">
        <f t="shared" ref="P17" si="144">K17/100</f>
        <v>6.3E-3</v>
      </c>
      <c r="Q17" s="396">
        <f t="shared" ref="Q17" si="145">L17/100</f>
        <v>1.1299999999999999E-2</v>
      </c>
      <c r="R17" s="422"/>
      <c r="S17" s="395">
        <f>B17/B18-1</f>
        <v>6.0000000000000097E-3</v>
      </c>
      <c r="T17" s="396">
        <f t="shared" ref="T17" si="146">C17/C18-1</f>
        <v>3.7000000000000401E-3</v>
      </c>
      <c r="U17" s="396">
        <f t="shared" ref="U17" si="147">D17/D18-1</f>
        <v>3.7000000000000401E-3</v>
      </c>
      <c r="V17" s="396">
        <f t="shared" ref="V17" si="148">E17/E18-1</f>
        <v>6.2999999999999697E-3</v>
      </c>
      <c r="W17" s="351"/>
      <c r="X17" s="351">
        <f>ROUND(IF(项目基本情况!B8="出让",SUMPRODUCT(PRODUCT(1+N17:N$37)),SUMPRODUCT(PRODUCT(1+N17:N$36))),4)</f>
        <v>1.5189999999999999</v>
      </c>
      <c r="Y17" s="351">
        <f>ROUND(IF(项目基本情况!B8="出让",SUMPRODUCT(PRODUCT(1+O17:O$37)),SUMPRODUCT(PRODUCT(1+O17:O$36))),4)</f>
        <v>1.3423</v>
      </c>
      <c r="Z17" s="351">
        <f t="shared" ref="Z17" si="149">Y17</f>
        <v>1.3423</v>
      </c>
      <c r="AA17" s="351">
        <f>ROUND(IF(项目基本情况!B8="出让",SUMPRODUCT(PRODUCT(1+P17:P$37)),SUMPRODUCT(PRODUCT(1+P17:P$36))),4)</f>
        <v>1.5782</v>
      </c>
      <c r="AB17" s="351">
        <f>ROUND(IF(项目基本情况!B8="出让",SUMPRODUCT(PRODUCT(1+Q17:Q$37)),SUMPRODUCT(PRODUCT(1+Q17:Q$36))),4)</f>
        <v>1.3405</v>
      </c>
      <c r="AC17" s="351"/>
      <c r="AD17" s="396">
        <f>ROUND(AVERAGE(I17:I$37)/100,4)</f>
        <v>2.1600000000000001E-2</v>
      </c>
      <c r="AE17" s="396">
        <f>ROUND(AVERAGE(J17:J$37)/100,4)</f>
        <v>1.5299999999999999E-2</v>
      </c>
      <c r="AF17" s="396">
        <f t="shared" ref="AF17" si="150">AE17</f>
        <v>1.5299999999999999E-2</v>
      </c>
      <c r="AG17" s="396">
        <f>ROUND(AVERAGE(K17:K$37)/100,4)</f>
        <v>2.3699999999999999E-2</v>
      </c>
      <c r="AH17" s="396">
        <f>ROUND(AVERAGE(L17:L$37)/100,4)</f>
        <v>1.47E-2</v>
      </c>
    </row>
    <row r="18" spans="1:34" s="347" customFormat="1">
      <c r="A18" s="367" t="s">
        <v>2439</v>
      </c>
      <c r="B18" s="371">
        <f t="shared" ref="B18" si="151">B19*(1+N18)</f>
        <v>464.37293017158902</v>
      </c>
      <c r="C18" s="371">
        <f t="shared" ref="C18" si="152">C19*(1+O18)</f>
        <v>344.73679941386001</v>
      </c>
      <c r="D18" s="371">
        <f t="shared" ref="D18" si="153">C18</f>
        <v>344.73679941386001</v>
      </c>
      <c r="E18" s="371">
        <f t="shared" ref="E18" si="154">E19*(1+P18)</f>
        <v>663.23777951031104</v>
      </c>
      <c r="F18" s="372">
        <f t="shared" ref="F18" si="155">F19*(1+Q18)</f>
        <v>304.75936311478398</v>
      </c>
      <c r="G18" s="3473">
        <v>2018</v>
      </c>
      <c r="H18" s="370">
        <v>4</v>
      </c>
      <c r="I18" s="370">
        <v>0.96</v>
      </c>
      <c r="J18" s="370">
        <v>1.03</v>
      </c>
      <c r="K18" s="370">
        <v>0.92</v>
      </c>
      <c r="L18" s="398">
        <v>1.29</v>
      </c>
      <c r="M18" s="351"/>
      <c r="N18" s="395">
        <f t="shared" si="112"/>
        <v>9.5999999999999992E-3</v>
      </c>
      <c r="O18" s="396">
        <f t="shared" ref="O18" si="156">J18/100</f>
        <v>1.03E-2</v>
      </c>
      <c r="P18" s="396">
        <f t="shared" ref="P18" si="157">K18/100</f>
        <v>9.1999999999999998E-3</v>
      </c>
      <c r="Q18" s="396">
        <f t="shared" ref="Q18" si="158">L18/100</f>
        <v>1.29E-2</v>
      </c>
      <c r="R18" s="422"/>
      <c r="S18" s="395"/>
      <c r="T18" s="396"/>
      <c r="U18" s="396"/>
      <c r="V18" s="396"/>
      <c r="W18" s="351"/>
      <c r="X18" s="351">
        <f>ROUND(SUMPRODUCT(PRODUCT(1+N18:N$36)),4)</f>
        <v>1.5099</v>
      </c>
      <c r="Y18" s="351">
        <f>ROUND(SUMPRODUCT(PRODUCT(1+O18:O$36)),4)</f>
        <v>1.3372999999999999</v>
      </c>
      <c r="Z18" s="351">
        <f t="shared" ref="Z18" si="159">Y18</f>
        <v>1.3372999999999999</v>
      </c>
      <c r="AA18" s="351">
        <f>ROUND(SUMPRODUCT(PRODUCT(1+P18:P$36)),4)</f>
        <v>1.5683</v>
      </c>
      <c r="AB18" s="351">
        <f>ROUND(SUMPRODUCT(PRODUCT(1+Q18:Q$36)),4)</f>
        <v>1.3255999999999999</v>
      </c>
      <c r="AC18" s="351"/>
      <c r="AD18" s="396">
        <f>ROUND(AVERAGE(I18:I$37)/100,4)</f>
        <v>2.24E-2</v>
      </c>
      <c r="AE18" s="396">
        <f>ROUND(AVERAGE(J18:J$37)/100,4)</f>
        <v>1.5800000000000002E-2</v>
      </c>
      <c r="AF18" s="396">
        <f t="shared" ref="AF18" si="160">AE18</f>
        <v>1.5800000000000002E-2</v>
      </c>
      <c r="AG18" s="396">
        <f>ROUND(AVERAGE(K18:K$37)/100,4)</f>
        <v>2.4500000000000001E-2</v>
      </c>
      <c r="AH18" s="396">
        <f>ROUND(AVERAGE(L18:L$37)/100,4)</f>
        <v>1.49E-2</v>
      </c>
    </row>
    <row r="19" spans="1:34" s="347" customFormat="1" ht="14.45" customHeight="1">
      <c r="A19" s="367" t="s">
        <v>2440</v>
      </c>
      <c r="B19" s="368">
        <f t="shared" ref="B19" si="161">B20*(1+N19)</f>
        <v>459.95733971036998</v>
      </c>
      <c r="C19" s="368">
        <f t="shared" ref="C19" si="162">C20*(1+O19)</f>
        <v>341.22221064422399</v>
      </c>
      <c r="D19" s="368">
        <f t="shared" ref="D19" si="163">C19</f>
        <v>341.22221064422399</v>
      </c>
      <c r="E19" s="368">
        <f t="shared" ref="E19" si="164">E20*(1+P19)</f>
        <v>657.19161663724799</v>
      </c>
      <c r="F19" s="368">
        <f t="shared" ref="F19" si="165">F20*(1+Q19)</f>
        <v>300.87803644464799</v>
      </c>
      <c r="G19" s="3473"/>
      <c r="H19" s="369">
        <v>3</v>
      </c>
      <c r="I19" s="369">
        <v>1.51</v>
      </c>
      <c r="J19" s="369">
        <v>1.41</v>
      </c>
      <c r="K19" s="369">
        <v>1.52</v>
      </c>
      <c r="L19" s="397">
        <v>1.74</v>
      </c>
      <c r="M19" s="351"/>
      <c r="N19" s="395">
        <f t="shared" si="112"/>
        <v>1.5100000000000001E-2</v>
      </c>
      <c r="O19" s="396">
        <f t="shared" ref="O19" si="166">J19/100</f>
        <v>1.41E-2</v>
      </c>
      <c r="P19" s="396">
        <f t="shared" ref="P19" si="167">K19/100</f>
        <v>1.52E-2</v>
      </c>
      <c r="Q19" s="396">
        <f t="shared" ref="Q19" si="168">L19/100</f>
        <v>1.7399999999999999E-2</v>
      </c>
      <c r="R19" s="422"/>
      <c r="S19" s="395"/>
      <c r="T19" s="396"/>
      <c r="U19" s="396"/>
      <c r="V19" s="396"/>
      <c r="W19" s="351"/>
      <c r="X19" s="351">
        <f>ROUND(SUMPRODUCT(PRODUCT(1+N19:N$36)),4)</f>
        <v>1.4956</v>
      </c>
      <c r="Y19" s="351">
        <f>ROUND(SUMPRODUCT(PRODUCT(1+O19:O$36)),4)</f>
        <v>1.3237000000000001</v>
      </c>
      <c r="Z19" s="351">
        <f t="shared" ref="Z19" si="169">Y19</f>
        <v>1.3237000000000001</v>
      </c>
      <c r="AA19" s="351">
        <f>ROUND(SUMPRODUCT(PRODUCT(1+P19:P$36)),4)</f>
        <v>1.554</v>
      </c>
      <c r="AB19" s="351">
        <f>ROUND(SUMPRODUCT(PRODUCT(1+Q19:Q$36)),4)</f>
        <v>1.3087</v>
      </c>
      <c r="AC19" s="351"/>
      <c r="AD19" s="396">
        <f>ROUND(AVERAGE(I19:I$37)/100,4)</f>
        <v>2.3099999999999999E-2</v>
      </c>
      <c r="AE19" s="396">
        <f>ROUND(AVERAGE(J19:J$37)/100,4)</f>
        <v>1.61E-2</v>
      </c>
      <c r="AF19" s="396">
        <f t="shared" ref="AF19" si="170">AE19</f>
        <v>1.61E-2</v>
      </c>
      <c r="AG19" s="396">
        <f>ROUND(AVERAGE(K19:K$37)/100,4)</f>
        <v>2.53E-2</v>
      </c>
      <c r="AH19" s="396">
        <f>ROUND(AVERAGE(L19:L$37)/100,4)</f>
        <v>1.4999999999999999E-2</v>
      </c>
    </row>
    <row r="20" spans="1:34" s="347" customFormat="1" ht="14.45" customHeight="1">
      <c r="A20" s="367" t="s">
        <v>2441</v>
      </c>
      <c r="B20" s="368">
        <f t="shared" ref="B20" si="171">B21*(1+N20)</f>
        <v>453.11529869999998</v>
      </c>
      <c r="C20" s="368">
        <f t="shared" ref="C20" si="172">C21*(1+O20)</f>
        <v>336.47787263999999</v>
      </c>
      <c r="D20" s="368">
        <f t="shared" ref="D20" si="173">C20</f>
        <v>336.47787263999999</v>
      </c>
      <c r="E20" s="368">
        <f t="shared" ref="E20" si="174">E21*(1+P20)</f>
        <v>647.35186824000004</v>
      </c>
      <c r="F20" s="368">
        <f t="shared" ref="F20" si="175">F21*(1+Q20)</f>
        <v>295.73229451999998</v>
      </c>
      <c r="G20" s="3473"/>
      <c r="H20" s="373">
        <v>2</v>
      </c>
      <c r="I20" s="373">
        <v>1.49</v>
      </c>
      <c r="J20" s="373">
        <v>0.96</v>
      </c>
      <c r="K20" s="373">
        <v>1.58</v>
      </c>
      <c r="L20" s="399">
        <v>2.44</v>
      </c>
      <c r="M20" s="351"/>
      <c r="N20" s="395">
        <f t="shared" ref="N20" si="176">I20/100</f>
        <v>1.49E-2</v>
      </c>
      <c r="O20" s="396">
        <f t="shared" ref="O20" si="177">J20/100</f>
        <v>9.5999999999999992E-3</v>
      </c>
      <c r="P20" s="396">
        <f t="shared" ref="P20" si="178">K20/100</f>
        <v>1.5800000000000002E-2</v>
      </c>
      <c r="Q20" s="396">
        <f t="shared" ref="Q20" si="179">L20/100</f>
        <v>2.4400000000000002E-2</v>
      </c>
      <c r="R20" s="422"/>
      <c r="S20" s="395"/>
      <c r="T20" s="396"/>
      <c r="U20" s="396"/>
      <c r="V20" s="396"/>
      <c r="W20" s="351"/>
      <c r="X20" s="351">
        <f>ROUND(SUMPRODUCT(PRODUCT(1+N20:N$36)),4)</f>
        <v>1.4733000000000001</v>
      </c>
      <c r="Y20" s="351">
        <f>ROUND(SUMPRODUCT(PRODUCT(1+O20:O$36)),4)</f>
        <v>1.3052999999999999</v>
      </c>
      <c r="Z20" s="351">
        <f t="shared" ref="Z20" si="180">Y20</f>
        <v>1.3052999999999999</v>
      </c>
      <c r="AA20" s="351">
        <f>ROUND(SUMPRODUCT(PRODUCT(1+P20:P$36)),4)</f>
        <v>1.5306999999999999</v>
      </c>
      <c r="AB20" s="351">
        <f>ROUND(SUMPRODUCT(PRODUCT(1+Q20:Q$36)),4)</f>
        <v>1.2863</v>
      </c>
      <c r="AC20" s="351"/>
      <c r="AD20" s="396">
        <f>ROUND(AVERAGE(I20:I$37)/100,4)</f>
        <v>2.35E-2</v>
      </c>
      <c r="AE20" s="396">
        <f>ROUND(AVERAGE(J20:J$37)/100,4)</f>
        <v>1.6199999999999999E-2</v>
      </c>
      <c r="AF20" s="396">
        <f t="shared" ref="AF20" si="181">AE20</f>
        <v>1.6199999999999999E-2</v>
      </c>
      <c r="AG20" s="396">
        <f>ROUND(AVERAGE(K20:K$37)/100,4)</f>
        <v>2.5899999999999999E-2</v>
      </c>
      <c r="AH20" s="396">
        <f>ROUND(AVERAGE(L20:L$37)/100,4)</f>
        <v>1.49E-2</v>
      </c>
    </row>
    <row r="21" spans="1:34" s="347" customFormat="1" ht="15" customHeight="1">
      <c r="A21" s="367" t="s">
        <v>2442</v>
      </c>
      <c r="B21" s="368">
        <f t="shared" ref="B21" si="182">B22*(1+N21)</f>
        <v>446.46300000000002</v>
      </c>
      <c r="C21" s="368">
        <f t="shared" ref="C21" si="183">C22*(1+O21)</f>
        <v>333.27839999999998</v>
      </c>
      <c r="D21" s="368">
        <f t="shared" ref="D21:D22" si="184">C21</f>
        <v>333.27839999999998</v>
      </c>
      <c r="E21" s="368">
        <f t="shared" ref="E21" si="185">E22*(1+P21)</f>
        <v>637.28279999999995</v>
      </c>
      <c r="F21" s="368">
        <f t="shared" ref="F21" si="186">F22*(1+Q21)</f>
        <v>288.68830000000003</v>
      </c>
      <c r="G21" s="3474"/>
      <c r="H21" s="369">
        <v>1</v>
      </c>
      <c r="I21" s="369">
        <v>1.7</v>
      </c>
      <c r="J21" s="369">
        <v>1.92</v>
      </c>
      <c r="K21" s="369">
        <v>1.64</v>
      </c>
      <c r="L21" s="397">
        <v>2.0099999999999998</v>
      </c>
      <c r="M21" s="351"/>
      <c r="N21" s="395">
        <f t="shared" ref="N21:N26" si="187">I21/100</f>
        <v>1.7000000000000001E-2</v>
      </c>
      <c r="O21" s="396">
        <f t="shared" ref="O21" si="188">J21/100</f>
        <v>1.9199999999999998E-2</v>
      </c>
      <c r="P21" s="396">
        <f t="shared" ref="P21" si="189">K21/100</f>
        <v>1.6400000000000001E-2</v>
      </c>
      <c r="Q21" s="396">
        <f t="shared" ref="Q21" si="190">L21/100</f>
        <v>2.01E-2</v>
      </c>
      <c r="R21" s="422"/>
      <c r="S21" s="395">
        <f>B21/B22-1</f>
        <v>1.6999999999999901E-2</v>
      </c>
      <c r="T21" s="396">
        <f t="shared" ref="T21" si="191">C21/C22-1</f>
        <v>1.9200000000000099E-2</v>
      </c>
      <c r="U21" s="396">
        <f t="shared" ref="U21" si="192">D21/D22-1</f>
        <v>1.9200000000000099E-2</v>
      </c>
      <c r="V21" s="396">
        <f t="shared" ref="V21" si="193">E21/E22-1</f>
        <v>1.6400000000000001E-2</v>
      </c>
      <c r="W21" s="351"/>
      <c r="X21" s="351">
        <f>ROUND(SUMPRODUCT(PRODUCT(1+N21:N$36)),4)</f>
        <v>1.4517</v>
      </c>
      <c r="Y21" s="351">
        <f>ROUND(SUMPRODUCT(PRODUCT(1+O21:O$36)),4)</f>
        <v>1.2928999999999999</v>
      </c>
      <c r="Z21" s="351">
        <f t="shared" ref="Z21" si="194">Y21</f>
        <v>1.2928999999999999</v>
      </c>
      <c r="AA21" s="351">
        <f>ROUND(SUMPRODUCT(PRODUCT(1+P21:P$36)),4)</f>
        <v>1.5068999999999999</v>
      </c>
      <c r="AB21" s="351">
        <f>ROUND(SUMPRODUCT(PRODUCT(1+Q21:Q$36)),4)</f>
        <v>1.2557</v>
      </c>
      <c r="AC21" s="351"/>
      <c r="AD21" s="396">
        <f>ROUND(AVERAGE(I21:I$37)/100,4)</f>
        <v>2.4E-2</v>
      </c>
      <c r="AE21" s="396">
        <f>ROUND(AVERAGE(J21:J$37)/100,4)</f>
        <v>1.66E-2</v>
      </c>
      <c r="AF21" s="396">
        <f t="shared" ref="AF21" si="195">AE21</f>
        <v>1.66E-2</v>
      </c>
      <c r="AG21" s="396">
        <f>ROUND(AVERAGE(K21:K$37)/100,4)</f>
        <v>2.6499999999999999E-2</v>
      </c>
      <c r="AH21" s="396">
        <f>ROUND(AVERAGE(L21:L$37)/100,4)</f>
        <v>1.43E-2</v>
      </c>
    </row>
    <row r="22" spans="1:34">
      <c r="A22" s="367" t="s">
        <v>2443</v>
      </c>
      <c r="B22" s="371">
        <v>439</v>
      </c>
      <c r="C22" s="371">
        <v>327</v>
      </c>
      <c r="D22" s="371">
        <f t="shared" si="184"/>
        <v>327</v>
      </c>
      <c r="E22" s="371">
        <v>627</v>
      </c>
      <c r="F22" s="372">
        <v>283</v>
      </c>
      <c r="G22" s="3475">
        <v>2017</v>
      </c>
      <c r="H22" s="370">
        <v>4</v>
      </c>
      <c r="I22" s="370">
        <v>1.71</v>
      </c>
      <c r="J22" s="370">
        <v>1.78</v>
      </c>
      <c r="K22" s="370">
        <v>1.71</v>
      </c>
      <c r="L22" s="398">
        <v>1.43</v>
      </c>
      <c r="N22" s="395">
        <f t="shared" si="187"/>
        <v>1.7100000000000001E-2</v>
      </c>
      <c r="O22" s="396">
        <f t="shared" ref="O22" si="196">J22/100</f>
        <v>1.78E-2</v>
      </c>
      <c r="P22" s="396">
        <f t="shared" ref="P22" si="197">K22/100</f>
        <v>1.7100000000000001E-2</v>
      </c>
      <c r="Q22" s="396">
        <f t="shared" ref="Q22" si="198">L22/100</f>
        <v>1.43E-2</v>
      </c>
      <c r="R22" s="422"/>
      <c r="S22" s="423"/>
      <c r="T22" s="424"/>
      <c r="U22" s="424"/>
      <c r="V22" s="424"/>
      <c r="X22" s="351">
        <f>ROUND(SUMPRODUCT(PRODUCT(1+N22:N$36)),4)</f>
        <v>1.4274</v>
      </c>
      <c r="Y22" s="351">
        <f>ROUND(SUMPRODUCT(PRODUCT(1+O22:O$36)),4)</f>
        <v>1.2685</v>
      </c>
      <c r="Z22" s="351">
        <f t="shared" si="0"/>
        <v>1.2685</v>
      </c>
      <c r="AA22" s="351">
        <f>ROUND(SUMPRODUCT(PRODUCT(1+P22:P$36)),4)</f>
        <v>1.4825999999999999</v>
      </c>
      <c r="AB22" s="351">
        <f>ROUND(SUMPRODUCT(PRODUCT(1+Q22:Q$36)),4)</f>
        <v>1.2309000000000001</v>
      </c>
      <c r="AD22" s="396">
        <f>ROUND(AVERAGE(I22:I$37)/100,4)</f>
        <v>2.4500000000000001E-2</v>
      </c>
      <c r="AE22" s="396">
        <f>ROUND(AVERAGE(J22:J$37)/100,4)</f>
        <v>1.6500000000000001E-2</v>
      </c>
      <c r="AF22" s="396">
        <f t="shared" si="1"/>
        <v>1.6500000000000001E-2</v>
      </c>
      <c r="AG22" s="396">
        <f>ROUND(AVERAGE(K22:K$37)/100,4)</f>
        <v>2.7099999999999999E-2</v>
      </c>
      <c r="AH22" s="396">
        <f>ROUND(AVERAGE(L22:L$37)/100,4)</f>
        <v>1.3899999999999999E-2</v>
      </c>
    </row>
    <row r="23" spans="1:34" s="347" customFormat="1" ht="14.45" customHeight="1">
      <c r="A23" s="367" t="s">
        <v>2444</v>
      </c>
      <c r="B23" s="368">
        <f t="shared" ref="B23:B25" si="199">B24*(1+N23)</f>
        <v>431.80730811680002</v>
      </c>
      <c r="C23" s="368">
        <f t="shared" ref="C23:C25" si="200">C24*(1+O23)</f>
        <v>320.57880516479997</v>
      </c>
      <c r="D23" s="368">
        <f t="shared" ref="D23:D26" si="201">C23</f>
        <v>320.57880516479997</v>
      </c>
      <c r="E23" s="368">
        <f t="shared" ref="E23:E25" si="202">E24*(1+P23)</f>
        <v>615.96110553196797</v>
      </c>
      <c r="F23" s="368">
        <f t="shared" ref="F23:F25" si="203">F24*(1+Q23)</f>
        <v>279.46777300108801</v>
      </c>
      <c r="G23" s="3473"/>
      <c r="H23" s="369">
        <v>3</v>
      </c>
      <c r="I23" s="369">
        <v>2.98</v>
      </c>
      <c r="J23" s="369">
        <v>2.11</v>
      </c>
      <c r="K23" s="369">
        <v>3.24</v>
      </c>
      <c r="L23" s="397">
        <v>1.72</v>
      </c>
      <c r="M23" s="351"/>
      <c r="N23" s="395">
        <f t="shared" si="187"/>
        <v>2.98E-2</v>
      </c>
      <c r="O23" s="396">
        <f t="shared" ref="O23" si="204">J23/100</f>
        <v>2.1100000000000001E-2</v>
      </c>
      <c r="P23" s="396">
        <f t="shared" ref="P23" si="205">K23/100</f>
        <v>3.2399999999999998E-2</v>
      </c>
      <c r="Q23" s="396">
        <f t="shared" ref="Q23" si="206">L23/100</f>
        <v>1.72E-2</v>
      </c>
      <c r="R23" s="422"/>
      <c r="S23" s="395"/>
      <c r="T23" s="396"/>
      <c r="U23" s="396"/>
      <c r="V23" s="396"/>
      <c r="W23" s="351"/>
      <c r="X23" s="351">
        <f>ROUND(SUMPRODUCT(PRODUCT(1+N23:N$36)),4)</f>
        <v>1.4034</v>
      </c>
      <c r="Y23" s="351">
        <f>ROUND(SUMPRODUCT(PRODUCT(1+O23:O$36)),4)</f>
        <v>1.2463</v>
      </c>
      <c r="Z23" s="351">
        <f t="shared" si="0"/>
        <v>1.2463</v>
      </c>
      <c r="AA23" s="351">
        <f>ROUND(SUMPRODUCT(PRODUCT(1+P23:P$36)),4)</f>
        <v>1.4577</v>
      </c>
      <c r="AB23" s="351">
        <f>ROUND(SUMPRODUCT(PRODUCT(1+Q23:Q$36)),4)</f>
        <v>1.2136</v>
      </c>
      <c r="AC23" s="351"/>
      <c r="AD23" s="396">
        <f>ROUND(AVERAGE(I23:I$37)/100,4)</f>
        <v>2.4899999999999999E-2</v>
      </c>
      <c r="AE23" s="396">
        <f>ROUND(AVERAGE(J23:J$37)/100,4)</f>
        <v>1.6400000000000001E-2</v>
      </c>
      <c r="AF23" s="396">
        <f t="shared" si="1"/>
        <v>1.6400000000000001E-2</v>
      </c>
      <c r="AG23" s="396">
        <f>ROUND(AVERAGE(K23:K$37)/100,4)</f>
        <v>2.7799999999999998E-2</v>
      </c>
      <c r="AH23" s="396">
        <f>ROUND(AVERAGE(L23:L$37)/100,4)</f>
        <v>1.3899999999999999E-2</v>
      </c>
    </row>
    <row r="24" spans="1:34" s="346" customFormat="1" ht="14.45" customHeight="1">
      <c r="A24" s="367" t="s">
        <v>2445</v>
      </c>
      <c r="B24" s="368">
        <f t="shared" si="199"/>
        <v>419.31181600000002</v>
      </c>
      <c r="C24" s="368">
        <f t="shared" si="200"/>
        <v>313.95436799999999</v>
      </c>
      <c r="D24" s="368">
        <f t="shared" si="201"/>
        <v>313.95436799999999</v>
      </c>
      <c r="E24" s="368">
        <f t="shared" si="202"/>
        <v>596.63028431999999</v>
      </c>
      <c r="F24" s="368">
        <f t="shared" si="203"/>
        <v>274.74220703999998</v>
      </c>
      <c r="G24" s="3473"/>
      <c r="H24" s="373">
        <v>2</v>
      </c>
      <c r="I24" s="373">
        <v>3.4</v>
      </c>
      <c r="J24" s="373">
        <v>2</v>
      </c>
      <c r="K24" s="373">
        <v>3.82</v>
      </c>
      <c r="L24" s="399">
        <v>1.68</v>
      </c>
      <c r="M24" s="351"/>
      <c r="N24" s="395">
        <f t="shared" si="187"/>
        <v>3.4000000000000002E-2</v>
      </c>
      <c r="O24" s="396">
        <f t="shared" ref="O24" si="207">J24/100</f>
        <v>0.02</v>
      </c>
      <c r="P24" s="396">
        <f t="shared" ref="P24" si="208">K24/100</f>
        <v>3.8199999999999998E-2</v>
      </c>
      <c r="Q24" s="396">
        <f t="shared" ref="Q24" si="209">L24/100</f>
        <v>1.6799999999999999E-2</v>
      </c>
      <c r="R24" s="422"/>
      <c r="S24" s="423"/>
      <c r="T24" s="424"/>
      <c r="U24" s="424"/>
      <c r="V24" s="424"/>
      <c r="W24" s="343"/>
      <c r="X24" s="351">
        <f>ROUND(SUMPRODUCT(PRODUCT(1+N24:N$36)),4)</f>
        <v>1.3628</v>
      </c>
      <c r="Y24" s="351">
        <f>ROUND(SUMPRODUCT(PRODUCT(1+O24:O$36)),4)</f>
        <v>1.2205999999999999</v>
      </c>
      <c r="Z24" s="351">
        <f t="shared" si="0"/>
        <v>1.2205999999999999</v>
      </c>
      <c r="AA24" s="351">
        <f>ROUND(SUMPRODUCT(PRODUCT(1+P24:P$36)),4)</f>
        <v>1.4118999999999999</v>
      </c>
      <c r="AB24" s="351">
        <f>ROUND(SUMPRODUCT(PRODUCT(1+Q24:Q$36)),4)</f>
        <v>1.1930000000000001</v>
      </c>
      <c r="AC24" s="343"/>
      <c r="AD24" s="396">
        <f>ROUND(AVERAGE(I24:I$37)/100,4)</f>
        <v>2.46E-2</v>
      </c>
      <c r="AE24" s="396">
        <f>ROUND(AVERAGE(J24:J$37)/100,4)</f>
        <v>1.6E-2</v>
      </c>
      <c r="AF24" s="396">
        <f t="shared" si="1"/>
        <v>1.6E-2</v>
      </c>
      <c r="AG24" s="396">
        <f>ROUND(AVERAGE(K24:K$37)/100,4)</f>
        <v>2.75E-2</v>
      </c>
      <c r="AH24" s="396">
        <f>ROUND(AVERAGE(L24:L$37)/100,4)</f>
        <v>1.37E-2</v>
      </c>
    </row>
    <row r="25" spans="1:34" s="347" customFormat="1" ht="15" customHeight="1">
      <c r="A25" s="367" t="s">
        <v>2446</v>
      </c>
      <c r="B25" s="368">
        <f t="shared" si="199"/>
        <v>405.524</v>
      </c>
      <c r="C25" s="368">
        <f t="shared" si="200"/>
        <v>307.79840000000002</v>
      </c>
      <c r="D25" s="368">
        <f t="shared" si="201"/>
        <v>307.79840000000002</v>
      </c>
      <c r="E25" s="368">
        <f t="shared" si="202"/>
        <v>574.67759999999998</v>
      </c>
      <c r="F25" s="368">
        <f t="shared" si="203"/>
        <v>270.20280000000002</v>
      </c>
      <c r="G25" s="3474"/>
      <c r="H25" s="369">
        <v>1</v>
      </c>
      <c r="I25" s="369">
        <v>3.45</v>
      </c>
      <c r="J25" s="369">
        <v>1.92</v>
      </c>
      <c r="K25" s="369">
        <v>3.92</v>
      </c>
      <c r="L25" s="397">
        <v>1.58</v>
      </c>
      <c r="M25" s="351"/>
      <c r="N25" s="395">
        <f t="shared" si="187"/>
        <v>3.4500000000000003E-2</v>
      </c>
      <c r="O25" s="396">
        <f t="shared" ref="O25:Q40" si="210">J25/100</f>
        <v>1.9199999999999998E-2</v>
      </c>
      <c r="P25" s="396">
        <f t="shared" si="210"/>
        <v>3.9199999999999999E-2</v>
      </c>
      <c r="Q25" s="396">
        <f t="shared" si="210"/>
        <v>1.5800000000000002E-2</v>
      </c>
      <c r="R25" s="422"/>
      <c r="S25" s="395">
        <f>B25/B26-1</f>
        <v>3.4500000000000003E-2</v>
      </c>
      <c r="T25" s="396">
        <f t="shared" ref="T25:V25" si="211">C25/C26-1</f>
        <v>1.9200000000000099E-2</v>
      </c>
      <c r="U25" s="396">
        <f t="shared" si="211"/>
        <v>1.9200000000000099E-2</v>
      </c>
      <c r="V25" s="396">
        <f t="shared" si="211"/>
        <v>3.9199999999999902E-2</v>
      </c>
      <c r="W25" s="351"/>
      <c r="X25" s="351">
        <f>ROUND(SUMPRODUCT(PRODUCT(1+N25:N$36)),4)</f>
        <v>1.3180000000000001</v>
      </c>
      <c r="Y25" s="351">
        <f>ROUND(SUMPRODUCT(PRODUCT(1+O25:O$36)),4)</f>
        <v>1.1966000000000001</v>
      </c>
      <c r="Z25" s="351">
        <f t="shared" si="0"/>
        <v>1.1966000000000001</v>
      </c>
      <c r="AA25" s="351">
        <f>ROUND(SUMPRODUCT(PRODUCT(1+P25:P$36)),4)</f>
        <v>1.36</v>
      </c>
      <c r="AB25" s="351">
        <f>ROUND(SUMPRODUCT(PRODUCT(1+Q25:Q$36)),4)</f>
        <v>1.1733</v>
      </c>
      <c r="AC25" s="351"/>
      <c r="AD25" s="396">
        <f>ROUND(AVERAGE(I25:I$37)/100,4)</f>
        <v>2.3900000000000001E-2</v>
      </c>
      <c r="AE25" s="396">
        <f>ROUND(AVERAGE(J25:J$37)/100,4)</f>
        <v>1.5699999999999999E-2</v>
      </c>
      <c r="AF25" s="396">
        <f t="shared" si="1"/>
        <v>1.5699999999999999E-2</v>
      </c>
      <c r="AG25" s="396">
        <f>ROUND(AVERAGE(K25:K$37)/100,4)</f>
        <v>2.6599999999999999E-2</v>
      </c>
      <c r="AH25" s="396">
        <f>ROUND(AVERAGE(L25:L$37)/100,4)</f>
        <v>1.34E-2</v>
      </c>
    </row>
    <row r="26" spans="1:34">
      <c r="A26" s="367" t="s">
        <v>2447</v>
      </c>
      <c r="B26" s="371">
        <v>392</v>
      </c>
      <c r="C26" s="371">
        <v>302</v>
      </c>
      <c r="D26" s="371">
        <f t="shared" si="201"/>
        <v>302</v>
      </c>
      <c r="E26" s="371">
        <v>553</v>
      </c>
      <c r="F26" s="372">
        <v>266</v>
      </c>
      <c r="G26" s="3475">
        <v>2016</v>
      </c>
      <c r="H26" s="370">
        <v>4</v>
      </c>
      <c r="I26" s="370">
        <v>4.5599999999999996</v>
      </c>
      <c r="J26" s="370">
        <v>2.15</v>
      </c>
      <c r="K26" s="370">
        <v>5.32</v>
      </c>
      <c r="L26" s="398">
        <v>1.57</v>
      </c>
      <c r="N26" s="395">
        <f t="shared" si="187"/>
        <v>4.5600000000000002E-2</v>
      </c>
      <c r="O26" s="396">
        <f t="shared" si="210"/>
        <v>2.1499999999999998E-2</v>
      </c>
      <c r="P26" s="396">
        <f t="shared" si="210"/>
        <v>5.3199999999999997E-2</v>
      </c>
      <c r="Q26" s="396">
        <f t="shared" si="210"/>
        <v>1.5699999999999999E-2</v>
      </c>
      <c r="R26" s="422"/>
      <c r="S26" s="423"/>
      <c r="T26" s="424"/>
      <c r="U26" s="424"/>
      <c r="V26" s="424"/>
      <c r="X26" s="351">
        <f>ROUND(SUMPRODUCT(PRODUCT(1+N26:N$36)),4)</f>
        <v>1.274</v>
      </c>
      <c r="Y26" s="351">
        <f>ROUND(SUMPRODUCT(PRODUCT(1+O26:O$36)),4)</f>
        <v>1.1740999999999999</v>
      </c>
      <c r="Z26" s="351">
        <f t="shared" si="0"/>
        <v>1.1740999999999999</v>
      </c>
      <c r="AA26" s="351">
        <f>ROUND(SUMPRODUCT(PRODUCT(1+P26:P$36)),4)</f>
        <v>1.3087</v>
      </c>
      <c r="AB26" s="351">
        <f>ROUND(SUMPRODUCT(PRODUCT(1+Q26:Q$36)),4)</f>
        <v>1.1551</v>
      </c>
      <c r="AD26" s="396">
        <f>ROUND(AVERAGE(I26:I$37)/100,4)</f>
        <v>2.3E-2</v>
      </c>
      <c r="AE26" s="396">
        <f>ROUND(AVERAGE(J26:J$37)/100,4)</f>
        <v>1.55E-2</v>
      </c>
      <c r="AF26" s="396">
        <f t="shared" si="1"/>
        <v>1.55E-2</v>
      </c>
      <c r="AG26" s="396">
        <f>ROUND(AVERAGE(K26:K$37)/100,4)</f>
        <v>2.5600000000000001E-2</v>
      </c>
      <c r="AH26" s="396">
        <f>ROUND(AVERAGE(L26:L$37)/100,4)</f>
        <v>1.32E-2</v>
      </c>
    </row>
    <row r="27" spans="1:34">
      <c r="A27" s="367" t="s">
        <v>2448</v>
      </c>
      <c r="B27" s="368">
        <f t="shared" ref="B27:C29" si="212">B26/(1+N26)</f>
        <v>374.90436113236399</v>
      </c>
      <c r="C27" s="368">
        <f t="shared" si="212"/>
        <v>295.64366128242801</v>
      </c>
      <c r="D27" s="368">
        <f t="shared" ref="D27:D86" si="213">C27</f>
        <v>295.64366128242801</v>
      </c>
      <c r="E27" s="368">
        <f t="shared" ref="E27:F29" si="214">E26/(1+P26)</f>
        <v>525.06646410938095</v>
      </c>
      <c r="F27" s="368">
        <f t="shared" si="214"/>
        <v>261.88835286009601</v>
      </c>
      <c r="G27" s="3473"/>
      <c r="H27" s="369">
        <v>3</v>
      </c>
      <c r="I27" s="369">
        <v>4.12</v>
      </c>
      <c r="J27" s="369">
        <v>2</v>
      </c>
      <c r="K27" s="369">
        <v>4.79</v>
      </c>
      <c r="L27" s="397">
        <v>1.97</v>
      </c>
      <c r="N27" s="395">
        <f t="shared" ref="N27:Q61" si="215">I27/100</f>
        <v>4.1200000000000001E-2</v>
      </c>
      <c r="O27" s="396">
        <f t="shared" si="210"/>
        <v>0.02</v>
      </c>
      <c r="P27" s="396">
        <f t="shared" si="210"/>
        <v>4.7899999999999998E-2</v>
      </c>
      <c r="Q27" s="396">
        <f t="shared" si="210"/>
        <v>1.9699999999999999E-2</v>
      </c>
      <c r="R27" s="422"/>
      <c r="S27" s="395"/>
      <c r="T27" s="396"/>
      <c r="U27" s="396"/>
      <c r="V27" s="396"/>
      <c r="X27" s="351">
        <f>ROUND(SUMPRODUCT(PRODUCT(1+N27:N$36)),4)</f>
        <v>1.2184999999999999</v>
      </c>
      <c r="Y27" s="351">
        <f>ROUND(SUMPRODUCT(PRODUCT(1+O27:O$36)),4)</f>
        <v>1.1494</v>
      </c>
      <c r="Z27" s="351">
        <f t="shared" si="0"/>
        <v>1.1494</v>
      </c>
      <c r="AA27" s="351">
        <f>ROUND(SUMPRODUCT(PRODUCT(1+P27:P$36)),4)</f>
        <v>1.2425999999999999</v>
      </c>
      <c r="AB27" s="351">
        <f>ROUND(SUMPRODUCT(PRODUCT(1+Q27:Q$36)),4)</f>
        <v>1.1372</v>
      </c>
      <c r="AD27" s="396">
        <f>ROUND(AVERAGE(I27:I$37)/100,4)</f>
        <v>2.0899999999999998E-2</v>
      </c>
      <c r="AE27" s="396">
        <f>ROUND(AVERAGE(J27:J$37)/100,4)</f>
        <v>1.49E-2</v>
      </c>
      <c r="AF27" s="396">
        <f t="shared" si="1"/>
        <v>1.49E-2</v>
      </c>
      <c r="AG27" s="396">
        <f>ROUND(AVERAGE(K27:K$37)/100,4)</f>
        <v>2.3099999999999999E-2</v>
      </c>
      <c r="AH27" s="396">
        <f>ROUND(AVERAGE(L27:L$37)/100,4)</f>
        <v>1.2999999999999999E-2</v>
      </c>
    </row>
    <row r="28" spans="1:34">
      <c r="A28" s="367" t="s">
        <v>2449</v>
      </c>
      <c r="B28" s="368">
        <f t="shared" si="212"/>
        <v>360.06949782209398</v>
      </c>
      <c r="C28" s="368">
        <f t="shared" si="212"/>
        <v>289.84672674747799</v>
      </c>
      <c r="D28" s="368">
        <f t="shared" si="213"/>
        <v>289.84672674747799</v>
      </c>
      <c r="E28" s="368">
        <f t="shared" si="214"/>
        <v>501.06543001181501</v>
      </c>
      <c r="F28" s="368">
        <f t="shared" si="214"/>
        <v>256.82882500745001</v>
      </c>
      <c r="G28" s="3473"/>
      <c r="H28" s="373">
        <v>2</v>
      </c>
      <c r="I28" s="373">
        <v>3.85</v>
      </c>
      <c r="J28" s="373">
        <v>1.95</v>
      </c>
      <c r="K28" s="373">
        <v>4.4800000000000004</v>
      </c>
      <c r="L28" s="399">
        <v>1.41</v>
      </c>
      <c r="N28" s="395">
        <f t="shared" si="215"/>
        <v>3.85E-2</v>
      </c>
      <c r="O28" s="396">
        <f t="shared" si="210"/>
        <v>1.95E-2</v>
      </c>
      <c r="P28" s="396">
        <f t="shared" si="210"/>
        <v>4.48E-2</v>
      </c>
      <c r="Q28" s="396">
        <f t="shared" si="210"/>
        <v>1.41E-2</v>
      </c>
      <c r="R28" s="422"/>
      <c r="S28" s="395"/>
      <c r="T28" s="396"/>
      <c r="U28" s="396"/>
      <c r="V28" s="396"/>
      <c r="X28" s="351">
        <f>ROUND(SUMPRODUCT(PRODUCT(1+N28:N$36)),4)</f>
        <v>1.1702999999999999</v>
      </c>
      <c r="Y28" s="351">
        <f>ROUND(SUMPRODUCT(PRODUCT(1+O28:O$36)),4)</f>
        <v>1.1269</v>
      </c>
      <c r="Z28" s="351">
        <f t="shared" si="0"/>
        <v>1.1269</v>
      </c>
      <c r="AA28" s="351">
        <f>ROUND(SUMPRODUCT(PRODUCT(1+P28:P$36)),4)</f>
        <v>1.1858</v>
      </c>
      <c r="AB28" s="351">
        <f>ROUND(SUMPRODUCT(PRODUCT(1+Q28:Q$36)),4)</f>
        <v>1.1152</v>
      </c>
      <c r="AD28" s="396">
        <f>ROUND(AVERAGE(I28:I$37)/100,4)</f>
        <v>1.89E-2</v>
      </c>
      <c r="AE28" s="396">
        <f>ROUND(AVERAGE(J28:J$37)/100,4)</f>
        <v>1.44E-2</v>
      </c>
      <c r="AF28" s="396">
        <f t="shared" si="1"/>
        <v>1.44E-2</v>
      </c>
      <c r="AG28" s="396">
        <f>ROUND(AVERAGE(K28:K$37)/100,4)</f>
        <v>2.06E-2</v>
      </c>
      <c r="AH28" s="396">
        <f>ROUND(AVERAGE(L28:L$37)/100,4)</f>
        <v>1.23E-2</v>
      </c>
    </row>
    <row r="29" spans="1:34">
      <c r="A29" s="367" t="s">
        <v>2450</v>
      </c>
      <c r="B29" s="368">
        <f t="shared" si="212"/>
        <v>346.720748986128</v>
      </c>
      <c r="C29" s="368">
        <f t="shared" si="212"/>
        <v>284.30282172386302</v>
      </c>
      <c r="D29" s="368">
        <f t="shared" si="213"/>
        <v>284.30282172386302</v>
      </c>
      <c r="E29" s="368">
        <f t="shared" si="214"/>
        <v>479.58023546306902</v>
      </c>
      <c r="F29" s="368">
        <f t="shared" si="214"/>
        <v>253.25788877571199</v>
      </c>
      <c r="G29" s="3476"/>
      <c r="H29" s="369">
        <v>1</v>
      </c>
      <c r="I29" s="369">
        <v>4.09</v>
      </c>
      <c r="J29" s="369">
        <v>2.93</v>
      </c>
      <c r="K29" s="369">
        <v>4.54</v>
      </c>
      <c r="L29" s="397">
        <v>1.48</v>
      </c>
      <c r="N29" s="395">
        <f t="shared" si="215"/>
        <v>4.0899999999999999E-2</v>
      </c>
      <c r="O29" s="396">
        <f t="shared" si="210"/>
        <v>2.93E-2</v>
      </c>
      <c r="P29" s="396">
        <f t="shared" si="210"/>
        <v>4.5400000000000003E-2</v>
      </c>
      <c r="Q29" s="396">
        <f t="shared" si="210"/>
        <v>1.4800000000000001E-2</v>
      </c>
      <c r="R29" s="422"/>
      <c r="S29" s="404">
        <f>B29/B30-1</f>
        <v>4.1203450408792801E-2</v>
      </c>
      <c r="T29" s="405">
        <f>C29/C30-1</f>
        <v>2.6363977342465102E-2</v>
      </c>
      <c r="U29" s="405">
        <f>E29/E30-1</f>
        <v>4.4837114298626399E-2</v>
      </c>
      <c r="V29" s="405">
        <f>F29/F30-1</f>
        <v>1.7099954922538602E-2</v>
      </c>
      <c r="X29" s="351">
        <f>ROUND(SUMPRODUCT(PRODUCT(1+N29:N$36)),4)</f>
        <v>1.1269</v>
      </c>
      <c r="Y29" s="351">
        <f>ROUND(SUMPRODUCT(PRODUCT(1+O29:O$36)),4)</f>
        <v>1.1052999999999999</v>
      </c>
      <c r="Z29" s="351">
        <f t="shared" si="0"/>
        <v>1.1052999999999999</v>
      </c>
      <c r="AA29" s="351">
        <f>ROUND(SUMPRODUCT(PRODUCT(1+P29:P$36)),4)</f>
        <v>1.1349</v>
      </c>
      <c r="AB29" s="351">
        <f>ROUND(SUMPRODUCT(PRODUCT(1+Q29:Q$36)),4)</f>
        <v>1.0996999999999999</v>
      </c>
      <c r="AD29" s="396">
        <f>ROUND(AVERAGE(I29:I$37)/100,4)</f>
        <v>1.67E-2</v>
      </c>
      <c r="AE29" s="396">
        <f>ROUND(AVERAGE(J29:J$37)/100,4)</f>
        <v>1.38E-2</v>
      </c>
      <c r="AF29" s="396">
        <f t="shared" si="1"/>
        <v>1.38E-2</v>
      </c>
      <c r="AG29" s="396">
        <f>ROUND(AVERAGE(K29:K$37)/100,4)</f>
        <v>1.7899999999999999E-2</v>
      </c>
      <c r="AH29" s="396">
        <f>ROUND(AVERAGE(L29:L$37)/100,4)</f>
        <v>1.21E-2</v>
      </c>
    </row>
    <row r="30" spans="1:34">
      <c r="A30" s="367" t="s">
        <v>2451</v>
      </c>
      <c r="B30" s="371">
        <v>333</v>
      </c>
      <c r="C30" s="371">
        <v>277</v>
      </c>
      <c r="D30" s="371">
        <f t="shared" si="213"/>
        <v>277</v>
      </c>
      <c r="E30" s="371">
        <v>459</v>
      </c>
      <c r="F30" s="372">
        <v>249</v>
      </c>
      <c r="G30" s="3477">
        <v>2015</v>
      </c>
      <c r="H30" s="374">
        <v>4</v>
      </c>
      <c r="I30" s="374">
        <v>1.63</v>
      </c>
      <c r="J30" s="374">
        <v>1.1100000000000001</v>
      </c>
      <c r="K30" s="374">
        <v>1.77</v>
      </c>
      <c r="L30" s="400">
        <v>1.89</v>
      </c>
      <c r="N30" s="401">
        <f t="shared" si="215"/>
        <v>1.6299999999999999E-2</v>
      </c>
      <c r="O30" s="402">
        <f t="shared" si="210"/>
        <v>1.11E-2</v>
      </c>
      <c r="P30" s="402">
        <f t="shared" si="210"/>
        <v>1.77E-2</v>
      </c>
      <c r="Q30" s="402">
        <f t="shared" si="210"/>
        <v>1.89E-2</v>
      </c>
      <c r="R30" s="422"/>
      <c r="X30" s="351">
        <f>ROUND(SUMPRODUCT(PRODUCT(1+N30:N$36)),4)</f>
        <v>1.0826</v>
      </c>
      <c r="Y30" s="351">
        <f>ROUND(SUMPRODUCT(PRODUCT(1+O30:O$36)),4)</f>
        <v>1.0738000000000001</v>
      </c>
      <c r="Z30" s="351">
        <f t="shared" si="0"/>
        <v>1.0738000000000001</v>
      </c>
      <c r="AA30" s="351">
        <f>ROUND(SUMPRODUCT(PRODUCT(1+P30:P$36)),4)</f>
        <v>1.0855999999999999</v>
      </c>
      <c r="AB30" s="351">
        <f>ROUND(SUMPRODUCT(PRODUCT(1+Q30:Q$36)),4)</f>
        <v>1.0837000000000001</v>
      </c>
      <c r="AD30" s="396">
        <f>ROUND(AVERAGE(I30:I$37)/100,4)</f>
        <v>1.37E-2</v>
      </c>
      <c r="AE30" s="396">
        <f>ROUND(AVERAGE(J30:J$37)/100,4)</f>
        <v>1.1900000000000001E-2</v>
      </c>
      <c r="AF30" s="396">
        <f t="shared" si="1"/>
        <v>1.1900000000000001E-2</v>
      </c>
      <c r="AG30" s="396">
        <f>ROUND(AVERAGE(K30:K$37)/100,4)</f>
        <v>1.4500000000000001E-2</v>
      </c>
      <c r="AH30" s="396">
        <f>ROUND(AVERAGE(L30:L$37)/100,4)</f>
        <v>1.18E-2</v>
      </c>
    </row>
    <row r="31" spans="1:34">
      <c r="A31" s="367" t="s">
        <v>2452</v>
      </c>
      <c r="B31" s="368">
        <f t="shared" ref="B31:C33" si="216">B30/(1+N30)</f>
        <v>327.65915576109398</v>
      </c>
      <c r="C31" s="368">
        <f t="shared" si="216"/>
        <v>273.959054495104</v>
      </c>
      <c r="D31" s="368">
        <f t="shared" si="213"/>
        <v>273.959054495104</v>
      </c>
      <c r="E31" s="368">
        <f t="shared" ref="E31:F33" si="217">E30/(1+P30)</f>
        <v>451.01699911565299</v>
      </c>
      <c r="F31" s="368">
        <f t="shared" si="217"/>
        <v>244.381195406811</v>
      </c>
      <c r="G31" s="3473"/>
      <c r="H31" s="375">
        <v>3</v>
      </c>
      <c r="I31" s="375">
        <v>1.65</v>
      </c>
      <c r="J31" s="375">
        <v>0.92</v>
      </c>
      <c r="K31" s="375">
        <v>1.88</v>
      </c>
      <c r="L31" s="403">
        <v>1.26</v>
      </c>
      <c r="N31" s="395">
        <f t="shared" si="215"/>
        <v>1.6500000000000001E-2</v>
      </c>
      <c r="O31" s="396">
        <f t="shared" si="210"/>
        <v>9.1999999999999998E-3</v>
      </c>
      <c r="P31" s="396">
        <f t="shared" si="210"/>
        <v>1.8800000000000001E-2</v>
      </c>
      <c r="Q31" s="396">
        <f t="shared" si="210"/>
        <v>1.26E-2</v>
      </c>
      <c r="R31" s="422"/>
      <c r="S31" s="395"/>
      <c r="T31" s="396"/>
      <c r="U31" s="396"/>
      <c r="V31" s="396"/>
      <c r="X31" s="351">
        <f>ROUND(SUMPRODUCT(PRODUCT(1+N31:N$36)),4)</f>
        <v>1.0651999999999999</v>
      </c>
      <c r="Y31" s="351">
        <f>ROUND(SUMPRODUCT(PRODUCT(1+O31:O$36)),4)</f>
        <v>1.0621</v>
      </c>
      <c r="Z31" s="351">
        <f t="shared" si="0"/>
        <v>1.0621</v>
      </c>
      <c r="AA31" s="351">
        <f>ROUND(SUMPRODUCT(PRODUCT(1+P31:P$36)),4)</f>
        <v>1.0668</v>
      </c>
      <c r="AB31" s="351">
        <f>ROUND(SUMPRODUCT(PRODUCT(1+Q31:Q$36)),4)</f>
        <v>1.0636000000000001</v>
      </c>
      <c r="AD31" s="396">
        <f>ROUND(AVERAGE(I31:I$37)/100,4)</f>
        <v>1.3299999999999999E-2</v>
      </c>
      <c r="AE31" s="396">
        <f>ROUND(AVERAGE(J31:J$37)/100,4)</f>
        <v>1.2E-2</v>
      </c>
      <c r="AF31" s="396">
        <f t="shared" si="1"/>
        <v>1.2E-2</v>
      </c>
      <c r="AG31" s="396">
        <f>ROUND(AVERAGE(K31:K$37)/100,4)</f>
        <v>1.4E-2</v>
      </c>
      <c r="AH31" s="396">
        <f>ROUND(AVERAGE(L31:L$37)/100,4)</f>
        <v>1.0800000000000001E-2</v>
      </c>
    </row>
    <row r="32" spans="1:34">
      <c r="A32" s="367" t="s">
        <v>2453</v>
      </c>
      <c r="B32" s="368">
        <f t="shared" si="216"/>
        <v>322.34053690220799</v>
      </c>
      <c r="C32" s="368">
        <f t="shared" si="216"/>
        <v>271.461607704225</v>
      </c>
      <c r="D32" s="368">
        <f t="shared" si="213"/>
        <v>271.461607704225</v>
      </c>
      <c r="E32" s="368">
        <f t="shared" si="217"/>
        <v>442.69434542172502</v>
      </c>
      <c r="F32" s="368">
        <f t="shared" si="217"/>
        <v>241.34030753190899</v>
      </c>
      <c r="G32" s="3473"/>
      <c r="H32" s="373">
        <v>2</v>
      </c>
      <c r="I32" s="373">
        <v>0.77</v>
      </c>
      <c r="J32" s="373">
        <v>0.69</v>
      </c>
      <c r="K32" s="373">
        <v>0.8</v>
      </c>
      <c r="L32" s="399">
        <v>0.88</v>
      </c>
      <c r="N32" s="395">
        <f t="shared" si="215"/>
        <v>7.7000000000000002E-3</v>
      </c>
      <c r="O32" s="396">
        <f t="shared" si="210"/>
        <v>6.8999999999999999E-3</v>
      </c>
      <c r="P32" s="396">
        <f t="shared" si="210"/>
        <v>8.0000000000000002E-3</v>
      </c>
      <c r="Q32" s="396">
        <f t="shared" si="210"/>
        <v>8.8000000000000005E-3</v>
      </c>
      <c r="R32" s="422"/>
      <c r="S32" s="395"/>
      <c r="T32" s="396"/>
      <c r="U32" s="396"/>
      <c r="V32" s="396"/>
      <c r="X32" s="351">
        <f>ROUND(SUMPRODUCT(PRODUCT(1+N32:N$36)),4)</f>
        <v>1.048</v>
      </c>
      <c r="Y32" s="351">
        <f>ROUND(SUMPRODUCT(PRODUCT(1+O32:O$36)),4)</f>
        <v>1.0524</v>
      </c>
      <c r="Z32" s="351">
        <f t="shared" si="0"/>
        <v>1.0524</v>
      </c>
      <c r="AA32" s="351">
        <f>ROUND(SUMPRODUCT(PRODUCT(1+P32:P$36)),4)</f>
        <v>1.0470999999999999</v>
      </c>
      <c r="AB32" s="351">
        <f>ROUND(SUMPRODUCT(PRODUCT(1+Q32:Q$36)),4)</f>
        <v>1.0504</v>
      </c>
      <c r="AD32" s="396">
        <f>ROUND(AVERAGE(I32:I$37)/100,4)</f>
        <v>1.2800000000000001E-2</v>
      </c>
      <c r="AE32" s="396">
        <f>ROUND(AVERAGE(J32:J$37)/100,4)</f>
        <v>1.2500000000000001E-2</v>
      </c>
      <c r="AF32" s="396">
        <f t="shared" si="1"/>
        <v>1.2500000000000001E-2</v>
      </c>
      <c r="AG32" s="396">
        <f>ROUND(AVERAGE(K32:K$37)/100,4)</f>
        <v>1.32E-2</v>
      </c>
      <c r="AH32" s="396">
        <f>ROUND(AVERAGE(L32:L$37)/100,4)</f>
        <v>1.0500000000000001E-2</v>
      </c>
    </row>
    <row r="33" spans="1:34">
      <c r="A33" s="367" t="s">
        <v>2454</v>
      </c>
      <c r="B33" s="368">
        <f t="shared" si="216"/>
        <v>319.87748030386803</v>
      </c>
      <c r="C33" s="368">
        <f t="shared" si="216"/>
        <v>269.60135833173598</v>
      </c>
      <c r="D33" s="368">
        <f t="shared" si="213"/>
        <v>269.60135833173598</v>
      </c>
      <c r="E33" s="368">
        <f t="shared" si="217"/>
        <v>439.18089823583801</v>
      </c>
      <c r="F33" s="368">
        <f t="shared" si="217"/>
        <v>239.23503918706299</v>
      </c>
      <c r="G33" s="3476"/>
      <c r="H33" s="369">
        <v>1</v>
      </c>
      <c r="I33" s="369">
        <v>0.51</v>
      </c>
      <c r="J33" s="369">
        <v>0.54</v>
      </c>
      <c r="K33" s="369">
        <v>0.48</v>
      </c>
      <c r="L33" s="397">
        <v>0.93</v>
      </c>
      <c r="N33" s="404">
        <f t="shared" si="215"/>
        <v>5.1000000000000004E-3</v>
      </c>
      <c r="O33" s="405">
        <f t="shared" si="210"/>
        <v>5.4000000000000003E-3</v>
      </c>
      <c r="P33" s="405">
        <f t="shared" si="210"/>
        <v>4.7999999999999996E-3</v>
      </c>
      <c r="Q33" s="405">
        <f t="shared" si="210"/>
        <v>9.2999999999999992E-3</v>
      </c>
      <c r="R33" s="422"/>
      <c r="S33" s="404">
        <f>B33/B34-1</f>
        <v>5.9040261127922796E-3</v>
      </c>
      <c r="T33" s="405">
        <f>C33/C34-1</f>
        <v>5.9752176557332799E-3</v>
      </c>
      <c r="U33" s="405">
        <f>E33/E34-1</f>
        <v>4.9906138119859599E-3</v>
      </c>
      <c r="V33" s="405">
        <f>F33/F34-1</f>
        <v>9.4305450930933805E-3</v>
      </c>
      <c r="X33" s="351">
        <f>ROUND(SUMPRODUCT(PRODUCT(1+N33:N$36)),4)</f>
        <v>1.0399</v>
      </c>
      <c r="Y33" s="351">
        <f>ROUND(SUMPRODUCT(PRODUCT(1+O33:O$36)),4)</f>
        <v>1.0451999999999999</v>
      </c>
      <c r="Z33" s="351">
        <f t="shared" si="0"/>
        <v>1.0451999999999999</v>
      </c>
      <c r="AA33" s="351">
        <f>ROUND(SUMPRODUCT(PRODUCT(1+P33:P$36)),4)</f>
        <v>1.0387999999999999</v>
      </c>
      <c r="AB33" s="351">
        <f>ROUND(SUMPRODUCT(PRODUCT(1+Q33:Q$36)),4)</f>
        <v>1.0411999999999999</v>
      </c>
      <c r="AD33" s="396">
        <f>ROUND(AVERAGE(I33:I$37)/100,4)</f>
        <v>1.38E-2</v>
      </c>
      <c r="AE33" s="396">
        <f>ROUND(AVERAGE(J33:J$37)/100,4)</f>
        <v>1.3599999999999999E-2</v>
      </c>
      <c r="AF33" s="396">
        <f t="shared" si="1"/>
        <v>1.3599999999999999E-2</v>
      </c>
      <c r="AG33" s="396">
        <f>ROUND(AVERAGE(K33:K$37)/100,4)</f>
        <v>1.4200000000000001E-2</v>
      </c>
      <c r="AH33" s="396">
        <f>ROUND(AVERAGE(L33:L$37)/100,4)</f>
        <v>1.0800000000000001E-2</v>
      </c>
    </row>
    <row r="34" spans="1:34">
      <c r="A34" s="367" t="s">
        <v>2455</v>
      </c>
      <c r="B34" s="376">
        <v>318</v>
      </c>
      <c r="C34" s="376">
        <v>268</v>
      </c>
      <c r="D34" s="376">
        <f t="shared" si="213"/>
        <v>268</v>
      </c>
      <c r="E34" s="376">
        <v>437</v>
      </c>
      <c r="F34" s="377">
        <v>237</v>
      </c>
      <c r="G34" s="3477">
        <v>2014</v>
      </c>
      <c r="H34" s="374">
        <v>4</v>
      </c>
      <c r="I34" s="374">
        <v>0.21</v>
      </c>
      <c r="J34" s="374">
        <v>0.41</v>
      </c>
      <c r="K34" s="374">
        <v>0.12</v>
      </c>
      <c r="L34" s="400">
        <v>0.89</v>
      </c>
      <c r="N34" s="395">
        <f t="shared" si="215"/>
        <v>2.0999999999999999E-3</v>
      </c>
      <c r="O34" s="396">
        <f t="shared" si="210"/>
        <v>4.1000000000000003E-3</v>
      </c>
      <c r="P34" s="396">
        <f t="shared" si="210"/>
        <v>1.1999999999999999E-3</v>
      </c>
      <c r="Q34" s="396">
        <f t="shared" si="210"/>
        <v>8.8999999999999999E-3</v>
      </c>
      <c r="R34" s="422"/>
      <c r="S34" s="423"/>
      <c r="T34" s="424"/>
      <c r="U34" s="424"/>
      <c r="V34" s="424"/>
      <c r="X34" s="351">
        <f>ROUND(SUMPRODUCT(PRODUCT(1+N34:N$36)),4)</f>
        <v>1.0347</v>
      </c>
      <c r="Y34" s="351">
        <f>ROUND(SUMPRODUCT(PRODUCT(1+O34:O$36)),4)</f>
        <v>1.0395000000000001</v>
      </c>
      <c r="Z34" s="351">
        <f t="shared" si="0"/>
        <v>1.0395000000000001</v>
      </c>
      <c r="AA34" s="351">
        <f>ROUND(SUMPRODUCT(PRODUCT(1+P34:P$36)),4)</f>
        <v>1.0338000000000001</v>
      </c>
      <c r="AB34" s="351">
        <f>ROUND(SUMPRODUCT(PRODUCT(1+Q34:Q$36)),4)</f>
        <v>1.0316000000000001</v>
      </c>
      <c r="AD34" s="396">
        <f>ROUND(AVERAGE(I34:I$37)/100,4)</f>
        <v>1.6E-2</v>
      </c>
      <c r="AE34" s="396">
        <f>ROUND(AVERAGE(J34:J$37)/100,4)</f>
        <v>1.5599999999999999E-2</v>
      </c>
      <c r="AF34" s="396">
        <f t="shared" si="1"/>
        <v>1.5599999999999999E-2</v>
      </c>
      <c r="AG34" s="396">
        <f>ROUND(AVERAGE(K34:K$37)/100,4)</f>
        <v>1.66E-2</v>
      </c>
      <c r="AH34" s="396">
        <f>ROUND(AVERAGE(L34:L$37)/100,4)</f>
        <v>1.12E-2</v>
      </c>
    </row>
    <row r="35" spans="1:34">
      <c r="A35" s="367" t="s">
        <v>2456</v>
      </c>
      <c r="B35" s="368">
        <f t="shared" ref="B35:C37" si="218">B34/(1+N34)</f>
        <v>317.33359944117399</v>
      </c>
      <c r="C35" s="368">
        <f t="shared" si="218"/>
        <v>266.90568668459298</v>
      </c>
      <c r="D35" s="368">
        <f t="shared" si="213"/>
        <v>266.90568668459298</v>
      </c>
      <c r="E35" s="368">
        <f t="shared" ref="E35:F37" si="219">E34/(1+P34)</f>
        <v>436.47622852576899</v>
      </c>
      <c r="F35" s="368">
        <f t="shared" si="219"/>
        <v>234.909307166221</v>
      </c>
      <c r="G35" s="3473"/>
      <c r="H35" s="378">
        <v>3</v>
      </c>
      <c r="I35" s="378">
        <v>0.83</v>
      </c>
      <c r="J35" s="378">
        <v>1.47</v>
      </c>
      <c r="K35" s="378">
        <v>0.65</v>
      </c>
      <c r="L35" s="406">
        <v>0.72</v>
      </c>
      <c r="N35" s="395">
        <f t="shared" si="215"/>
        <v>8.3000000000000001E-3</v>
      </c>
      <c r="O35" s="396">
        <f t="shared" si="210"/>
        <v>1.47E-2</v>
      </c>
      <c r="P35" s="396">
        <f t="shared" si="210"/>
        <v>6.4999999999999997E-3</v>
      </c>
      <c r="Q35" s="396">
        <f t="shared" si="210"/>
        <v>7.1999999999999998E-3</v>
      </c>
      <c r="R35" s="422"/>
      <c r="S35" s="395"/>
      <c r="T35" s="396"/>
      <c r="U35" s="396"/>
      <c r="V35" s="396"/>
      <c r="X35" s="351">
        <f>ROUND(SUMPRODUCT(PRODUCT(1+N35:N$36)),4)</f>
        <v>1.0325</v>
      </c>
      <c r="Y35" s="351">
        <f>ROUND(SUMPRODUCT(PRODUCT(1+O35:O$36)),4)</f>
        <v>1.0353000000000001</v>
      </c>
      <c r="Z35" s="351">
        <f t="shared" ref="Z35:Z36" si="220">Y35</f>
        <v>1.0353000000000001</v>
      </c>
      <c r="AA35" s="351">
        <f>ROUND(SUMPRODUCT(PRODUCT(1+P35:P$36)),4)</f>
        <v>1.0326</v>
      </c>
      <c r="AB35" s="351">
        <f>ROUND(SUMPRODUCT(PRODUCT(1+Q35:Q$36)),4)</f>
        <v>1.0225</v>
      </c>
      <c r="AD35" s="396">
        <f>ROUND(AVERAGE(I35:I$37)/100,4)</f>
        <v>2.07E-2</v>
      </c>
      <c r="AE35" s="396">
        <f>ROUND(AVERAGE(J35:J$37)/100,4)</f>
        <v>1.95E-2</v>
      </c>
      <c r="AF35" s="396">
        <f t="shared" si="1"/>
        <v>1.95E-2</v>
      </c>
      <c r="AG35" s="396">
        <f>ROUND(AVERAGE(K35:K$37)/100,4)</f>
        <v>2.1700000000000001E-2</v>
      </c>
      <c r="AH35" s="396">
        <f>ROUND(AVERAGE(L35:L$37)/100,4)</f>
        <v>1.2E-2</v>
      </c>
    </row>
    <row r="36" spans="1:34">
      <c r="A36" s="367" t="s">
        <v>2457</v>
      </c>
      <c r="B36" s="368">
        <f t="shared" si="218"/>
        <v>314.721411723865</v>
      </c>
      <c r="C36" s="368">
        <f t="shared" si="218"/>
        <v>263.03901319069001</v>
      </c>
      <c r="D36" s="368">
        <f t="shared" si="213"/>
        <v>263.03901319069001</v>
      </c>
      <c r="E36" s="368">
        <f t="shared" si="219"/>
        <v>433.65745506782798</v>
      </c>
      <c r="F36" s="368">
        <f t="shared" si="219"/>
        <v>233.23005080045701</v>
      </c>
      <c r="G36" s="3473"/>
      <c r="H36" s="374">
        <v>2</v>
      </c>
      <c r="I36" s="374">
        <v>2.4</v>
      </c>
      <c r="J36" s="374">
        <v>2.0299999999999998</v>
      </c>
      <c r="K36" s="374">
        <v>2.59</v>
      </c>
      <c r="L36" s="400">
        <v>1.52</v>
      </c>
      <c r="N36" s="395">
        <f t="shared" si="215"/>
        <v>2.4E-2</v>
      </c>
      <c r="O36" s="396">
        <f t="shared" si="210"/>
        <v>2.0299999999999999E-2</v>
      </c>
      <c r="P36" s="396">
        <f t="shared" si="210"/>
        <v>2.5899999999999999E-2</v>
      </c>
      <c r="Q36" s="396">
        <f t="shared" si="210"/>
        <v>1.52E-2</v>
      </c>
      <c r="R36" s="422"/>
      <c r="S36" s="395"/>
      <c r="T36" s="396"/>
      <c r="U36" s="396"/>
      <c r="V36" s="396"/>
      <c r="X36" s="351">
        <f>1+N36</f>
        <v>1.024</v>
      </c>
      <c r="Y36" s="351">
        <f>1+O36</f>
        <v>1.0203</v>
      </c>
      <c r="Z36" s="351">
        <f t="shared" si="220"/>
        <v>1.0203</v>
      </c>
      <c r="AA36" s="351">
        <f>1+P36</f>
        <v>1.0259</v>
      </c>
      <c r="AB36" s="351">
        <f>1+Q36</f>
        <v>1.0152000000000001</v>
      </c>
      <c r="AD36" s="396">
        <f>ROUND(AVERAGE(I36:I$37)/100,4)</f>
        <v>2.69E-2</v>
      </c>
      <c r="AE36" s="396">
        <f>ROUND(AVERAGE(J36:J$37)/100,4)</f>
        <v>2.1899999999999999E-2</v>
      </c>
      <c r="AF36" s="396">
        <f t="shared" ref="AF36:AF37" si="221">AE36</f>
        <v>2.1899999999999999E-2</v>
      </c>
      <c r="AG36" s="396">
        <f>ROUND(AVERAGE(K36:K$37)/100,4)</f>
        <v>2.9399999999999999E-2</v>
      </c>
      <c r="AH36" s="396">
        <f>ROUND(AVERAGE(L36:L$37)/100,4)</f>
        <v>1.44E-2</v>
      </c>
    </row>
    <row r="37" spans="1:34" s="348" customFormat="1">
      <c r="A37" s="379" t="s">
        <v>2458</v>
      </c>
      <c r="B37" s="380">
        <f t="shared" si="218"/>
        <v>307.34512863658699</v>
      </c>
      <c r="C37" s="380">
        <f t="shared" si="218"/>
        <v>257.80556031626998</v>
      </c>
      <c r="D37" s="380">
        <f t="shared" si="213"/>
        <v>257.80556031626998</v>
      </c>
      <c r="E37" s="380">
        <f t="shared" si="219"/>
        <v>422.70928459677202</v>
      </c>
      <c r="F37" s="380">
        <f t="shared" si="219"/>
        <v>229.738032703366</v>
      </c>
      <c r="G37" s="3476"/>
      <c r="H37" s="381">
        <v>1</v>
      </c>
      <c r="I37" s="381">
        <v>2.97</v>
      </c>
      <c r="J37" s="381">
        <v>2.34</v>
      </c>
      <c r="K37" s="381">
        <v>3.28</v>
      </c>
      <c r="L37" s="407">
        <v>1.36</v>
      </c>
      <c r="N37" s="408">
        <f t="shared" si="215"/>
        <v>2.9700000000000001E-2</v>
      </c>
      <c r="O37" s="409">
        <f t="shared" si="210"/>
        <v>2.3400000000000001E-2</v>
      </c>
      <c r="P37" s="409">
        <f t="shared" si="210"/>
        <v>3.2800000000000003E-2</v>
      </c>
      <c r="Q37" s="409">
        <f t="shared" si="210"/>
        <v>1.3599999999999999E-2</v>
      </c>
      <c r="R37" s="425"/>
      <c r="S37" s="426">
        <f>B37/B38-1</f>
        <v>2.7910129219355501E-2</v>
      </c>
      <c r="T37" s="427">
        <f>C37/C38-1</f>
        <v>2.3037937762975198E-2</v>
      </c>
      <c r="U37" s="427">
        <f>E37/E38-1</f>
        <v>3.3519033243940802E-2</v>
      </c>
      <c r="V37" s="427">
        <f>F37/F38-1</f>
        <v>1.20618180765029E-2</v>
      </c>
      <c r="W37" s="428" t="s">
        <v>2459</v>
      </c>
      <c r="X37" s="348">
        <v>1</v>
      </c>
      <c r="Y37" s="348">
        <v>1</v>
      </c>
      <c r="Z37" s="348">
        <v>1</v>
      </c>
      <c r="AA37" s="348">
        <v>1</v>
      </c>
      <c r="AB37" s="348">
        <v>1</v>
      </c>
      <c r="AD37" s="409">
        <f>I37/100</f>
        <v>2.9700000000000001E-2</v>
      </c>
      <c r="AE37" s="409">
        <f>J37/100</f>
        <v>2.3400000000000001E-2</v>
      </c>
      <c r="AF37" s="409">
        <f t="shared" si="221"/>
        <v>2.3400000000000001E-2</v>
      </c>
      <c r="AG37" s="409">
        <f>K37/100</f>
        <v>3.2800000000000003E-2</v>
      </c>
      <c r="AH37" s="409">
        <f>L37/100</f>
        <v>1.3599999999999999E-2</v>
      </c>
    </row>
    <row r="38" spans="1:34">
      <c r="A38" s="367" t="s">
        <v>2460</v>
      </c>
      <c r="B38" s="371">
        <v>299</v>
      </c>
      <c r="C38" s="371">
        <v>252</v>
      </c>
      <c r="D38" s="371">
        <f t="shared" si="213"/>
        <v>252</v>
      </c>
      <c r="E38" s="371">
        <v>409</v>
      </c>
      <c r="F38" s="372">
        <v>227</v>
      </c>
      <c r="G38" s="3478">
        <v>2013</v>
      </c>
      <c r="H38" s="382">
        <v>4</v>
      </c>
      <c r="I38" s="382">
        <v>1.83</v>
      </c>
      <c r="J38" s="382">
        <v>1.68</v>
      </c>
      <c r="K38" s="382">
        <v>1.97</v>
      </c>
      <c r="L38" s="410">
        <v>0.87</v>
      </c>
      <c r="N38" s="401">
        <f t="shared" si="215"/>
        <v>1.83E-2</v>
      </c>
      <c r="O38" s="402">
        <f t="shared" si="210"/>
        <v>1.6799999999999999E-2</v>
      </c>
      <c r="P38" s="402">
        <f t="shared" si="210"/>
        <v>1.9699999999999999E-2</v>
      </c>
      <c r="Q38" s="402">
        <f t="shared" si="210"/>
        <v>8.6999999999999994E-3</v>
      </c>
      <c r="R38" s="422"/>
      <c r="S38" s="423"/>
      <c r="T38" s="424"/>
      <c r="U38" s="424"/>
      <c r="V38" s="424"/>
      <c r="X38" s="424"/>
      <c r="Y38" s="424"/>
      <c r="Z38" s="424"/>
    </row>
    <row r="39" spans="1:34">
      <c r="A39" s="367" t="s">
        <v>2461</v>
      </c>
      <c r="B39" s="368">
        <f t="shared" ref="B39:C41" si="222">B38/(1+N38)</f>
        <v>293.62663262299901</v>
      </c>
      <c r="C39" s="368">
        <f t="shared" si="222"/>
        <v>247.836349331235</v>
      </c>
      <c r="D39" s="368">
        <f t="shared" si="213"/>
        <v>247.836349331235</v>
      </c>
      <c r="E39" s="368">
        <f t="shared" ref="E39:F41" si="223">E38/(1+P38)</f>
        <v>401.09836226341099</v>
      </c>
      <c r="F39" s="368">
        <f t="shared" si="223"/>
        <v>225.04213343908</v>
      </c>
      <c r="G39" s="3479"/>
      <c r="H39" s="375">
        <v>3</v>
      </c>
      <c r="I39" s="375">
        <v>1.86</v>
      </c>
      <c r="J39" s="375">
        <v>1.72</v>
      </c>
      <c r="K39" s="375">
        <v>1.98</v>
      </c>
      <c r="L39" s="403">
        <v>0.88</v>
      </c>
      <c r="N39" s="395">
        <f t="shared" si="215"/>
        <v>1.8599999999999998E-2</v>
      </c>
      <c r="O39" s="396">
        <f t="shared" si="210"/>
        <v>1.72E-2</v>
      </c>
      <c r="P39" s="396">
        <f t="shared" si="210"/>
        <v>1.9800000000000002E-2</v>
      </c>
      <c r="Q39" s="396">
        <f t="shared" si="210"/>
        <v>8.8000000000000005E-3</v>
      </c>
      <c r="R39" s="422"/>
      <c r="S39" s="395"/>
      <c r="T39" s="396"/>
      <c r="U39" s="396"/>
      <c r="V39" s="396"/>
    </row>
    <row r="40" spans="1:34">
      <c r="A40" s="367" t="s">
        <v>2462</v>
      </c>
      <c r="B40" s="368">
        <f t="shared" si="222"/>
        <v>288.264905382878</v>
      </c>
      <c r="C40" s="368">
        <f t="shared" si="222"/>
        <v>243.64564425013299</v>
      </c>
      <c r="D40" s="368">
        <f t="shared" si="213"/>
        <v>243.64564425013299</v>
      </c>
      <c r="E40" s="368">
        <f t="shared" si="223"/>
        <v>393.31080825986498</v>
      </c>
      <c r="F40" s="368">
        <f t="shared" si="223"/>
        <v>223.079037905512</v>
      </c>
      <c r="G40" s="3479"/>
      <c r="H40" s="373">
        <v>2</v>
      </c>
      <c r="I40" s="373">
        <v>2.04</v>
      </c>
      <c r="J40" s="373">
        <v>2.33</v>
      </c>
      <c r="K40" s="373">
        <v>2.0699999999999998</v>
      </c>
      <c r="L40" s="399">
        <v>0.69</v>
      </c>
      <c r="N40" s="395">
        <f t="shared" si="215"/>
        <v>2.0400000000000001E-2</v>
      </c>
      <c r="O40" s="396">
        <f t="shared" si="210"/>
        <v>2.3300000000000001E-2</v>
      </c>
      <c r="P40" s="396">
        <f t="shared" si="210"/>
        <v>2.07E-2</v>
      </c>
      <c r="Q40" s="396">
        <f t="shared" si="210"/>
        <v>6.8999999999999999E-3</v>
      </c>
      <c r="R40" s="422"/>
      <c r="S40" s="395"/>
      <c r="T40" s="396"/>
      <c r="U40" s="396"/>
      <c r="V40" s="396"/>
      <c r="X40" s="429"/>
      <c r="Y40" s="434"/>
    </row>
    <row r="41" spans="1:34">
      <c r="A41" s="367" t="s">
        <v>2463</v>
      </c>
      <c r="B41" s="368">
        <f t="shared" si="222"/>
        <v>282.50186729015797</v>
      </c>
      <c r="C41" s="368">
        <f t="shared" si="222"/>
        <v>238.097961741555</v>
      </c>
      <c r="D41" s="368">
        <f t="shared" si="213"/>
        <v>238.097961741555</v>
      </c>
      <c r="E41" s="368">
        <f t="shared" si="223"/>
        <v>385.33438646014099</v>
      </c>
      <c r="F41" s="368">
        <f t="shared" si="223"/>
        <v>221.550340555677</v>
      </c>
      <c r="G41" s="3480"/>
      <c r="H41" s="369">
        <v>1</v>
      </c>
      <c r="I41" s="369">
        <v>1.67</v>
      </c>
      <c r="J41" s="369">
        <v>1.31</v>
      </c>
      <c r="K41" s="369">
        <v>1.85</v>
      </c>
      <c r="L41" s="397">
        <v>0.96</v>
      </c>
      <c r="N41" s="404">
        <f t="shared" si="215"/>
        <v>1.67E-2</v>
      </c>
      <c r="O41" s="405">
        <f t="shared" si="215"/>
        <v>1.3100000000000001E-2</v>
      </c>
      <c r="P41" s="405">
        <f t="shared" si="215"/>
        <v>1.8499999999999999E-2</v>
      </c>
      <c r="Q41" s="405">
        <f t="shared" si="215"/>
        <v>9.5999999999999992E-3</v>
      </c>
      <c r="R41" s="422"/>
      <c r="S41" s="404">
        <f>B41/B42-1</f>
        <v>1.61937672307855E-2</v>
      </c>
      <c r="T41" s="405">
        <f>C41/C42-1</f>
        <v>1.7512657015190902E-2</v>
      </c>
      <c r="U41" s="405">
        <f>E41/E42-1</f>
        <v>1.6713420739156999E-2</v>
      </c>
      <c r="V41" s="405">
        <f>F41/F42-1</f>
        <v>7.0470025258062598E-3</v>
      </c>
      <c r="Y41" s="396"/>
      <c r="Z41" s="396"/>
    </row>
    <row r="42" spans="1:34">
      <c r="A42" s="367" t="s">
        <v>2464</v>
      </c>
      <c r="B42" s="383">
        <v>278</v>
      </c>
      <c r="C42" s="383">
        <v>234</v>
      </c>
      <c r="D42" s="383">
        <f t="shared" si="213"/>
        <v>234</v>
      </c>
      <c r="E42" s="383">
        <v>379</v>
      </c>
      <c r="F42" s="384">
        <v>220</v>
      </c>
      <c r="G42" s="3477">
        <v>2012</v>
      </c>
      <c r="H42" s="374">
        <v>4</v>
      </c>
      <c r="I42" s="374">
        <v>0.91</v>
      </c>
      <c r="J42" s="374">
        <v>0.68</v>
      </c>
      <c r="K42" s="374">
        <v>0.98</v>
      </c>
      <c r="L42" s="400">
        <v>0.9</v>
      </c>
      <c r="N42" s="395">
        <f t="shared" si="215"/>
        <v>9.1000000000000004E-3</v>
      </c>
      <c r="O42" s="396">
        <f t="shared" si="215"/>
        <v>6.7999999999999996E-3</v>
      </c>
      <c r="P42" s="396">
        <f t="shared" si="215"/>
        <v>9.7999999999999997E-3</v>
      </c>
      <c r="Q42" s="396">
        <f t="shared" si="215"/>
        <v>8.9999999999999993E-3</v>
      </c>
      <c r="R42" s="422"/>
      <c r="S42" s="423"/>
      <c r="T42" s="424"/>
      <c r="U42" s="424"/>
      <c r="V42" s="424"/>
      <c r="X42" s="424"/>
      <c r="Y42" s="424"/>
      <c r="Z42" s="424"/>
    </row>
    <row r="43" spans="1:34">
      <c r="A43" s="367" t="s">
        <v>2465</v>
      </c>
      <c r="B43" s="368">
        <f>B42/(1+N42)</f>
        <v>275.49301357645402</v>
      </c>
      <c r="C43" s="368">
        <f>C42/(1+O42)</f>
        <v>232.41954707985701</v>
      </c>
      <c r="D43" s="368">
        <f t="shared" si="213"/>
        <v>232.41954707985701</v>
      </c>
      <c r="E43" s="368">
        <f t="shared" ref="E43:F45" si="224">E42/(1+P42)</f>
        <v>375.32184591008098</v>
      </c>
      <c r="F43" s="368">
        <f t="shared" si="224"/>
        <v>218.03766105054501</v>
      </c>
      <c r="G43" s="3473"/>
      <c r="H43" s="375">
        <v>3</v>
      </c>
      <c r="I43" s="375">
        <v>0.09</v>
      </c>
      <c r="J43" s="375">
        <v>0.28999999999999998</v>
      </c>
      <c r="K43" s="375">
        <v>-0.01</v>
      </c>
      <c r="L43" s="403">
        <v>0.57999999999999996</v>
      </c>
      <c r="N43" s="395">
        <f t="shared" si="215"/>
        <v>8.9999999999999998E-4</v>
      </c>
      <c r="O43" s="396">
        <f t="shared" si="215"/>
        <v>2.8999999999999998E-3</v>
      </c>
      <c r="P43" s="396">
        <f t="shared" si="215"/>
        <v>-1E-4</v>
      </c>
      <c r="Q43" s="396">
        <f t="shared" si="215"/>
        <v>5.7999999999999996E-3</v>
      </c>
      <c r="R43" s="422"/>
      <c r="S43" s="395"/>
      <c r="T43" s="396"/>
      <c r="U43" s="396"/>
      <c r="V43" s="396"/>
    </row>
    <row r="44" spans="1:34">
      <c r="A44" s="367" t="s">
        <v>2466</v>
      </c>
      <c r="B44" s="368">
        <f>B43/(1+N43)</f>
        <v>275.24529281292303</v>
      </c>
      <c r="C44" s="368">
        <f>C43/(1+O43)</f>
        <v>231.74747938962699</v>
      </c>
      <c r="D44" s="368">
        <f t="shared" si="213"/>
        <v>231.74747938962699</v>
      </c>
      <c r="E44" s="368">
        <f t="shared" si="224"/>
        <v>375.35938184826603</v>
      </c>
      <c r="F44" s="368">
        <f t="shared" si="224"/>
        <v>216.78033510692501</v>
      </c>
      <c r="G44" s="3473"/>
      <c r="H44" s="373">
        <v>2</v>
      </c>
      <c r="I44" s="373">
        <v>0.02</v>
      </c>
      <c r="J44" s="373">
        <v>0.12</v>
      </c>
      <c r="K44" s="373">
        <v>-0.08</v>
      </c>
      <c r="L44" s="399">
        <v>1.24</v>
      </c>
      <c r="N44" s="395">
        <f t="shared" si="215"/>
        <v>2.0000000000000001E-4</v>
      </c>
      <c r="O44" s="396">
        <f t="shared" si="215"/>
        <v>1.1999999999999999E-3</v>
      </c>
      <c r="P44" s="396">
        <f t="shared" si="215"/>
        <v>-8.0000000000000004E-4</v>
      </c>
      <c r="Q44" s="396">
        <f t="shared" si="215"/>
        <v>1.24E-2</v>
      </c>
      <c r="R44" s="422"/>
      <c r="S44" s="395"/>
      <c r="T44" s="396"/>
      <c r="U44" s="396"/>
      <c r="V44" s="396"/>
    </row>
    <row r="45" spans="1:34">
      <c r="A45" s="367" t="s">
        <v>2467</v>
      </c>
      <c r="B45" s="368">
        <f>B44/(1+N44)</f>
        <v>275.19025476196998</v>
      </c>
      <c r="C45" s="385">
        <v>232</v>
      </c>
      <c r="D45" s="385">
        <f t="shared" si="213"/>
        <v>232</v>
      </c>
      <c r="E45" s="368">
        <f t="shared" si="224"/>
        <v>375.65990977608698</v>
      </c>
      <c r="F45" s="368">
        <f t="shared" si="224"/>
        <v>214.12518283971301</v>
      </c>
      <c r="G45" s="3476"/>
      <c r="H45" s="369">
        <v>1</v>
      </c>
      <c r="I45" s="369">
        <v>0.02</v>
      </c>
      <c r="J45" s="369">
        <v>0.13</v>
      </c>
      <c r="K45" s="369">
        <v>-0.04</v>
      </c>
      <c r="L45" s="397">
        <v>0.46</v>
      </c>
      <c r="N45" s="395">
        <f t="shared" si="215"/>
        <v>2.0000000000000001E-4</v>
      </c>
      <c r="O45" s="396">
        <f t="shared" si="215"/>
        <v>1.2999999999999999E-3</v>
      </c>
      <c r="P45" s="396">
        <f t="shared" si="215"/>
        <v>-4.0000000000000002E-4</v>
      </c>
      <c r="Q45" s="396">
        <f t="shared" si="215"/>
        <v>4.5999999999999999E-3</v>
      </c>
      <c r="R45" s="422"/>
      <c r="S45" s="404">
        <f>B45/B46-1</f>
        <v>6.91835498073612E-4</v>
      </c>
      <c r="T45" s="405">
        <f>C45/C46-1</f>
        <v>0</v>
      </c>
      <c r="U45" s="405">
        <f>E45/E46-1</f>
        <v>-9.0449527636460303E-4</v>
      </c>
      <c r="V45" s="405">
        <f>F45/F46-1</f>
        <v>5.2825485432512797E-3</v>
      </c>
      <c r="X45" s="396"/>
      <c r="Y45" s="396"/>
      <c r="Z45" s="396"/>
    </row>
    <row r="46" spans="1:34">
      <c r="A46" s="367" t="s">
        <v>2468</v>
      </c>
      <c r="B46" s="371">
        <v>275</v>
      </c>
      <c r="C46" s="371">
        <v>232</v>
      </c>
      <c r="D46" s="371">
        <f t="shared" si="213"/>
        <v>232</v>
      </c>
      <c r="E46" s="371">
        <v>376</v>
      </c>
      <c r="F46" s="372">
        <v>213</v>
      </c>
      <c r="G46" s="3477">
        <v>2011</v>
      </c>
      <c r="H46" s="374">
        <v>4</v>
      </c>
      <c r="I46" s="374">
        <v>-0.2</v>
      </c>
      <c r="J46" s="374">
        <v>0.04</v>
      </c>
      <c r="K46" s="374">
        <v>-0.34</v>
      </c>
      <c r="L46" s="400">
        <v>0.46</v>
      </c>
      <c r="N46" s="401">
        <f t="shared" si="215"/>
        <v>-2E-3</v>
      </c>
      <c r="O46" s="402">
        <f t="shared" si="215"/>
        <v>4.0000000000000002E-4</v>
      </c>
      <c r="P46" s="402">
        <f t="shared" si="215"/>
        <v>-3.3999999999999998E-3</v>
      </c>
      <c r="Q46" s="402">
        <f t="shared" si="215"/>
        <v>4.5999999999999999E-3</v>
      </c>
      <c r="R46" s="422"/>
      <c r="S46" s="423"/>
      <c r="T46" s="424"/>
      <c r="U46" s="424"/>
      <c r="V46" s="424"/>
      <c r="X46" s="424"/>
      <c r="Y46" s="424"/>
      <c r="Z46" s="424"/>
    </row>
    <row r="47" spans="1:34">
      <c r="A47" s="367" t="s">
        <v>2469</v>
      </c>
      <c r="B47" s="368">
        <f t="shared" ref="B47:C49" si="225">B46/(1+N46)</f>
        <v>275.55110220440901</v>
      </c>
      <c r="C47" s="368">
        <f t="shared" si="225"/>
        <v>231.907237105158</v>
      </c>
      <c r="D47" s="368">
        <f t="shared" si="213"/>
        <v>231.907237105158</v>
      </c>
      <c r="E47" s="368">
        <f t="shared" ref="E47:F49" si="226">E46/(1+P46)</f>
        <v>377.28276138872201</v>
      </c>
      <c r="F47" s="368">
        <f t="shared" si="226"/>
        <v>212.02468644236501</v>
      </c>
      <c r="G47" s="3473">
        <v>2011</v>
      </c>
      <c r="H47" s="375">
        <v>3</v>
      </c>
      <c r="I47" s="375">
        <v>0.13</v>
      </c>
      <c r="J47" s="375">
        <v>0.75</v>
      </c>
      <c r="K47" s="375">
        <v>-0.08</v>
      </c>
      <c r="L47" s="403">
        <v>0.53</v>
      </c>
      <c r="N47" s="395">
        <f t="shared" si="215"/>
        <v>1.2999999999999999E-3</v>
      </c>
      <c r="O47" s="396">
        <f t="shared" si="215"/>
        <v>7.4999999999999997E-3</v>
      </c>
      <c r="P47" s="396">
        <f t="shared" si="215"/>
        <v>-8.0000000000000004E-4</v>
      </c>
      <c r="Q47" s="396">
        <f t="shared" si="215"/>
        <v>5.3E-3</v>
      </c>
      <c r="R47" s="422"/>
      <c r="S47" s="395"/>
      <c r="T47" s="396"/>
      <c r="U47" s="396"/>
      <c r="V47" s="396"/>
    </row>
    <row r="48" spans="1:34">
      <c r="A48" s="367" t="s">
        <v>2470</v>
      </c>
      <c r="B48" s="368">
        <f t="shared" si="225"/>
        <v>275.19335084830601</v>
      </c>
      <c r="C48" s="368">
        <f t="shared" si="225"/>
        <v>230.18088050139701</v>
      </c>
      <c r="D48" s="368">
        <f t="shared" si="213"/>
        <v>230.18088050139701</v>
      </c>
      <c r="E48" s="368">
        <f t="shared" si="226"/>
        <v>377.58482925212297</v>
      </c>
      <c r="F48" s="368">
        <f t="shared" si="226"/>
        <v>210.906879978479</v>
      </c>
      <c r="G48" s="3473">
        <v>2011</v>
      </c>
      <c r="H48" s="373">
        <v>2</v>
      </c>
      <c r="I48" s="373">
        <v>-0.4</v>
      </c>
      <c r="J48" s="373">
        <v>0.17</v>
      </c>
      <c r="K48" s="373">
        <v>-0.57999999999999996</v>
      </c>
      <c r="L48" s="399">
        <v>-0.2</v>
      </c>
      <c r="N48" s="395">
        <f t="shared" si="215"/>
        <v>-4.0000000000000001E-3</v>
      </c>
      <c r="O48" s="396">
        <f t="shared" si="215"/>
        <v>1.6999999999999999E-3</v>
      </c>
      <c r="P48" s="396">
        <f t="shared" si="215"/>
        <v>-5.7999999999999996E-3</v>
      </c>
      <c r="Q48" s="396">
        <f t="shared" si="215"/>
        <v>-2E-3</v>
      </c>
      <c r="R48" s="422"/>
      <c r="S48" s="395"/>
      <c r="T48" s="396"/>
      <c r="U48" s="396"/>
      <c r="V48" s="396"/>
    </row>
    <row r="49" spans="1:26">
      <c r="A49" s="367" t="s">
        <v>2471</v>
      </c>
      <c r="B49" s="368">
        <f t="shared" si="225"/>
        <v>276.29854502841999</v>
      </c>
      <c r="C49" s="368">
        <f t="shared" si="225"/>
        <v>229.79023709833001</v>
      </c>
      <c r="D49" s="368">
        <f t="shared" si="213"/>
        <v>229.79023709833001</v>
      </c>
      <c r="E49" s="368">
        <f t="shared" si="226"/>
        <v>379.78759731655902</v>
      </c>
      <c r="F49" s="368">
        <f t="shared" si="226"/>
        <v>211.32953905659201</v>
      </c>
      <c r="G49" s="3476">
        <v>2011</v>
      </c>
      <c r="H49" s="369">
        <v>1</v>
      </c>
      <c r="I49" s="369">
        <v>2.65</v>
      </c>
      <c r="J49" s="369">
        <v>3.76</v>
      </c>
      <c r="K49" s="369">
        <v>1.89</v>
      </c>
      <c r="L49" s="397">
        <v>7.95</v>
      </c>
      <c r="N49" s="404">
        <f t="shared" si="215"/>
        <v>2.6499999999999999E-2</v>
      </c>
      <c r="O49" s="405">
        <f t="shared" si="215"/>
        <v>3.7600000000000001E-2</v>
      </c>
      <c r="P49" s="405">
        <f t="shared" si="215"/>
        <v>1.89E-2</v>
      </c>
      <c r="Q49" s="405">
        <f t="shared" si="215"/>
        <v>7.9500000000000001E-2</v>
      </c>
      <c r="R49" s="422"/>
      <c r="S49" s="404">
        <f>B49/B50-1</f>
        <v>2.7132137652117898E-2</v>
      </c>
      <c r="T49" s="405">
        <f>C49/C50-1</f>
        <v>3.9774828499231897E-2</v>
      </c>
      <c r="U49" s="405">
        <f>E49/E50-1</f>
        <v>1.81973118406418E-2</v>
      </c>
      <c r="V49" s="405">
        <f>F49/F50-1</f>
        <v>7.8211933962205799E-2</v>
      </c>
      <c r="X49" s="396"/>
      <c r="Y49" s="396"/>
      <c r="Z49" s="396"/>
    </row>
    <row r="50" spans="1:26">
      <c r="A50" s="367" t="s">
        <v>2472</v>
      </c>
      <c r="B50" s="371">
        <v>269</v>
      </c>
      <c r="C50" s="371">
        <v>221</v>
      </c>
      <c r="D50" s="371">
        <f t="shared" si="213"/>
        <v>221</v>
      </c>
      <c r="E50" s="371">
        <v>373</v>
      </c>
      <c r="F50" s="372">
        <v>196</v>
      </c>
      <c r="G50" s="3477">
        <v>2010</v>
      </c>
      <c r="H50" s="374">
        <v>4</v>
      </c>
      <c r="I50" s="374">
        <v>5.72</v>
      </c>
      <c r="J50" s="374">
        <v>6.57</v>
      </c>
      <c r="K50" s="374">
        <v>5.72</v>
      </c>
      <c r="L50" s="400">
        <v>2.72</v>
      </c>
      <c r="N50" s="395">
        <f t="shared" si="215"/>
        <v>5.7200000000000001E-2</v>
      </c>
      <c r="O50" s="396">
        <f t="shared" si="215"/>
        <v>6.5699999999999995E-2</v>
      </c>
      <c r="P50" s="396">
        <f t="shared" si="215"/>
        <v>5.7200000000000001E-2</v>
      </c>
      <c r="Q50" s="396">
        <f t="shared" si="215"/>
        <v>2.7199999999999998E-2</v>
      </c>
      <c r="R50" s="422"/>
      <c r="S50" s="423"/>
      <c r="T50" s="424"/>
      <c r="U50" s="424"/>
      <c r="V50" s="424"/>
      <c r="X50" s="424"/>
      <c r="Y50" s="424"/>
      <c r="Z50" s="424"/>
    </row>
    <row r="51" spans="1:26">
      <c r="A51" s="367" t="s">
        <v>2473</v>
      </c>
      <c r="B51" s="368">
        <f t="shared" ref="B51:C53" si="227">B50/(1+N50)</f>
        <v>254.445705637533</v>
      </c>
      <c r="C51" s="368">
        <f t="shared" si="227"/>
        <v>207.375433987051</v>
      </c>
      <c r="D51" s="368">
        <f t="shared" si="213"/>
        <v>207.375433987051</v>
      </c>
      <c r="E51" s="368">
        <f t="shared" ref="E51:F53" si="228">E50/(1+P50)</f>
        <v>352.81876655315898</v>
      </c>
      <c r="F51" s="368">
        <f t="shared" si="228"/>
        <v>190.809968847352</v>
      </c>
      <c r="G51" s="3473">
        <v>2010</v>
      </c>
      <c r="H51" s="375">
        <v>3</v>
      </c>
      <c r="I51" s="375">
        <v>4.7300000000000004</v>
      </c>
      <c r="J51" s="375">
        <v>3.9</v>
      </c>
      <c r="K51" s="375">
        <v>5.03</v>
      </c>
      <c r="L51" s="403">
        <v>4.21</v>
      </c>
      <c r="N51" s="395">
        <f t="shared" si="215"/>
        <v>4.7300000000000002E-2</v>
      </c>
      <c r="O51" s="396">
        <f t="shared" si="215"/>
        <v>3.9E-2</v>
      </c>
      <c r="P51" s="396">
        <f t="shared" si="215"/>
        <v>5.0299999999999997E-2</v>
      </c>
      <c r="Q51" s="396">
        <f t="shared" si="215"/>
        <v>4.2099999999999999E-2</v>
      </c>
      <c r="R51" s="422"/>
      <c r="S51" s="395"/>
      <c r="T51" s="396"/>
      <c r="U51" s="396"/>
      <c r="V51" s="396"/>
    </row>
    <row r="52" spans="1:26">
      <c r="A52" s="367" t="s">
        <v>2474</v>
      </c>
      <c r="B52" s="368">
        <f t="shared" si="227"/>
        <v>242.95398227588399</v>
      </c>
      <c r="C52" s="368">
        <f t="shared" si="227"/>
        <v>199.591370536141</v>
      </c>
      <c r="D52" s="368">
        <f t="shared" si="213"/>
        <v>199.591370536141</v>
      </c>
      <c r="E52" s="368">
        <f t="shared" si="228"/>
        <v>335.92189522342102</v>
      </c>
      <c r="F52" s="368">
        <f t="shared" si="228"/>
        <v>183.101399911095</v>
      </c>
      <c r="G52" s="3473">
        <v>2010</v>
      </c>
      <c r="H52" s="373">
        <v>2</v>
      </c>
      <c r="I52" s="373">
        <v>4.6900000000000004</v>
      </c>
      <c r="J52" s="373">
        <v>3.55</v>
      </c>
      <c r="K52" s="373">
        <v>5.07</v>
      </c>
      <c r="L52" s="399">
        <v>4.2300000000000004</v>
      </c>
      <c r="N52" s="395">
        <f t="shared" si="215"/>
        <v>4.6899999999999997E-2</v>
      </c>
      <c r="O52" s="396">
        <f t="shared" si="215"/>
        <v>3.5499999999999997E-2</v>
      </c>
      <c r="P52" s="396">
        <f t="shared" si="215"/>
        <v>5.0700000000000002E-2</v>
      </c>
      <c r="Q52" s="396">
        <f t="shared" si="215"/>
        <v>4.2299999999999997E-2</v>
      </c>
      <c r="R52" s="422"/>
      <c r="S52" s="395"/>
      <c r="T52" s="396"/>
      <c r="U52" s="396"/>
      <c r="V52" s="396"/>
    </row>
    <row r="53" spans="1:26">
      <c r="A53" s="367" t="s">
        <v>2475</v>
      </c>
      <c r="B53" s="368">
        <f t="shared" si="227"/>
        <v>232.06990378821601</v>
      </c>
      <c r="C53" s="368">
        <f t="shared" si="227"/>
        <v>192.74878854286899</v>
      </c>
      <c r="D53" s="368">
        <f t="shared" si="213"/>
        <v>192.74878854286899</v>
      </c>
      <c r="E53" s="368">
        <f t="shared" si="228"/>
        <v>319.71247284993001</v>
      </c>
      <c r="F53" s="368">
        <f t="shared" si="228"/>
        <v>175.670536228624</v>
      </c>
      <c r="G53" s="3476">
        <v>2010</v>
      </c>
      <c r="H53" s="369">
        <v>1</v>
      </c>
      <c r="I53" s="369">
        <v>5.4</v>
      </c>
      <c r="J53" s="369">
        <v>3.2</v>
      </c>
      <c r="K53" s="369">
        <v>6.16</v>
      </c>
      <c r="L53" s="397">
        <v>4.51</v>
      </c>
      <c r="N53" s="395">
        <f t="shared" si="215"/>
        <v>5.3999999999999999E-2</v>
      </c>
      <c r="O53" s="396">
        <f t="shared" si="215"/>
        <v>3.2000000000000001E-2</v>
      </c>
      <c r="P53" s="396">
        <f t="shared" si="215"/>
        <v>6.1600000000000002E-2</v>
      </c>
      <c r="Q53" s="396">
        <f t="shared" si="215"/>
        <v>4.5100000000000001E-2</v>
      </c>
      <c r="R53" s="422"/>
      <c r="S53" s="404">
        <f>B53/B54-1</f>
        <v>5.4863199037347599E-2</v>
      </c>
      <c r="T53" s="405">
        <f>C53/C54-1</f>
        <v>3.0742184721226602E-2</v>
      </c>
      <c r="U53" s="405">
        <f>E53/E54-1</f>
        <v>6.2167683886810203E-2</v>
      </c>
      <c r="V53" s="405">
        <f>F53/F54-1</f>
        <v>4.5657953741810003E-2</v>
      </c>
      <c r="X53" s="396"/>
      <c r="Y53" s="396"/>
      <c r="Z53" s="396"/>
    </row>
    <row r="54" spans="1:26">
      <c r="A54" s="367" t="s">
        <v>2476</v>
      </c>
      <c r="B54" s="371">
        <v>220</v>
      </c>
      <c r="C54" s="371">
        <v>187</v>
      </c>
      <c r="D54" s="371">
        <f t="shared" si="213"/>
        <v>187</v>
      </c>
      <c r="E54" s="371">
        <v>301</v>
      </c>
      <c r="F54" s="372">
        <v>168</v>
      </c>
      <c r="G54" s="3477">
        <v>2009</v>
      </c>
      <c r="H54" s="374">
        <v>4</v>
      </c>
      <c r="I54" s="374">
        <v>2.2999999999999998</v>
      </c>
      <c r="J54" s="374">
        <v>1.04</v>
      </c>
      <c r="K54" s="374">
        <v>2.84</v>
      </c>
      <c r="L54" s="400">
        <v>0.67</v>
      </c>
      <c r="N54" s="401">
        <f t="shared" si="215"/>
        <v>2.3E-2</v>
      </c>
      <c r="O54" s="402">
        <f t="shared" si="215"/>
        <v>1.04E-2</v>
      </c>
      <c r="P54" s="402">
        <f t="shared" si="215"/>
        <v>2.8400000000000002E-2</v>
      </c>
      <c r="Q54" s="402">
        <f t="shared" si="215"/>
        <v>6.7000000000000002E-3</v>
      </c>
      <c r="R54" s="422"/>
      <c r="S54" s="423"/>
      <c r="T54" s="424"/>
      <c r="U54" s="424"/>
      <c r="V54" s="424"/>
      <c r="X54" s="424"/>
      <c r="Y54" s="424"/>
      <c r="Z54" s="424"/>
    </row>
    <row r="55" spans="1:26">
      <c r="A55" s="367" t="s">
        <v>2477</v>
      </c>
      <c r="B55" s="368">
        <f t="shared" ref="B55:C57" si="229">B54/(1+N54)</f>
        <v>215.05376344086</v>
      </c>
      <c r="C55" s="368">
        <f t="shared" si="229"/>
        <v>185.07521773555001</v>
      </c>
      <c r="D55" s="368">
        <f t="shared" si="213"/>
        <v>185.07521773555001</v>
      </c>
      <c r="E55" s="368">
        <f t="shared" ref="E55:F57" si="230">E54/(1+P54)</f>
        <v>292.68767016725002</v>
      </c>
      <c r="F55" s="368">
        <f t="shared" si="230"/>
        <v>166.881891328102</v>
      </c>
      <c r="G55" s="3473">
        <v>2009</v>
      </c>
      <c r="H55" s="375">
        <v>3</v>
      </c>
      <c r="I55" s="375">
        <v>2.1</v>
      </c>
      <c r="J55" s="375">
        <v>1.86</v>
      </c>
      <c r="K55" s="375">
        <v>2.29</v>
      </c>
      <c r="L55" s="403">
        <v>0.85</v>
      </c>
      <c r="N55" s="395">
        <f t="shared" si="215"/>
        <v>2.1000000000000001E-2</v>
      </c>
      <c r="O55" s="396">
        <f t="shared" si="215"/>
        <v>1.8599999999999998E-2</v>
      </c>
      <c r="P55" s="396">
        <f t="shared" si="215"/>
        <v>2.29E-2</v>
      </c>
      <c r="Q55" s="396">
        <f t="shared" si="215"/>
        <v>8.5000000000000006E-3</v>
      </c>
      <c r="R55" s="422"/>
      <c r="S55" s="395"/>
      <c r="T55" s="396"/>
      <c r="U55" s="396"/>
      <c r="V55" s="396"/>
    </row>
    <row r="56" spans="1:26">
      <c r="A56" s="367" t="s">
        <v>2478</v>
      </c>
      <c r="B56" s="368">
        <f t="shared" si="229"/>
        <v>210.630522469011</v>
      </c>
      <c r="C56" s="368">
        <f t="shared" si="229"/>
        <v>181.695678122472</v>
      </c>
      <c r="D56" s="368">
        <f t="shared" si="213"/>
        <v>181.695678122472</v>
      </c>
      <c r="E56" s="368">
        <f t="shared" si="230"/>
        <v>286.13517466736698</v>
      </c>
      <c r="F56" s="368">
        <f t="shared" si="230"/>
        <v>165.47535084591101</v>
      </c>
      <c r="G56" s="3473">
        <v>2009</v>
      </c>
      <c r="H56" s="373">
        <v>2</v>
      </c>
      <c r="I56" s="373">
        <v>0.86</v>
      </c>
      <c r="J56" s="373">
        <v>-1.1299999999999999</v>
      </c>
      <c r="K56" s="373">
        <v>1.79</v>
      </c>
      <c r="L56" s="399">
        <v>-2.0699999999999998</v>
      </c>
      <c r="N56" s="395">
        <f t="shared" si="215"/>
        <v>8.6E-3</v>
      </c>
      <c r="O56" s="396">
        <f t="shared" si="215"/>
        <v>-1.1299999999999999E-2</v>
      </c>
      <c r="P56" s="396">
        <f t="shared" si="215"/>
        <v>1.7899999999999999E-2</v>
      </c>
      <c r="Q56" s="396">
        <f t="shared" si="215"/>
        <v>-2.07E-2</v>
      </c>
      <c r="R56" s="422"/>
      <c r="S56" s="395"/>
      <c r="T56" s="396"/>
      <c r="U56" s="396"/>
      <c r="V56" s="396"/>
    </row>
    <row r="57" spans="1:26">
      <c r="A57" s="367" t="s">
        <v>2479</v>
      </c>
      <c r="B57" s="368">
        <f t="shared" si="229"/>
        <v>208.834545378754</v>
      </c>
      <c r="C57" s="368">
        <f t="shared" si="229"/>
        <v>183.77230517090399</v>
      </c>
      <c r="D57" s="368">
        <f t="shared" si="213"/>
        <v>183.77230517090399</v>
      </c>
      <c r="E57" s="368">
        <f t="shared" si="230"/>
        <v>281.10342338870902</v>
      </c>
      <c r="F57" s="368">
        <f t="shared" si="230"/>
        <v>168.97309388942301</v>
      </c>
      <c r="G57" s="3476">
        <v>2009</v>
      </c>
      <c r="H57" s="369">
        <v>1</v>
      </c>
      <c r="I57" s="369">
        <v>-2.64</v>
      </c>
      <c r="J57" s="369">
        <v>-2.5299999999999998</v>
      </c>
      <c r="K57" s="369">
        <v>-3.02</v>
      </c>
      <c r="L57" s="397">
        <v>1.52</v>
      </c>
      <c r="N57" s="404">
        <f t="shared" si="215"/>
        <v>-2.64E-2</v>
      </c>
      <c r="O57" s="405">
        <f t="shared" si="215"/>
        <v>-2.53E-2</v>
      </c>
      <c r="P57" s="405">
        <f t="shared" si="215"/>
        <v>-3.0200000000000001E-2</v>
      </c>
      <c r="Q57" s="405">
        <f t="shared" si="215"/>
        <v>1.52E-2</v>
      </c>
      <c r="R57" s="422"/>
      <c r="S57" s="404">
        <f>B57/B58-1</f>
        <v>-2.4137638417038799E-2</v>
      </c>
      <c r="T57" s="405">
        <f>C57/C58-1</f>
        <v>-2.2487738452641001E-2</v>
      </c>
      <c r="U57" s="405">
        <f>E57/E58-1</f>
        <v>-2.73237945027354E-2</v>
      </c>
      <c r="V57" s="405">
        <f>F57/F58-1</f>
        <v>1.7910204153148E-2</v>
      </c>
      <c r="X57" s="396"/>
      <c r="Y57" s="396"/>
      <c r="Z57" s="396"/>
    </row>
    <row r="58" spans="1:26">
      <c r="A58" s="367" t="s">
        <v>2480</v>
      </c>
      <c r="B58" s="383">
        <v>214</v>
      </c>
      <c r="C58" s="383">
        <v>188</v>
      </c>
      <c r="D58" s="383">
        <f t="shared" si="213"/>
        <v>188</v>
      </c>
      <c r="E58" s="383">
        <v>289</v>
      </c>
      <c r="F58" s="384">
        <v>166</v>
      </c>
      <c r="G58" s="3477">
        <v>2008</v>
      </c>
      <c r="H58" s="374">
        <v>4</v>
      </c>
      <c r="I58" s="374">
        <v>1.73</v>
      </c>
      <c r="J58" s="374">
        <v>0.03</v>
      </c>
      <c r="K58" s="374">
        <v>2.59</v>
      </c>
      <c r="L58" s="400">
        <v>-1.66</v>
      </c>
      <c r="N58" s="395">
        <f t="shared" si="215"/>
        <v>1.7299999999999999E-2</v>
      </c>
      <c r="O58" s="396">
        <f t="shared" si="215"/>
        <v>2.9999999999999997E-4</v>
      </c>
      <c r="P58" s="396">
        <f t="shared" si="215"/>
        <v>2.5899999999999999E-2</v>
      </c>
      <c r="Q58" s="396">
        <f t="shared" si="215"/>
        <v>-1.66E-2</v>
      </c>
      <c r="R58" s="422"/>
      <c r="S58" s="423"/>
      <c r="T58" s="424"/>
      <c r="U58" s="424"/>
      <c r="V58" s="424"/>
      <c r="X58" s="424"/>
      <c r="Y58" s="424"/>
      <c r="Z58" s="424"/>
    </row>
    <row r="59" spans="1:26">
      <c r="A59" s="367" t="s">
        <v>2481</v>
      </c>
      <c r="B59" s="368">
        <f t="shared" ref="B59:C61" si="231">B58/(1+N58)</f>
        <v>210.36075887152299</v>
      </c>
      <c r="C59" s="368">
        <f t="shared" si="231"/>
        <v>187.943616914926</v>
      </c>
      <c r="D59" s="368">
        <f t="shared" si="213"/>
        <v>187.943616914926</v>
      </c>
      <c r="E59" s="368">
        <f t="shared" ref="E59:F61" si="232">E58/(1+P58)</f>
        <v>281.703869772882</v>
      </c>
      <c r="F59" s="368">
        <f t="shared" si="232"/>
        <v>168.80211511083999</v>
      </c>
      <c r="G59" s="3473">
        <v>2008</v>
      </c>
      <c r="H59" s="375">
        <v>3</v>
      </c>
      <c r="I59" s="375">
        <v>1.96</v>
      </c>
      <c r="J59" s="375">
        <v>2.36</v>
      </c>
      <c r="K59" s="375">
        <v>1.82</v>
      </c>
      <c r="L59" s="403">
        <v>2.2200000000000002</v>
      </c>
      <c r="N59" s="395">
        <f t="shared" si="215"/>
        <v>1.9599999999999999E-2</v>
      </c>
      <c r="O59" s="396">
        <f t="shared" si="215"/>
        <v>2.3599999999999999E-2</v>
      </c>
      <c r="P59" s="396">
        <f t="shared" si="215"/>
        <v>1.8200000000000001E-2</v>
      </c>
      <c r="Q59" s="396">
        <f t="shared" si="215"/>
        <v>2.2200000000000001E-2</v>
      </c>
      <c r="R59" s="422"/>
      <c r="S59" s="395"/>
      <c r="T59" s="396"/>
      <c r="U59" s="396"/>
      <c r="V59" s="396"/>
    </row>
    <row r="60" spans="1:26">
      <c r="A60" s="367" t="s">
        <v>2482</v>
      </c>
      <c r="B60" s="368">
        <f t="shared" si="231"/>
        <v>206.31694671589099</v>
      </c>
      <c r="C60" s="368">
        <f t="shared" si="231"/>
        <v>183.61041121036101</v>
      </c>
      <c r="D60" s="368">
        <f t="shared" si="213"/>
        <v>183.61041121036101</v>
      </c>
      <c r="E60" s="368">
        <f t="shared" si="232"/>
        <v>276.66850301795603</v>
      </c>
      <c r="F60" s="368">
        <f t="shared" si="232"/>
        <v>165.136093827861</v>
      </c>
      <c r="G60" s="3473">
        <v>2008</v>
      </c>
      <c r="H60" s="373">
        <v>2</v>
      </c>
      <c r="I60" s="373">
        <v>4.93</v>
      </c>
      <c r="J60" s="373">
        <v>7.38</v>
      </c>
      <c r="K60" s="373">
        <v>3.98</v>
      </c>
      <c r="L60" s="399">
        <v>6.86</v>
      </c>
      <c r="N60" s="395">
        <f t="shared" si="215"/>
        <v>4.9299999999999997E-2</v>
      </c>
      <c r="O60" s="396">
        <f t="shared" si="215"/>
        <v>7.3800000000000004E-2</v>
      </c>
      <c r="P60" s="396">
        <f t="shared" si="215"/>
        <v>3.9800000000000002E-2</v>
      </c>
      <c r="Q60" s="396">
        <f t="shared" si="215"/>
        <v>6.8599999999999994E-2</v>
      </c>
      <c r="R60" s="422"/>
      <c r="S60" s="395"/>
      <c r="T60" s="396"/>
      <c r="U60" s="396"/>
      <c r="V60" s="396"/>
    </row>
    <row r="61" spans="1:26" s="349" customFormat="1">
      <c r="A61" s="367" t="s">
        <v>2483</v>
      </c>
      <c r="B61" s="386">
        <f t="shared" si="231"/>
        <v>196.62341248059801</v>
      </c>
      <c r="C61" s="386">
        <f t="shared" si="231"/>
        <v>170.99125648199001</v>
      </c>
      <c r="D61" s="386">
        <f t="shared" si="213"/>
        <v>170.99125648199001</v>
      </c>
      <c r="E61" s="386">
        <f t="shared" si="232"/>
        <v>266.07857570490103</v>
      </c>
      <c r="F61" s="386">
        <f t="shared" si="232"/>
        <v>154.53499328828499</v>
      </c>
      <c r="G61" s="3476">
        <v>2008</v>
      </c>
      <c r="H61" s="387">
        <v>1</v>
      </c>
      <c r="I61" s="387">
        <v>4.1399999999999997</v>
      </c>
      <c r="J61" s="387">
        <v>3.45</v>
      </c>
      <c r="K61" s="387">
        <v>4.95</v>
      </c>
      <c r="L61" s="411">
        <v>4.82</v>
      </c>
      <c r="N61" s="412">
        <f t="shared" si="215"/>
        <v>4.1399999999999999E-2</v>
      </c>
      <c r="O61" s="413">
        <f t="shared" si="215"/>
        <v>3.4500000000000003E-2</v>
      </c>
      <c r="P61" s="413">
        <f t="shared" si="215"/>
        <v>4.9500000000000002E-2</v>
      </c>
      <c r="Q61" s="413">
        <f t="shared" si="215"/>
        <v>4.82E-2</v>
      </c>
      <c r="R61" s="430"/>
      <c r="S61" s="412">
        <f>B61/B62-1</f>
        <v>4.5869215322328301E-2</v>
      </c>
      <c r="T61" s="413">
        <f>C61/C62-1</f>
        <v>3.6310645345394701E-2</v>
      </c>
      <c r="U61" s="413">
        <f>E61/E62-1</f>
        <v>4.7553447657088702E-2</v>
      </c>
      <c r="V61" s="413">
        <f>F61/F62-1</f>
        <v>4.41553600559801E-2</v>
      </c>
      <c r="X61" s="413"/>
      <c r="Y61" s="413"/>
      <c r="Z61" s="413"/>
    </row>
    <row r="62" spans="1:26">
      <c r="A62" s="367" t="s">
        <v>2484</v>
      </c>
      <c r="B62" s="371">
        <v>188</v>
      </c>
      <c r="C62" s="371">
        <v>165</v>
      </c>
      <c r="D62" s="371">
        <f t="shared" si="213"/>
        <v>165</v>
      </c>
      <c r="E62" s="371">
        <v>254</v>
      </c>
      <c r="F62" s="372">
        <v>148</v>
      </c>
      <c r="G62" s="3477">
        <v>2007</v>
      </c>
      <c r="H62" s="388">
        <v>4</v>
      </c>
      <c r="I62" s="388">
        <v>5.51</v>
      </c>
      <c r="J62" s="388">
        <v>4.8899999999999997</v>
      </c>
      <c r="K62" s="388">
        <v>6.43</v>
      </c>
      <c r="L62" s="414">
        <v>5.36</v>
      </c>
      <c r="N62" s="415">
        <f t="shared" ref="N62:O65" si="233">B62/B63-1</f>
        <v>4.1339718365245498E-2</v>
      </c>
      <c r="O62" s="416">
        <f t="shared" si="233"/>
        <v>4.0324492593775997E-2</v>
      </c>
      <c r="P62" s="416">
        <f t="shared" ref="P62:Q65" si="234">E62/E63-1</f>
        <v>6.1625555347991003E-2</v>
      </c>
      <c r="Q62" s="416">
        <f t="shared" si="234"/>
        <v>4.6757569250590603E-2</v>
      </c>
      <c r="R62" s="422"/>
      <c r="S62" s="423"/>
      <c r="T62" s="424"/>
      <c r="U62" s="424"/>
      <c r="V62" s="424"/>
      <c r="X62" s="424"/>
      <c r="Y62" s="424"/>
      <c r="Z62" s="424"/>
    </row>
    <row r="63" spans="1:26">
      <c r="A63" s="367" t="s">
        <v>2485</v>
      </c>
      <c r="B63" s="368">
        <f t="shared" ref="B63:C65" si="235">B64+(B$62-B$66)*I63/SUM(I$62:I$65)</f>
        <v>180.536665109762</v>
      </c>
      <c r="C63" s="368">
        <f t="shared" si="235"/>
        <v>158.60435967302499</v>
      </c>
      <c r="D63" s="368">
        <f t="shared" si="213"/>
        <v>158.60435967302499</v>
      </c>
      <c r="E63" s="368">
        <f t="shared" ref="E63:F65" si="236">E64+(E$62-E$66)*K63/SUM(K$62:K$65)</f>
        <v>239.255732607851</v>
      </c>
      <c r="F63" s="368">
        <f t="shared" si="236"/>
        <v>141.3889943074</v>
      </c>
      <c r="G63" s="3473">
        <v>2007</v>
      </c>
      <c r="H63" s="375">
        <v>3</v>
      </c>
      <c r="I63" s="375">
        <v>8.65</v>
      </c>
      <c r="J63" s="375">
        <v>8.06</v>
      </c>
      <c r="K63" s="375">
        <v>9.94</v>
      </c>
      <c r="L63" s="403">
        <v>5.8</v>
      </c>
      <c r="N63" s="415">
        <f t="shared" si="233"/>
        <v>6.9402175717400094E-2</v>
      </c>
      <c r="O63" s="416">
        <f t="shared" si="233"/>
        <v>7.11974824711534E-2</v>
      </c>
      <c r="P63" s="416">
        <f t="shared" si="234"/>
        <v>0.105296799225796</v>
      </c>
      <c r="Q63" s="416">
        <f t="shared" si="234"/>
        <v>5.3292245059512099E-2</v>
      </c>
      <c r="R63" s="422"/>
      <c r="S63" s="395"/>
      <c r="T63" s="396"/>
      <c r="U63" s="396"/>
      <c r="V63" s="396"/>
      <c r="X63" s="431"/>
      <c r="Y63" s="431"/>
      <c r="Z63" s="431"/>
    </row>
    <row r="64" spans="1:26">
      <c r="A64" s="367" t="s">
        <v>2486</v>
      </c>
      <c r="B64" s="368">
        <f t="shared" si="235"/>
        <v>168.820177487156</v>
      </c>
      <c r="C64" s="368">
        <f t="shared" si="235"/>
        <v>148.06267029972801</v>
      </c>
      <c r="D64" s="368">
        <f t="shared" si="213"/>
        <v>148.06267029972801</v>
      </c>
      <c r="E64" s="368">
        <f t="shared" si="236"/>
        <v>216.46288379323701</v>
      </c>
      <c r="F64" s="368">
        <f t="shared" si="236"/>
        <v>134.23529411764699</v>
      </c>
      <c r="G64" s="3473">
        <v>2007</v>
      </c>
      <c r="H64" s="373">
        <v>2</v>
      </c>
      <c r="I64" s="373">
        <v>3.67</v>
      </c>
      <c r="J64" s="373">
        <v>2.3199999999999998</v>
      </c>
      <c r="K64" s="373">
        <v>5.0199999999999996</v>
      </c>
      <c r="L64" s="399">
        <v>6.71</v>
      </c>
      <c r="N64" s="415">
        <f t="shared" si="233"/>
        <v>3.0339138143848001E-2</v>
      </c>
      <c r="O64" s="416">
        <f t="shared" si="233"/>
        <v>2.09223415887905E-2</v>
      </c>
      <c r="P64" s="416">
        <f t="shared" si="234"/>
        <v>5.6164796592717003E-2</v>
      </c>
      <c r="Q64" s="416">
        <f t="shared" si="234"/>
        <v>6.5704536723887305E-2</v>
      </c>
      <c r="R64" s="422"/>
      <c r="S64" s="395"/>
      <c r="T64" s="396"/>
      <c r="U64" s="396"/>
      <c r="V64" s="396"/>
      <c r="X64" s="431"/>
      <c r="Y64" s="431"/>
      <c r="Z64" s="431"/>
    </row>
    <row r="65" spans="1:26">
      <c r="A65" s="367" t="s">
        <v>2487</v>
      </c>
      <c r="B65" s="368">
        <f t="shared" si="235"/>
        <v>163.849135917795</v>
      </c>
      <c r="C65" s="368">
        <f t="shared" si="235"/>
        <v>145.028337874659</v>
      </c>
      <c r="D65" s="368">
        <f t="shared" si="213"/>
        <v>145.028337874659</v>
      </c>
      <c r="E65" s="368">
        <f t="shared" si="236"/>
        <v>204.95180722891601</v>
      </c>
      <c r="F65" s="368">
        <f t="shared" si="236"/>
        <v>125.959203036053</v>
      </c>
      <c r="G65" s="3476">
        <v>2007</v>
      </c>
      <c r="H65" s="369">
        <v>1</v>
      </c>
      <c r="I65" s="369">
        <v>3.58</v>
      </c>
      <c r="J65" s="369">
        <v>3.08</v>
      </c>
      <c r="K65" s="369">
        <v>4.34</v>
      </c>
      <c r="L65" s="397">
        <v>3.21</v>
      </c>
      <c r="N65" s="447">
        <f t="shared" si="233"/>
        <v>3.0497710174814101E-2</v>
      </c>
      <c r="O65" s="448">
        <f t="shared" si="233"/>
        <v>2.8569772160705002E-2</v>
      </c>
      <c r="P65" s="448">
        <f t="shared" si="234"/>
        <v>5.1034908866234303E-2</v>
      </c>
      <c r="Q65" s="448">
        <f t="shared" si="234"/>
        <v>3.2452483902074801E-2</v>
      </c>
      <c r="R65" s="422"/>
      <c r="S65" s="404">
        <f>B65/B66-1</f>
        <v>3.0497710174814101E-2</v>
      </c>
      <c r="T65" s="405">
        <f>C65/C66-1</f>
        <v>2.8569772160705002E-2</v>
      </c>
      <c r="U65" s="405">
        <f>E65/E66-1</f>
        <v>5.1034908866234303E-2</v>
      </c>
      <c r="V65" s="405">
        <f>F65/F66-1</f>
        <v>3.2452483902074801E-2</v>
      </c>
      <c r="X65" s="431"/>
      <c r="Y65" s="431"/>
      <c r="Z65" s="431"/>
    </row>
    <row r="66" spans="1:26">
      <c r="A66" s="367" t="s">
        <v>2488</v>
      </c>
      <c r="B66" s="376">
        <v>159</v>
      </c>
      <c r="C66" s="376">
        <v>141</v>
      </c>
      <c r="D66" s="376">
        <f t="shared" si="213"/>
        <v>141</v>
      </c>
      <c r="E66" s="376">
        <v>195</v>
      </c>
      <c r="F66" s="377">
        <v>122</v>
      </c>
      <c r="G66" s="3477">
        <v>2006</v>
      </c>
      <c r="H66" s="374">
        <v>4</v>
      </c>
      <c r="I66" s="374">
        <v>3.79</v>
      </c>
      <c r="J66" s="374">
        <v>2.21</v>
      </c>
      <c r="K66" s="374">
        <v>5.65</v>
      </c>
      <c r="L66" s="400">
        <v>5.41</v>
      </c>
      <c r="N66" s="415">
        <f t="shared" ref="N66:O69" si="237">I66/SUM(I$66:I$69)*(B$66/B$70-1)</f>
        <v>7.2454664627485302E-2</v>
      </c>
      <c r="O66" s="416">
        <f t="shared" si="237"/>
        <v>2.3237230038062801E-2</v>
      </c>
      <c r="P66" s="416">
        <f t="shared" ref="P66:Q69" si="238">K66/SUM(K$66:K$69)*(E$66/E$70-1)</f>
        <v>0.161468938663237</v>
      </c>
      <c r="Q66" s="416">
        <f t="shared" si="238"/>
        <v>5.0755230321793798E-2</v>
      </c>
      <c r="R66" s="422"/>
      <c r="S66" s="423"/>
      <c r="T66" s="424"/>
      <c r="U66" s="424"/>
      <c r="V66" s="424"/>
      <c r="X66" s="431"/>
      <c r="Y66" s="431"/>
      <c r="Z66" s="431"/>
    </row>
    <row r="67" spans="1:26">
      <c r="A67" s="367" t="s">
        <v>2489</v>
      </c>
      <c r="B67" s="368">
        <f t="shared" ref="B67:C69" si="239">B68+(B$66-B$70)*I67/SUM(I$66:I$69)</f>
        <v>149.001256281407</v>
      </c>
      <c r="C67" s="368">
        <f t="shared" si="239"/>
        <v>137.955922865014</v>
      </c>
      <c r="D67" s="368">
        <f t="shared" si="213"/>
        <v>137.955922865014</v>
      </c>
      <c r="E67" s="368">
        <f t="shared" ref="E67:F69" si="240">E68+(E$66-E$70)*K67/SUM(K$66:K$69)</f>
        <v>169.97231450719801</v>
      </c>
      <c r="F67" s="368">
        <f t="shared" si="240"/>
        <v>116.213903743316</v>
      </c>
      <c r="G67" s="3473">
        <v>2006</v>
      </c>
      <c r="H67" s="375">
        <v>3</v>
      </c>
      <c r="I67" s="375">
        <v>0.92</v>
      </c>
      <c r="J67" s="375">
        <v>1.08</v>
      </c>
      <c r="K67" s="375">
        <v>0.73</v>
      </c>
      <c r="L67" s="403">
        <v>1.08</v>
      </c>
      <c r="N67" s="415">
        <f t="shared" si="237"/>
        <v>1.75879396984925E-2</v>
      </c>
      <c r="O67" s="416">
        <f t="shared" si="237"/>
        <v>1.13557504258406E-2</v>
      </c>
      <c r="P67" s="416">
        <f t="shared" si="238"/>
        <v>2.0862358446754499E-2</v>
      </c>
      <c r="Q67" s="416">
        <f t="shared" si="238"/>
        <v>1.0132282578103001E-2</v>
      </c>
      <c r="R67" s="422"/>
      <c r="S67" s="395"/>
      <c r="T67" s="396"/>
      <c r="U67" s="396"/>
      <c r="V67" s="396"/>
      <c r="X67" s="431"/>
      <c r="Y67" s="431"/>
      <c r="Z67" s="431"/>
    </row>
    <row r="68" spans="1:26">
      <c r="A68" s="367" t="s">
        <v>2490</v>
      </c>
      <c r="B68" s="368">
        <f t="shared" si="239"/>
        <v>146.57412060301499</v>
      </c>
      <c r="C68" s="368">
        <f t="shared" si="239"/>
        <v>136.468319559229</v>
      </c>
      <c r="D68" s="368">
        <f t="shared" si="213"/>
        <v>136.468319559229</v>
      </c>
      <c r="E68" s="368">
        <f t="shared" si="240"/>
        <v>166.73864894795099</v>
      </c>
      <c r="F68" s="368">
        <f t="shared" si="240"/>
        <v>115.058823529412</v>
      </c>
      <c r="G68" s="3473">
        <v>2006</v>
      </c>
      <c r="H68" s="373">
        <v>2</v>
      </c>
      <c r="I68" s="373">
        <v>0.96</v>
      </c>
      <c r="J68" s="373">
        <v>0.25</v>
      </c>
      <c r="K68" s="373">
        <v>1.9</v>
      </c>
      <c r="L68" s="399">
        <v>0.95</v>
      </c>
      <c r="N68" s="415">
        <f t="shared" si="237"/>
        <v>1.8352632728861701E-2</v>
      </c>
      <c r="O68" s="416">
        <f t="shared" si="237"/>
        <v>2.62864593190755E-3</v>
      </c>
      <c r="P68" s="416">
        <f t="shared" si="238"/>
        <v>5.4299289107991297E-2</v>
      </c>
      <c r="Q68" s="416">
        <f t="shared" si="238"/>
        <v>8.9126559714794995E-3</v>
      </c>
      <c r="R68" s="422"/>
      <c r="S68" s="395"/>
      <c r="T68" s="396"/>
      <c r="U68" s="396"/>
      <c r="V68" s="396"/>
      <c r="X68" s="431"/>
      <c r="Y68" s="431"/>
      <c r="Z68" s="431"/>
    </row>
    <row r="69" spans="1:26">
      <c r="A69" s="367" t="s">
        <v>2491</v>
      </c>
      <c r="B69" s="368">
        <f t="shared" si="239"/>
        <v>144.04145728643201</v>
      </c>
      <c r="C69" s="368">
        <f t="shared" si="239"/>
        <v>136.123966942149</v>
      </c>
      <c r="D69" s="368">
        <f t="shared" si="213"/>
        <v>136.123966942149</v>
      </c>
      <c r="E69" s="368">
        <f t="shared" si="240"/>
        <v>158.32225913621301</v>
      </c>
      <c r="F69" s="368">
        <f t="shared" si="240"/>
        <v>114.04278074866301</v>
      </c>
      <c r="G69" s="3476">
        <v>2006</v>
      </c>
      <c r="H69" s="369">
        <v>1</v>
      </c>
      <c r="I69" s="369">
        <v>2.29</v>
      </c>
      <c r="J69" s="369">
        <v>3.72</v>
      </c>
      <c r="K69" s="369">
        <v>0.75</v>
      </c>
      <c r="L69" s="397">
        <v>0.04</v>
      </c>
      <c r="N69" s="447">
        <f t="shared" si="237"/>
        <v>4.3778675988638799E-2</v>
      </c>
      <c r="O69" s="448">
        <f t="shared" si="237"/>
        <v>3.9114251466784399E-2</v>
      </c>
      <c r="P69" s="448">
        <f t="shared" si="238"/>
        <v>2.1433929911049199E-2</v>
      </c>
      <c r="Q69" s="448">
        <f t="shared" si="238"/>
        <v>3.7526972511492602E-4</v>
      </c>
      <c r="R69" s="422"/>
      <c r="S69" s="404">
        <f>B69/B70-1</f>
        <v>4.3778675988638702E-2</v>
      </c>
      <c r="T69" s="405">
        <f>C69/C70-1</f>
        <v>3.91142514667846E-2</v>
      </c>
      <c r="U69" s="405">
        <f>E69/E70-1</f>
        <v>2.1433929911049299E-2</v>
      </c>
      <c r="V69" s="405">
        <f>F69/F70-1</f>
        <v>3.7526972511492401E-4</v>
      </c>
      <c r="X69" s="431"/>
      <c r="Y69" s="431"/>
      <c r="Z69" s="431"/>
    </row>
    <row r="70" spans="1:26">
      <c r="A70" s="367" t="s">
        <v>2492</v>
      </c>
      <c r="B70" s="376">
        <v>138</v>
      </c>
      <c r="C70" s="376">
        <v>131</v>
      </c>
      <c r="D70" s="376">
        <f t="shared" si="213"/>
        <v>131</v>
      </c>
      <c r="E70" s="376">
        <v>155</v>
      </c>
      <c r="F70" s="377">
        <v>114</v>
      </c>
      <c r="G70" s="3477">
        <v>2005</v>
      </c>
      <c r="H70" s="374">
        <v>4</v>
      </c>
      <c r="I70" s="374">
        <v>3.29</v>
      </c>
      <c r="J70" s="374">
        <v>1.44</v>
      </c>
      <c r="K70" s="374">
        <v>0.66</v>
      </c>
      <c r="L70" s="400">
        <v>7.78</v>
      </c>
      <c r="N70" s="415">
        <f t="shared" ref="N70:O73" si="241">I70/SUM(I$70:I$73)*(B$70/B$74-1)</f>
        <v>9.9404603216919907E-2</v>
      </c>
      <c r="O70" s="416">
        <f t="shared" si="241"/>
        <v>4.7636550760861603E-2</v>
      </c>
      <c r="P70" s="416">
        <f t="shared" ref="P70:Q73" si="242">K70/SUM(K$70:K$73)*(E$70/E$74-1)</f>
        <v>8.3756345177665004E-2</v>
      </c>
      <c r="Q70" s="416">
        <f t="shared" si="242"/>
        <v>5.2148766661559598E-2</v>
      </c>
      <c r="R70" s="422"/>
      <c r="S70" s="423"/>
      <c r="T70" s="424"/>
      <c r="U70" s="424"/>
      <c r="V70" s="424"/>
      <c r="X70" s="431"/>
      <c r="Y70" s="431"/>
      <c r="Z70" s="431"/>
    </row>
    <row r="71" spans="1:26">
      <c r="A71" s="367" t="s">
        <v>2493</v>
      </c>
      <c r="B71" s="368">
        <f t="shared" ref="B71:C73" si="243">B72+(B$70-B$74)*I71/SUM(I$70:I$73)</f>
        <v>125.972043010753</v>
      </c>
      <c r="C71" s="368">
        <f t="shared" si="243"/>
        <v>125.188340807175</v>
      </c>
      <c r="D71" s="368">
        <f t="shared" si="213"/>
        <v>125.188340807175</v>
      </c>
      <c r="E71" s="368">
        <f t="shared" ref="E71:F73" si="244">E72+(E$70-E$74)*K71/SUM(K$70:K$73)</f>
        <v>144.61421319797</v>
      </c>
      <c r="F71" s="368">
        <f t="shared" si="244"/>
        <v>108.42008196721299</v>
      </c>
      <c r="G71" s="3473">
        <v>2005</v>
      </c>
      <c r="H71" s="375">
        <v>3</v>
      </c>
      <c r="I71" s="375">
        <v>0.46</v>
      </c>
      <c r="J71" s="375">
        <v>0.32</v>
      </c>
      <c r="K71" s="375">
        <v>0.42</v>
      </c>
      <c r="L71" s="403">
        <v>0.64</v>
      </c>
      <c r="N71" s="415">
        <f t="shared" si="241"/>
        <v>1.38985159513019E-2</v>
      </c>
      <c r="O71" s="416">
        <f t="shared" si="241"/>
        <v>1.0585900169080301E-2</v>
      </c>
      <c r="P71" s="416">
        <f t="shared" si="242"/>
        <v>5.3299492385786802E-2</v>
      </c>
      <c r="Q71" s="416">
        <f t="shared" si="242"/>
        <v>4.2898728359123603E-3</v>
      </c>
      <c r="R71" s="422"/>
      <c r="S71" s="395"/>
      <c r="T71" s="396"/>
      <c r="U71" s="396"/>
      <c r="V71" s="396"/>
      <c r="X71" s="431"/>
      <c r="Y71" s="431"/>
      <c r="Z71" s="431"/>
    </row>
    <row r="72" spans="1:26">
      <c r="A72" s="367" t="s">
        <v>2494</v>
      </c>
      <c r="B72" s="368">
        <f t="shared" si="243"/>
        <v>124.290322580645</v>
      </c>
      <c r="C72" s="368">
        <f t="shared" si="243"/>
        <v>123.896860986547</v>
      </c>
      <c r="D72" s="368">
        <f t="shared" si="213"/>
        <v>123.896860986547</v>
      </c>
      <c r="E72" s="368">
        <f t="shared" si="244"/>
        <v>138.005076142132</v>
      </c>
      <c r="F72" s="368">
        <f t="shared" si="244"/>
        <v>107.96106557377</v>
      </c>
      <c r="G72" s="3473">
        <v>2005</v>
      </c>
      <c r="H72" s="373">
        <v>2</v>
      </c>
      <c r="I72" s="373">
        <v>0.47</v>
      </c>
      <c r="J72" s="373">
        <v>0.1</v>
      </c>
      <c r="K72" s="373">
        <v>0.52</v>
      </c>
      <c r="L72" s="399">
        <v>0.79</v>
      </c>
      <c r="N72" s="415">
        <f t="shared" si="241"/>
        <v>1.4200657602417101E-2</v>
      </c>
      <c r="O72" s="416">
        <f t="shared" si="241"/>
        <v>3.30809380283761E-3</v>
      </c>
      <c r="P72" s="416">
        <f t="shared" si="242"/>
        <v>6.5989847715736002E-2</v>
      </c>
      <c r="Q72" s="416">
        <f t="shared" si="242"/>
        <v>5.2953117818293196E-3</v>
      </c>
      <c r="R72" s="422"/>
      <c r="S72" s="395"/>
      <c r="T72" s="396"/>
      <c r="U72" s="396"/>
      <c r="V72" s="396"/>
      <c r="X72" s="431"/>
      <c r="Y72" s="431"/>
      <c r="Z72" s="431"/>
    </row>
    <row r="73" spans="1:26">
      <c r="A73" s="367" t="s">
        <v>2495</v>
      </c>
      <c r="B73" s="368">
        <f t="shared" si="243"/>
        <v>122.57204301075301</v>
      </c>
      <c r="C73" s="368">
        <f t="shared" si="243"/>
        <v>123.493273542601</v>
      </c>
      <c r="D73" s="368">
        <f t="shared" si="213"/>
        <v>123.493273542601</v>
      </c>
      <c r="E73" s="368">
        <f t="shared" si="244"/>
        <v>129.82233502538099</v>
      </c>
      <c r="F73" s="368">
        <f t="shared" si="244"/>
        <v>107.39446721311501</v>
      </c>
      <c r="G73" s="3476">
        <v>2005</v>
      </c>
      <c r="H73" s="369">
        <v>1</v>
      </c>
      <c r="I73" s="369">
        <v>0.43</v>
      </c>
      <c r="J73" s="369">
        <v>0.37</v>
      </c>
      <c r="K73" s="369">
        <v>0.37</v>
      </c>
      <c r="L73" s="397">
        <v>0.55000000000000004</v>
      </c>
      <c r="N73" s="447">
        <f t="shared" si="241"/>
        <v>1.2992090997956099E-2</v>
      </c>
      <c r="O73" s="448">
        <f t="shared" si="241"/>
        <v>1.22399470704992E-2</v>
      </c>
      <c r="P73" s="448">
        <f t="shared" si="242"/>
        <v>4.6954314720812199E-2</v>
      </c>
      <c r="Q73" s="448">
        <f t="shared" si="242"/>
        <v>3.6866094683621802E-3</v>
      </c>
      <c r="R73" s="422"/>
      <c r="S73" s="404">
        <f>B73/B74-1</f>
        <v>1.29920909979562E-2</v>
      </c>
      <c r="T73" s="405">
        <f>C73/C74-1</f>
        <v>1.22399470704992E-2</v>
      </c>
      <c r="U73" s="405">
        <f>E73/E74-1</f>
        <v>4.6954314720812199E-2</v>
      </c>
      <c r="V73" s="405">
        <f>F73/F74-1</f>
        <v>3.68660946836208E-3</v>
      </c>
      <c r="X73" s="431"/>
      <c r="Y73" s="431"/>
      <c r="Z73" s="431"/>
    </row>
    <row r="74" spans="1:26">
      <c r="A74" s="367" t="s">
        <v>2496</v>
      </c>
      <c r="B74" s="383">
        <v>121</v>
      </c>
      <c r="C74" s="383">
        <v>122</v>
      </c>
      <c r="D74" s="383">
        <f t="shared" si="213"/>
        <v>122</v>
      </c>
      <c r="E74" s="383">
        <v>124</v>
      </c>
      <c r="F74" s="384">
        <v>107</v>
      </c>
      <c r="G74" s="3477">
        <v>2004</v>
      </c>
      <c r="H74" s="374">
        <v>4</v>
      </c>
      <c r="I74" s="374">
        <v>0.33</v>
      </c>
      <c r="J74" s="374">
        <v>0.5</v>
      </c>
      <c r="K74" s="374">
        <v>0.5</v>
      </c>
      <c r="L74" s="400">
        <v>0</v>
      </c>
      <c r="N74" s="415">
        <f t="shared" ref="N74:O77" si="245">I74/SUM(I$74:I$77)*(B$74/B$78-1)</f>
        <v>1.33917701485269E-2</v>
      </c>
      <c r="O74" s="416">
        <f t="shared" si="245"/>
        <v>1.0632642211589599E-2</v>
      </c>
      <c r="P74" s="416">
        <f t="shared" ref="P74:Q77" si="246">K74/SUM(K$74:K$77)*(E$74/E$78-1)</f>
        <v>2.2244466688911099E-2</v>
      </c>
      <c r="Q74" s="416">
        <f t="shared" si="246"/>
        <v>0</v>
      </c>
      <c r="R74" s="422"/>
      <c r="S74" s="423"/>
      <c r="T74" s="424"/>
      <c r="U74" s="424"/>
      <c r="V74" s="424"/>
      <c r="X74" s="431"/>
      <c r="Y74" s="431"/>
      <c r="Z74" s="431"/>
    </row>
    <row r="75" spans="1:26">
      <c r="A75" s="367" t="s">
        <v>2497</v>
      </c>
      <c r="B75" s="368">
        <f t="shared" ref="B75:C77" si="247">B76+(B$74-B$78)*I75/SUM(I$74:I$77)</f>
        <v>119.513513513514</v>
      </c>
      <c r="C75" s="368">
        <f t="shared" si="247"/>
        <v>120.787878787879</v>
      </c>
      <c r="D75" s="368">
        <f t="shared" si="213"/>
        <v>120.787878787879</v>
      </c>
      <c r="E75" s="368">
        <f t="shared" ref="E75:F77" si="248">E76+(E$74-E$78)*K75/SUM(K$74:K$77)</f>
        <v>121.597597597598</v>
      </c>
      <c r="F75" s="368">
        <f t="shared" si="248"/>
        <v>107</v>
      </c>
      <c r="G75" s="3473">
        <v>2004</v>
      </c>
      <c r="H75" s="375">
        <v>3</v>
      </c>
      <c r="I75" s="375">
        <v>0.56000000000000005</v>
      </c>
      <c r="J75" s="375">
        <v>0.8</v>
      </c>
      <c r="K75" s="375">
        <v>0.83</v>
      </c>
      <c r="L75" s="403">
        <v>0.06</v>
      </c>
      <c r="N75" s="415">
        <f t="shared" si="245"/>
        <v>2.2725428130833499E-2</v>
      </c>
      <c r="O75" s="416">
        <f t="shared" si="245"/>
        <v>1.7012227538543302E-2</v>
      </c>
      <c r="P75" s="416">
        <f t="shared" si="246"/>
        <v>3.6925814703592498E-2</v>
      </c>
      <c r="Q75" s="416">
        <f t="shared" si="246"/>
        <v>2.8846153846153699E-2</v>
      </c>
      <c r="R75" s="422"/>
      <c r="S75" s="395"/>
      <c r="T75" s="396"/>
      <c r="U75" s="396"/>
      <c r="V75" s="396"/>
      <c r="X75" s="431"/>
      <c r="Y75" s="431"/>
      <c r="Z75" s="431"/>
    </row>
    <row r="76" spans="1:26">
      <c r="A76" s="367" t="s">
        <v>2498</v>
      </c>
      <c r="B76" s="368">
        <f t="shared" si="247"/>
        <v>116.99099099099099</v>
      </c>
      <c r="C76" s="368">
        <f t="shared" si="247"/>
        <v>118.848484848485</v>
      </c>
      <c r="D76" s="368">
        <f t="shared" si="213"/>
        <v>118.848484848485</v>
      </c>
      <c r="E76" s="368">
        <f t="shared" si="248"/>
        <v>117.60960960961</v>
      </c>
      <c r="F76" s="368">
        <f t="shared" si="248"/>
        <v>104</v>
      </c>
      <c r="G76" s="3473">
        <v>2004</v>
      </c>
      <c r="H76" s="373">
        <v>2</v>
      </c>
      <c r="I76" s="373">
        <v>1</v>
      </c>
      <c r="J76" s="373">
        <v>1.5</v>
      </c>
      <c r="K76" s="373">
        <v>1.5</v>
      </c>
      <c r="L76" s="399">
        <v>0</v>
      </c>
      <c r="N76" s="415">
        <f t="shared" si="245"/>
        <v>4.05811216622027E-2</v>
      </c>
      <c r="O76" s="416">
        <f t="shared" si="245"/>
        <v>3.1897926634768703E-2</v>
      </c>
      <c r="P76" s="416">
        <f t="shared" si="246"/>
        <v>6.6733400066733395E-2</v>
      </c>
      <c r="Q76" s="416">
        <f t="shared" si="246"/>
        <v>0</v>
      </c>
      <c r="R76" s="422"/>
      <c r="S76" s="395"/>
      <c r="T76" s="396"/>
      <c r="U76" s="396"/>
      <c r="V76" s="396"/>
      <c r="X76" s="431"/>
      <c r="Y76" s="431"/>
      <c r="Z76" s="431"/>
    </row>
    <row r="77" spans="1:26" s="349" customFormat="1">
      <c r="A77" s="367" t="s">
        <v>2499</v>
      </c>
      <c r="B77" s="386">
        <f t="shared" si="247"/>
        <v>112.486486486486</v>
      </c>
      <c r="C77" s="386">
        <f t="shared" si="247"/>
        <v>115.212121212121</v>
      </c>
      <c r="D77" s="386">
        <f t="shared" si="213"/>
        <v>115.212121212121</v>
      </c>
      <c r="E77" s="386">
        <f t="shared" si="248"/>
        <v>110.402402402402</v>
      </c>
      <c r="F77" s="386">
        <f t="shared" si="248"/>
        <v>104</v>
      </c>
      <c r="G77" s="3476">
        <v>2004</v>
      </c>
      <c r="H77" s="387">
        <v>1</v>
      </c>
      <c r="I77" s="387">
        <v>0.33</v>
      </c>
      <c r="J77" s="387">
        <v>0.5</v>
      </c>
      <c r="K77" s="387">
        <v>0.5</v>
      </c>
      <c r="L77" s="411">
        <v>0</v>
      </c>
      <c r="N77" s="449">
        <f t="shared" si="245"/>
        <v>1.33917701485269E-2</v>
      </c>
      <c r="O77" s="450">
        <f t="shared" si="245"/>
        <v>1.0632642211589599E-2</v>
      </c>
      <c r="P77" s="450">
        <f t="shared" si="246"/>
        <v>2.2244466688911099E-2</v>
      </c>
      <c r="Q77" s="450">
        <f t="shared" si="246"/>
        <v>0</v>
      </c>
      <c r="R77" s="430"/>
      <c r="S77" s="412">
        <f>B77/B78-1</f>
        <v>1.33917701485269E-2</v>
      </c>
      <c r="T77" s="413">
        <f>C77/C78-1</f>
        <v>1.06326422115897E-2</v>
      </c>
      <c r="U77" s="413">
        <f>E77/E78-1</f>
        <v>2.22444666889112E-2</v>
      </c>
      <c r="V77" s="413">
        <f>F77/F78-1</f>
        <v>0</v>
      </c>
      <c r="X77" s="457"/>
      <c r="Y77" s="457"/>
      <c r="Z77" s="457"/>
    </row>
    <row r="78" spans="1:26">
      <c r="A78" s="367" t="s">
        <v>2500</v>
      </c>
      <c r="B78" s="435">
        <v>111</v>
      </c>
      <c r="C78" s="435">
        <v>114</v>
      </c>
      <c r="D78" s="435">
        <f t="shared" si="213"/>
        <v>114</v>
      </c>
      <c r="E78" s="435">
        <v>108</v>
      </c>
      <c r="F78" s="436">
        <v>104</v>
      </c>
      <c r="G78" s="3477">
        <v>2003</v>
      </c>
      <c r="H78" s="388">
        <v>4</v>
      </c>
      <c r="I78" s="451"/>
      <c r="J78" s="451"/>
      <c r="K78" s="451"/>
      <c r="L78" s="451"/>
      <c r="N78" s="452"/>
      <c r="O78" s="451"/>
      <c r="P78" s="451"/>
      <c r="Q78" s="451"/>
      <c r="S78" s="452"/>
      <c r="T78" s="451"/>
      <c r="U78" s="451"/>
      <c r="V78" s="451"/>
      <c r="X78" s="431"/>
      <c r="Y78" s="431"/>
      <c r="Z78" s="431"/>
    </row>
    <row r="79" spans="1:26">
      <c r="A79" s="367" t="s">
        <v>2501</v>
      </c>
      <c r="B79" s="437">
        <f t="shared" ref="B79:C81" si="249">B80+(B$78-B$82)/4</f>
        <v>109.75</v>
      </c>
      <c r="C79" s="437">
        <f t="shared" si="249"/>
        <v>112.25</v>
      </c>
      <c r="D79" s="437">
        <f t="shared" si="213"/>
        <v>112.25</v>
      </c>
      <c r="E79" s="437">
        <f t="shared" ref="E79:F81" si="250">E80+(E$78-E$82)/4</f>
        <v>107.25</v>
      </c>
      <c r="F79" s="437">
        <f t="shared" si="250"/>
        <v>103.5</v>
      </c>
      <c r="G79" s="3473">
        <v>2003</v>
      </c>
      <c r="H79" s="375">
        <v>3</v>
      </c>
      <c r="I79" s="451"/>
      <c r="J79" s="451"/>
      <c r="K79" s="451"/>
      <c r="L79" s="451"/>
      <c r="X79" s="431"/>
      <c r="Y79" s="431"/>
      <c r="Z79" s="431"/>
    </row>
    <row r="80" spans="1:26">
      <c r="A80" s="367" t="s">
        <v>2502</v>
      </c>
      <c r="B80" s="437">
        <f t="shared" si="249"/>
        <v>108.5</v>
      </c>
      <c r="C80" s="437">
        <f t="shared" si="249"/>
        <v>110.5</v>
      </c>
      <c r="D80" s="437">
        <f t="shared" si="213"/>
        <v>110.5</v>
      </c>
      <c r="E80" s="437">
        <f t="shared" si="250"/>
        <v>106.5</v>
      </c>
      <c r="F80" s="437">
        <f t="shared" si="250"/>
        <v>103</v>
      </c>
      <c r="G80" s="3473">
        <v>2003</v>
      </c>
      <c r="H80" s="373">
        <v>2</v>
      </c>
      <c r="I80" s="451"/>
      <c r="J80" s="451"/>
      <c r="K80" s="451"/>
      <c r="L80" s="451"/>
      <c r="X80" s="431"/>
      <c r="Y80" s="431"/>
      <c r="Z80" s="431"/>
    </row>
    <row r="81" spans="1:26">
      <c r="A81" s="367" t="s">
        <v>2503</v>
      </c>
      <c r="B81" s="437">
        <f t="shared" si="249"/>
        <v>107.25</v>
      </c>
      <c r="C81" s="437">
        <f t="shared" si="249"/>
        <v>108.75</v>
      </c>
      <c r="D81" s="437">
        <f t="shared" si="213"/>
        <v>108.75</v>
      </c>
      <c r="E81" s="437">
        <f t="shared" si="250"/>
        <v>105.75</v>
      </c>
      <c r="F81" s="437">
        <f t="shared" si="250"/>
        <v>102.5</v>
      </c>
      <c r="G81" s="3476">
        <v>2003</v>
      </c>
      <c r="H81" s="438">
        <v>1</v>
      </c>
      <c r="I81" s="451"/>
      <c r="J81" s="451"/>
      <c r="K81" s="451"/>
      <c r="L81" s="451"/>
      <c r="S81" s="395"/>
      <c r="T81" s="396"/>
      <c r="U81" s="396"/>
      <c r="X81" s="431"/>
      <c r="Y81" s="431"/>
      <c r="Z81" s="431"/>
    </row>
    <row r="82" spans="1:26">
      <c r="A82" s="367" t="s">
        <v>2504</v>
      </c>
      <c r="B82" s="439">
        <v>106</v>
      </c>
      <c r="C82" s="439">
        <v>107</v>
      </c>
      <c r="D82" s="439">
        <f t="shared" si="213"/>
        <v>107</v>
      </c>
      <c r="E82" s="439">
        <v>105</v>
      </c>
      <c r="F82" s="440">
        <v>102</v>
      </c>
      <c r="G82" s="3477">
        <v>2002</v>
      </c>
      <c r="H82" s="374">
        <v>4</v>
      </c>
      <c r="I82" s="451"/>
      <c r="J82" s="451"/>
      <c r="K82" s="451"/>
      <c r="L82" s="451"/>
      <c r="N82" s="452"/>
      <c r="O82" s="451"/>
      <c r="P82" s="451"/>
      <c r="Q82" s="451"/>
      <c r="S82" s="452"/>
      <c r="T82" s="451"/>
      <c r="U82" s="451"/>
      <c r="V82" s="451"/>
      <c r="X82" s="431"/>
      <c r="Y82" s="431"/>
      <c r="Z82" s="431"/>
    </row>
    <row r="83" spans="1:26">
      <c r="A83" s="367" t="s">
        <v>2505</v>
      </c>
      <c r="B83" s="437">
        <f t="shared" ref="B83:C85" si="251">B84+(B$82-B$86)/4</f>
        <v>105</v>
      </c>
      <c r="C83" s="437">
        <f t="shared" si="251"/>
        <v>106</v>
      </c>
      <c r="D83" s="437">
        <f t="shared" si="213"/>
        <v>106</v>
      </c>
      <c r="E83" s="437">
        <f t="shared" ref="E83:F85" si="252">E84+(E$82-E$86)/4</f>
        <v>104.5</v>
      </c>
      <c r="F83" s="437">
        <f t="shared" si="252"/>
        <v>101.5</v>
      </c>
      <c r="G83" s="3473">
        <v>2002</v>
      </c>
      <c r="H83" s="375">
        <v>3</v>
      </c>
      <c r="I83" s="451"/>
      <c r="J83" s="451"/>
      <c r="K83" s="451"/>
      <c r="L83" s="451"/>
      <c r="X83" s="431"/>
      <c r="Y83" s="431"/>
      <c r="Z83" s="431"/>
    </row>
    <row r="84" spans="1:26">
      <c r="A84" s="367" t="s">
        <v>2506</v>
      </c>
      <c r="B84" s="437">
        <f t="shared" si="251"/>
        <v>104</v>
      </c>
      <c r="C84" s="437">
        <f t="shared" si="251"/>
        <v>105</v>
      </c>
      <c r="D84" s="437">
        <f t="shared" si="213"/>
        <v>105</v>
      </c>
      <c r="E84" s="437">
        <f t="shared" si="252"/>
        <v>104</v>
      </c>
      <c r="F84" s="437">
        <f t="shared" si="252"/>
        <v>101</v>
      </c>
      <c r="G84" s="3473">
        <v>2002</v>
      </c>
      <c r="H84" s="373">
        <v>2</v>
      </c>
      <c r="I84" s="451"/>
      <c r="J84" s="451"/>
      <c r="K84" s="451"/>
      <c r="L84" s="451"/>
      <c r="X84" s="431"/>
      <c r="Y84" s="431"/>
      <c r="Z84" s="431"/>
    </row>
    <row r="85" spans="1:26" s="348" customFormat="1">
      <c r="A85" s="379" t="s">
        <v>2507</v>
      </c>
      <c r="B85" s="425">
        <f t="shared" si="251"/>
        <v>103</v>
      </c>
      <c r="C85" s="425">
        <f t="shared" si="251"/>
        <v>104</v>
      </c>
      <c r="D85" s="425">
        <f t="shared" si="213"/>
        <v>104</v>
      </c>
      <c r="E85" s="425">
        <f t="shared" si="252"/>
        <v>103.5</v>
      </c>
      <c r="F85" s="425">
        <f t="shared" si="252"/>
        <v>100.5</v>
      </c>
      <c r="G85" s="3476">
        <v>2002</v>
      </c>
      <c r="H85" s="441">
        <v>1</v>
      </c>
      <c r="I85" s="453"/>
      <c r="J85" s="453"/>
      <c r="K85" s="453"/>
      <c r="L85" s="453"/>
      <c r="N85" s="454"/>
      <c r="S85" s="454"/>
      <c r="X85" s="458"/>
      <c r="Y85" s="458"/>
      <c r="Z85" s="458"/>
    </row>
    <row r="86" spans="1:26">
      <c r="B86" s="442">
        <v>102</v>
      </c>
      <c r="C86" s="443">
        <v>103</v>
      </c>
      <c r="D86" s="443">
        <f t="shared" si="213"/>
        <v>103</v>
      </c>
      <c r="E86" s="443">
        <v>103</v>
      </c>
      <c r="F86" s="444">
        <v>100</v>
      </c>
      <c r="I86" s="451"/>
      <c r="J86" s="451"/>
      <c r="K86" s="451"/>
      <c r="L86" s="451"/>
      <c r="N86" s="452"/>
      <c r="O86" s="451"/>
      <c r="P86" s="451"/>
      <c r="Q86" s="451"/>
      <c r="S86" s="452"/>
      <c r="T86" s="451"/>
      <c r="U86" s="451"/>
      <c r="V86" s="451"/>
      <c r="X86" s="424"/>
      <c r="Y86" s="424"/>
      <c r="Z86" s="424"/>
    </row>
    <row r="88" spans="1:26" s="350" customFormat="1">
      <c r="A88" s="445" t="s">
        <v>2508</v>
      </c>
      <c r="G88" s="446"/>
      <c r="N88" s="446"/>
      <c r="S88" s="446"/>
    </row>
    <row r="89" spans="1:26" s="350" customFormat="1">
      <c r="A89" s="350" t="s">
        <v>2509</v>
      </c>
      <c r="G89" s="446"/>
      <c r="N89" s="446"/>
      <c r="S89" s="446"/>
    </row>
    <row r="90" spans="1:26" s="350" customFormat="1">
      <c r="A90" s="350" t="s">
        <v>2510</v>
      </c>
      <c r="G90" s="446"/>
      <c r="I90" s="455"/>
      <c r="J90" s="455"/>
      <c r="K90" s="455"/>
      <c r="L90" s="455"/>
      <c r="N90" s="456"/>
      <c r="O90" s="455"/>
      <c r="P90" s="455"/>
      <c r="Q90" s="455"/>
      <c r="S90" s="456"/>
      <c r="T90" s="455"/>
      <c r="U90" s="455"/>
      <c r="V90" s="455"/>
    </row>
    <row r="91" spans="1:26" s="350" customFormat="1">
      <c r="A91" s="350" t="s">
        <v>2511</v>
      </c>
      <c r="G91" s="446"/>
      <c r="N91" s="446"/>
      <c r="S91" s="446"/>
    </row>
    <row r="99" spans="7:22">
      <c r="G99" s="351"/>
      <c r="S99" s="459" t="s">
        <v>2512</v>
      </c>
      <c r="T99" s="375" t="s">
        <v>2513</v>
      </c>
      <c r="U99" s="375" t="s">
        <v>2514</v>
      </c>
      <c r="V99" s="375" t="s">
        <v>2515</v>
      </c>
    </row>
    <row r="100" spans="7:22">
      <c r="G100" s="351"/>
      <c r="N100" s="423"/>
      <c r="O100" s="424"/>
      <c r="P100" s="424"/>
      <c r="Q100" s="424"/>
      <c r="S100" s="460">
        <v>2006</v>
      </c>
      <c r="T100" s="373">
        <v>15.1</v>
      </c>
      <c r="U100" s="373">
        <v>7.43</v>
      </c>
      <c r="V100" s="373">
        <v>26.26</v>
      </c>
    </row>
    <row r="101" spans="7:22">
      <c r="G101" s="351"/>
      <c r="N101" s="423"/>
      <c r="O101" s="424"/>
      <c r="P101" s="424"/>
      <c r="Q101" s="424"/>
      <c r="S101" s="461">
        <v>2005</v>
      </c>
      <c r="T101" s="369">
        <v>13.9</v>
      </c>
      <c r="U101" s="369">
        <v>7.49</v>
      </c>
      <c r="V101" s="369">
        <v>24.92</v>
      </c>
    </row>
    <row r="102" spans="7:22">
      <c r="G102" s="351"/>
      <c r="N102" s="423"/>
      <c r="O102" s="424"/>
      <c r="P102" s="424"/>
      <c r="Q102" s="424"/>
      <c r="S102" s="460">
        <v>2004</v>
      </c>
      <c r="T102" s="373">
        <v>9.48</v>
      </c>
      <c r="U102" s="373">
        <v>7.2</v>
      </c>
      <c r="V102" s="373">
        <v>14.68</v>
      </c>
    </row>
    <row r="103" spans="7:22">
      <c r="G103" s="351"/>
      <c r="N103" s="423"/>
      <c r="O103" s="424"/>
      <c r="P103" s="424"/>
      <c r="Q103" s="424"/>
      <c r="S103" s="461">
        <v>2003</v>
      </c>
      <c r="T103" s="369">
        <v>4.5</v>
      </c>
      <c r="U103" s="369">
        <v>6.12</v>
      </c>
      <c r="V103" s="369">
        <v>2.34</v>
      </c>
    </row>
    <row r="104" spans="7:22">
      <c r="G104" s="351"/>
      <c r="N104" s="423"/>
      <c r="O104" s="424"/>
      <c r="P104" s="424"/>
      <c r="Q104" s="424"/>
      <c r="S104" s="462">
        <v>2002</v>
      </c>
      <c r="T104" s="374">
        <v>3.59</v>
      </c>
      <c r="U104" s="374">
        <v>4.54</v>
      </c>
      <c r="V104" s="374">
        <v>2.5499999999999998</v>
      </c>
    </row>
    <row r="105" spans="7:22">
      <c r="G105" s="351"/>
      <c r="N105" s="423"/>
      <c r="O105" s="424"/>
      <c r="P105" s="424"/>
      <c r="Q105" s="424"/>
    </row>
    <row r="106" spans="7:22">
      <c r="G106" s="351"/>
      <c r="N106" s="423"/>
      <c r="O106" s="424"/>
      <c r="P106" s="424"/>
      <c r="Q106" s="424"/>
    </row>
    <row r="107" spans="7:22">
      <c r="G107" s="351"/>
      <c r="N107" s="423"/>
      <c r="O107" s="424"/>
      <c r="P107" s="424"/>
      <c r="Q107" s="424"/>
    </row>
    <row r="108" spans="7:22">
      <c r="G108" s="351"/>
      <c r="N108" s="423"/>
      <c r="O108" s="424"/>
      <c r="P108" s="424"/>
      <c r="Q108" s="424"/>
    </row>
    <row r="109" spans="7:22">
      <c r="G109" s="351"/>
      <c r="N109" s="423"/>
      <c r="O109" s="424"/>
      <c r="P109" s="424"/>
      <c r="Q109" s="424"/>
    </row>
    <row r="110" spans="7:22">
      <c r="G110" s="351"/>
      <c r="N110" s="423"/>
      <c r="O110" s="424"/>
      <c r="P110" s="424"/>
      <c r="Q110" s="424"/>
    </row>
    <row r="111" spans="7:22">
      <c r="G111" s="351"/>
      <c r="N111" s="423"/>
      <c r="O111" s="424"/>
      <c r="P111" s="424"/>
      <c r="Q111" s="424"/>
    </row>
    <row r="112" spans="7:22">
      <c r="G112" s="351"/>
      <c r="N112" s="423"/>
      <c r="O112" s="424"/>
      <c r="P112" s="424"/>
      <c r="Q112" s="424"/>
    </row>
    <row r="113" spans="7:19">
      <c r="G113" s="351"/>
      <c r="N113" s="423"/>
      <c r="O113" s="424"/>
      <c r="P113" s="424"/>
      <c r="Q113" s="424"/>
    </row>
    <row r="114" spans="7:19">
      <c r="G114" s="351"/>
      <c r="N114" s="423"/>
      <c r="O114" s="424"/>
      <c r="P114" s="424"/>
      <c r="Q114" s="424"/>
    </row>
    <row r="115" spans="7:19">
      <c r="G115" s="351"/>
      <c r="N115" s="423"/>
      <c r="O115" s="424"/>
      <c r="P115" s="424"/>
      <c r="Q115" s="424"/>
      <c r="S115" s="351"/>
    </row>
    <row r="116" spans="7:19">
      <c r="G116" s="351"/>
      <c r="N116" s="423"/>
      <c r="O116" s="424"/>
      <c r="P116" s="424"/>
      <c r="Q116" s="424"/>
      <c r="S116" s="351"/>
    </row>
    <row r="117" spans="7:19">
      <c r="G117" s="351"/>
      <c r="N117" s="423"/>
      <c r="O117" s="424"/>
      <c r="P117" s="424"/>
      <c r="Q117" s="424"/>
      <c r="S117" s="351"/>
    </row>
    <row r="118" spans="7:19">
      <c r="G118" s="351"/>
      <c r="N118" s="423"/>
      <c r="O118" s="424"/>
      <c r="P118" s="424"/>
      <c r="Q118" s="424"/>
      <c r="S118" s="351"/>
    </row>
    <row r="119" spans="7:19">
      <c r="G119" s="351"/>
      <c r="N119" s="423"/>
      <c r="O119" s="424"/>
      <c r="P119" s="424"/>
      <c r="Q119" s="424"/>
      <c r="S119" s="351"/>
    </row>
    <row r="120" spans="7:19">
      <c r="G120" s="351"/>
      <c r="N120" s="423"/>
      <c r="O120" s="424"/>
      <c r="P120" s="424"/>
      <c r="Q120" s="424"/>
      <c r="S120" s="351"/>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
      <c r="A1" s="3127" t="str">
        <f>IF(项目基本情况!B9="房地产市场价值","估价结果一览表","结果表-2")</f>
        <v>结果表-2</v>
      </c>
      <c r="B1" s="3127"/>
      <c r="C1" s="3127"/>
      <c r="D1" s="3127"/>
      <c r="E1" s="3127"/>
      <c r="F1" s="3127"/>
      <c r="G1" s="3127"/>
      <c r="H1" s="3127"/>
      <c r="I1" s="3127"/>
    </row>
    <row r="2" spans="1:9" ht="30" customHeight="1">
      <c r="A2" s="3128" t="s">
        <v>107</v>
      </c>
      <c r="B2" s="3128" t="s">
        <v>108</v>
      </c>
      <c r="C2" s="3128" t="s">
        <v>109</v>
      </c>
      <c r="D2" s="3128" t="str">
        <f>结果表!D116</f>
        <v>出让国有建设用地使用权价值</v>
      </c>
      <c r="E2" s="3128"/>
      <c r="F2" s="3128" t="str">
        <f>结果表!F116</f>
        <v>在建建筑物价值</v>
      </c>
      <c r="G2" s="3128"/>
      <c r="H2" s="3128" t="str">
        <f>IF(项目基本情况!B9="房地产市场价值","房地产市场价值","房地产价值")</f>
        <v>房地产价值</v>
      </c>
      <c r="I2" s="3128"/>
    </row>
    <row r="3" spans="1:9" ht="15">
      <c r="A3" s="3129"/>
      <c r="B3" s="3129"/>
      <c r="C3" s="3129"/>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72308.930000000008</v>
      </c>
      <c r="C4" s="2995">
        <f>项目基本情况!C18</f>
        <v>0</v>
      </c>
      <c r="D4" s="2995">
        <f ca="1">结果表!D118</f>
        <v>118721</v>
      </c>
      <c r="E4" s="2995" t="e">
        <f ca="1">结果表!E118</f>
        <v>#DIV/0!</v>
      </c>
      <c r="F4" s="2995">
        <f ca="1">结果表!F118</f>
        <v>40422</v>
      </c>
      <c r="G4" s="2995" t="e">
        <f ca="1">结果表!G118</f>
        <v>#DIV/0!</v>
      </c>
      <c r="H4" s="2995">
        <f ca="1">结果表!H118</f>
        <v>159143</v>
      </c>
      <c r="I4" s="2995" t="e">
        <f ca="1">结果表!I118</f>
        <v>#DIV/0!</v>
      </c>
    </row>
    <row r="5" spans="1:9" ht="30" customHeight="1">
      <c r="A5" s="3129" t="s">
        <v>112</v>
      </c>
      <c r="B5" s="3129"/>
      <c r="C5" s="3129"/>
      <c r="D5" s="3130" t="str">
        <f ca="1">结果表!D119</f>
        <v>壹拾壹亿捌仟柒佰贰拾壹万元整</v>
      </c>
      <c r="E5" s="3130"/>
      <c r="F5" s="3130" t="str">
        <f ca="1">结果表!F119</f>
        <v>肆亿零肆佰贰拾贰万元整</v>
      </c>
      <c r="G5" s="3130"/>
      <c r="H5" s="3130" t="str">
        <f ca="1">结果表!H119</f>
        <v>壹拾伍亿玖仟壹佰肆拾叁万元整</v>
      </c>
      <c r="I5" s="3130"/>
    </row>
    <row r="6" spans="1:9" ht="15.75">
      <c r="A6" s="3131" t="str">
        <f>结果表!A120</f>
        <v>估价师知悉的法定优先受偿款</v>
      </c>
      <c r="B6" s="3131"/>
      <c r="C6" s="3131"/>
      <c r="D6" s="3131">
        <f>结果表!D120</f>
        <v>0</v>
      </c>
      <c r="E6" s="3131"/>
      <c r="F6" s="3131"/>
      <c r="G6" s="3131"/>
      <c r="H6" s="3131"/>
      <c r="I6" s="3131"/>
    </row>
    <row r="7" spans="1:9" ht="15">
      <c r="A7" s="3129" t="s">
        <v>112</v>
      </c>
      <c r="B7" s="3129"/>
      <c r="C7" s="3129"/>
      <c r="D7" s="3132" t="str">
        <f>结果表!D121</f>
        <v>零元整</v>
      </c>
      <c r="E7" s="3133"/>
      <c r="F7" s="3133"/>
      <c r="G7" s="3133"/>
      <c r="H7" s="3133"/>
      <c r="I7" s="3134"/>
    </row>
    <row r="8" spans="1:9" ht="15.75">
      <c r="A8" s="3131" t="str">
        <f>结果表!A122</f>
        <v>房地产抵押价值</v>
      </c>
      <c r="B8" s="3131"/>
      <c r="C8" s="3131"/>
      <c r="D8" s="3131">
        <f ca="1">结果表!D122</f>
        <v>159143</v>
      </c>
      <c r="E8" s="3131"/>
      <c r="F8" s="3131"/>
      <c r="G8" s="3131"/>
      <c r="H8" s="3131"/>
      <c r="I8" s="3131"/>
    </row>
    <row r="9" spans="1:9" ht="15">
      <c r="A9" s="3129" t="s">
        <v>112</v>
      </c>
      <c r="B9" s="3129"/>
      <c r="C9" s="3129"/>
      <c r="D9" s="3130" t="str">
        <f ca="1">结果表!D123</f>
        <v>壹拾伍亿玖仟壹佰肆拾叁万元整</v>
      </c>
      <c r="E9" s="3130"/>
      <c r="F9" s="3130"/>
      <c r="G9" s="3130"/>
      <c r="H9" s="3130"/>
      <c r="I9" s="3130"/>
    </row>
    <row r="10" spans="1:9" ht="15.75">
      <c r="A10" s="3131" t="str">
        <f>结果表!A124</f>
        <v/>
      </c>
      <c r="B10" s="3131"/>
      <c r="C10" s="3131"/>
      <c r="D10" s="3131" t="str">
        <f>结果表!D124</f>
        <v>——</v>
      </c>
      <c r="E10" s="3131"/>
      <c r="F10" s="3131"/>
      <c r="G10" s="3131"/>
      <c r="H10" s="3131"/>
      <c r="I10" s="3131"/>
    </row>
    <row r="11" spans="1:9" ht="15">
      <c r="A11" s="3129" t="s">
        <v>112</v>
      </c>
      <c r="B11" s="3129"/>
      <c r="C11" s="3129"/>
      <c r="D11" s="3130" t="e">
        <f>结果表!D125</f>
        <v>#VALUE!</v>
      </c>
      <c r="E11" s="3130"/>
      <c r="F11" s="3130"/>
      <c r="G11" s="3130"/>
      <c r="H11" s="3130"/>
      <c r="I11" s="3130"/>
    </row>
    <row r="12" spans="1:9" ht="15.75">
      <c r="A12" s="3131" t="str">
        <f>结果表!A126</f>
        <v>抵押净值</v>
      </c>
      <c r="B12" s="3131"/>
      <c r="C12" s="3131"/>
      <c r="D12" s="3131">
        <f ca="1">结果表!D126</f>
        <v>150727</v>
      </c>
      <c r="E12" s="3131"/>
      <c r="F12" s="3131"/>
      <c r="G12" s="3131"/>
      <c r="H12" s="3131"/>
      <c r="I12" s="3131"/>
    </row>
    <row r="13" spans="1:9" ht="15">
      <c r="A13" s="3135" t="s">
        <v>112</v>
      </c>
      <c r="B13" s="3135"/>
      <c r="C13" s="3135"/>
      <c r="D13" s="3136" t="str">
        <f ca="1">结果表!D127</f>
        <v>壹拾伍亿零柒佰贰拾柒万元整</v>
      </c>
      <c r="E13" s="3136"/>
      <c r="F13" s="3136"/>
      <c r="G13" s="3136"/>
      <c r="H13" s="3136"/>
      <c r="I13" s="3136"/>
    </row>
    <row r="14" spans="1:9">
      <c r="A14" s="3137" t="s">
        <v>113</v>
      </c>
      <c r="B14" s="3137"/>
      <c r="C14" s="3137"/>
      <c r="D14" s="3137"/>
      <c r="E14" s="3137"/>
      <c r="F14" s="3137"/>
      <c r="G14" s="3137"/>
      <c r="H14" s="3137"/>
      <c r="I14" s="3137"/>
    </row>
    <row r="16" spans="1:9" ht="18.75">
      <c r="A16" s="2997" t="s">
        <v>106</v>
      </c>
      <c r="B16" s="1362"/>
      <c r="C16" s="1362"/>
      <c r="D16" s="1362"/>
      <c r="E16" s="1362"/>
      <c r="F16" s="1362"/>
      <c r="G16" s="1362"/>
      <c r="H16" s="1362"/>
      <c r="I16" s="1362"/>
    </row>
    <row r="17" spans="1:9">
      <c r="A17" s="1362"/>
      <c r="B17" s="1362"/>
      <c r="C17" s="1362"/>
      <c r="D17" s="1362"/>
      <c r="E17" s="1362"/>
      <c r="F17" s="1362"/>
      <c r="G17" s="1362"/>
      <c r="H17" s="1362"/>
      <c r="I17" s="1362"/>
    </row>
    <row r="18" spans="1:9">
      <c r="A18" s="1362"/>
      <c r="B18" s="1362"/>
      <c r="C18" s="1362"/>
      <c r="D18" s="1362"/>
      <c r="E18" s="1362"/>
      <c r="F18" s="1362"/>
      <c r="G18" s="1362"/>
      <c r="H18" s="1362"/>
      <c r="I18" s="1362"/>
    </row>
    <row r="19" spans="1:9">
      <c r="A19" s="1362"/>
      <c r="B19" s="1362"/>
      <c r="C19" s="1362"/>
      <c r="D19" s="1362"/>
      <c r="E19" s="1362"/>
      <c r="F19" s="1362"/>
      <c r="G19" s="1362"/>
      <c r="H19" s="1362"/>
      <c r="I19" s="1362"/>
    </row>
    <row r="20" spans="1:9">
      <c r="A20" s="1362"/>
      <c r="B20" s="1362"/>
      <c r="C20" s="1362"/>
      <c r="D20" s="1362"/>
      <c r="E20" s="1362"/>
      <c r="F20" s="1362"/>
      <c r="G20" s="1362"/>
      <c r="H20" s="1362"/>
      <c r="I20" s="1362"/>
    </row>
    <row r="21" spans="1:9">
      <c r="A21" s="1362"/>
      <c r="B21" s="1362"/>
      <c r="C21" s="1362"/>
      <c r="D21" s="1362"/>
      <c r="E21" s="1362"/>
      <c r="F21" s="1362"/>
      <c r="G21" s="1362"/>
      <c r="H21" s="1362"/>
      <c r="I21" s="1362"/>
    </row>
    <row r="22" spans="1:9">
      <c r="A22" s="1362"/>
      <c r="B22" s="1362"/>
      <c r="C22" s="1362"/>
      <c r="D22" s="1362"/>
      <c r="E22" s="1362"/>
      <c r="F22" s="1362"/>
      <c r="G22" s="1362"/>
      <c r="H22" s="1362"/>
      <c r="I22" s="13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73686</v>
      </c>
      <c r="C2" s="150" t="s">
        <v>2535</v>
      </c>
      <c r="D2" s="147"/>
      <c r="E2" s="147"/>
      <c r="F2" s="147"/>
      <c r="G2" s="147"/>
    </row>
    <row r="3" spans="1:7" s="136" customFormat="1" ht="18" customHeight="1">
      <c r="A3" s="151" t="s">
        <v>2536</v>
      </c>
      <c r="B3" s="152">
        <f>ROUND(B2*10000/'数据-汇总表'!E3,0)</f>
        <v>10190</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902</v>
      </c>
      <c r="D9" s="174">
        <f>'数据-汇总表'!E5</f>
        <v>56359.41</v>
      </c>
      <c r="E9" s="173">
        <f>'数据-取费表'!B27</f>
        <v>160</v>
      </c>
      <c r="F9" s="168"/>
      <c r="G9" s="175"/>
    </row>
    <row r="10" spans="1:7" s="138" customFormat="1" ht="13.5" customHeight="1">
      <c r="A10" s="171" t="s">
        <v>1413</v>
      </c>
      <c r="B10" s="172" t="s">
        <v>2548</v>
      </c>
      <c r="C10" s="173">
        <f>ROUND(D10*E10/10000,0)</f>
        <v>319</v>
      </c>
      <c r="D10" s="174">
        <f>'数据-汇总表'!E6</f>
        <v>15949.520000000004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1446</v>
      </c>
      <c r="D19" s="159">
        <f>'数据-汇总表'!E3</f>
        <v>72308.930000000008</v>
      </c>
      <c r="E19" s="158">
        <f>'数据-取费表'!B31</f>
        <v>200</v>
      </c>
      <c r="F19" s="180"/>
      <c r="G19" s="170" t="s">
        <v>2560</v>
      </c>
    </row>
    <row r="20" spans="1:7" s="138" customFormat="1" ht="13.5" customHeight="1">
      <c r="A20" s="179" t="s">
        <v>2561</v>
      </c>
      <c r="B20" s="157" t="s">
        <v>2562</v>
      </c>
      <c r="C20" s="181">
        <f>ROUND((C5+C19)*F20,0)</f>
        <v>441</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2285</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2115</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148</v>
      </c>
      <c r="D24" s="191"/>
      <c r="E24" s="191"/>
      <c r="F24" s="192"/>
      <c r="G24" s="193" t="s">
        <v>2573</v>
      </c>
    </row>
    <row r="25" spans="1:7" s="138" customFormat="1" ht="24">
      <c r="A25" s="189" t="s">
        <v>1408</v>
      </c>
      <c r="B25" s="162" t="s">
        <v>2574</v>
      </c>
      <c r="C25" s="190">
        <f>ROUND(IF('数据-取费表'!B22&lt;=1,C20*F22*'数据-取费表'!B23/2,C20*(POWER((1+F22),'数据-取费表'!B23/2)-1)),0)</f>
        <v>22</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2808</v>
      </c>
      <c r="D27" s="184">
        <f>C29</f>
        <v>2.5000000000000001E-3</v>
      </c>
      <c r="E27" s="185" t="s">
        <v>2566</v>
      </c>
      <c r="F27" s="199">
        <f>'数据-取费表'!Q16</f>
        <v>0.13</v>
      </c>
      <c r="G27" s="200" t="s">
        <v>2579</v>
      </c>
    </row>
    <row r="28" spans="1:7" s="138" customFormat="1" ht="13.5" customHeight="1">
      <c r="A28" s="189" t="s">
        <v>1404</v>
      </c>
      <c r="B28" s="201" t="s">
        <v>2580</v>
      </c>
      <c r="C28" s="202">
        <f>ROUND((C5+C19+C20)*F27*'数据-取费表'!B21/'数据-取费表'!B20,0)</f>
        <v>2808</v>
      </c>
      <c r="D28" s="184"/>
      <c r="E28" s="185"/>
      <c r="F28" s="199"/>
      <c r="G28" s="200"/>
    </row>
    <row r="29" spans="1:7" s="138" customFormat="1" ht="13.5" customHeight="1">
      <c r="A29" s="189" t="s">
        <v>1406</v>
      </c>
      <c r="B29" s="201" t="s">
        <v>2581</v>
      </c>
      <c r="C29" s="191">
        <f>ROUND(C21*F27*'数据-取费表'!B21/'数据-取费表'!B20,4)</f>
        <v>2.5000000000000001E-3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29855</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33648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29706</v>
      </c>
      <c r="D34" s="164"/>
      <c r="E34" s="167"/>
      <c r="F34" s="210">
        <f>IF('数据-取费表'!B24=0,1,'数据-取费表'!N16)</f>
        <v>0.96</v>
      </c>
      <c r="G34" s="166" t="s">
        <v>2591</v>
      </c>
    </row>
    <row r="35" spans="1:7" ht="13.5" customHeight="1">
      <c r="A35" s="189" t="s">
        <v>1406</v>
      </c>
      <c r="B35" s="162" t="s">
        <v>2592</v>
      </c>
      <c r="C35" s="167">
        <f>ROUND(C34*F35,0)</f>
        <v>891</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1217</v>
      </c>
      <c r="D36" s="167"/>
      <c r="E36" s="167"/>
      <c r="F36" s="211">
        <f>'数据-取费表'!B34</f>
        <v>0.05</v>
      </c>
      <c r="G36" s="212" t="s">
        <v>2595</v>
      </c>
    </row>
    <row r="37" spans="1:7" s="140" customFormat="1" ht="13.5" customHeight="1">
      <c r="A37" s="189" t="s">
        <v>1449</v>
      </c>
      <c r="B37" s="162" t="s">
        <v>2596</v>
      </c>
      <c r="C37" s="202">
        <f>ROUND(E37*D37*F34/10000,0)</f>
        <v>1388</v>
      </c>
      <c r="D37" s="164">
        <f>'数据-汇总表'!E3</f>
        <v>72308.930000000008</v>
      </c>
      <c r="E37" s="202">
        <f>'数据-取费表'!B35</f>
        <v>200</v>
      </c>
      <c r="F37" s="211"/>
      <c r="G37" s="213" t="s">
        <v>2597</v>
      </c>
    </row>
    <row r="38" spans="1:7" ht="13.5" customHeight="1">
      <c r="A38" s="189" t="s">
        <v>1471</v>
      </c>
      <c r="B38" s="162" t="s">
        <v>2550</v>
      </c>
      <c r="C38" s="167">
        <f>ROUND(C34*F38,0)</f>
        <v>446</v>
      </c>
      <c r="D38" s="167"/>
      <c r="E38" s="167"/>
      <c r="F38" s="211">
        <f>'数据-取费表'!B36</f>
        <v>1.4999999999999999E-2</v>
      </c>
      <c r="G38" s="166" t="s">
        <v>2593</v>
      </c>
    </row>
    <row r="39" spans="1:7" s="138" customFormat="1" ht="13.5" customHeight="1">
      <c r="A39" s="179" t="s">
        <v>2558</v>
      </c>
      <c r="B39" s="157" t="s">
        <v>2562</v>
      </c>
      <c r="C39" s="181">
        <f>ROUND(C33*F20,0)</f>
        <v>673</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1718</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1684</v>
      </c>
      <c r="D42" s="191"/>
      <c r="E42" s="191"/>
      <c r="F42" s="192"/>
      <c r="G42" s="3312" t="s">
        <v>2601</v>
      </c>
    </row>
    <row r="43" spans="1:7" ht="13.5" customHeight="1">
      <c r="A43" s="189" t="s">
        <v>1406</v>
      </c>
      <c r="B43" s="162" t="s">
        <v>2572</v>
      </c>
      <c r="C43" s="191">
        <f>ROUND(IF('数据-取费表'!B22&lt;=1,C39*F22*'数据-取费表'!B21/2,C39*(POWER((1+F22),'数据-取费表'!B21/2)-1)),0)</f>
        <v>34</v>
      </c>
      <c r="D43" s="191"/>
      <c r="E43" s="191"/>
      <c r="F43" s="192"/>
      <c r="G43" s="3313"/>
    </row>
    <row r="44" spans="1:7" ht="13.5" customHeight="1">
      <c r="A44" s="189" t="s">
        <v>1408</v>
      </c>
      <c r="B44" s="162" t="s">
        <v>2574</v>
      </c>
      <c r="C44" s="191">
        <f>ROUND(IF('数据-取费表'!B22&lt;=1,C40*F22*'数据-取费表'!B21/2,C40*(POWER((1+F22),'数据-取费表'!B21/2)-1)),4)</f>
        <v>1E-3</v>
      </c>
      <c r="D44" s="191"/>
      <c r="E44" s="191"/>
      <c r="F44" s="192"/>
      <c r="G44" s="3314"/>
    </row>
    <row r="45" spans="1:7" s="138" customFormat="1" ht="13.5" customHeight="1">
      <c r="A45" s="179" t="s">
        <v>2568</v>
      </c>
      <c r="B45" s="197" t="s">
        <v>2578</v>
      </c>
      <c r="C45" s="198">
        <f>C46</f>
        <v>4462</v>
      </c>
      <c r="D45" s="184">
        <f>C47</f>
        <v>2.5999999999999999E-3</v>
      </c>
      <c r="E45" s="185" t="s">
        <v>2599</v>
      </c>
      <c r="F45" s="199"/>
      <c r="G45" s="200" t="s">
        <v>2602</v>
      </c>
    </row>
    <row r="46" spans="1:7" s="138" customFormat="1" ht="13.5" customHeight="1">
      <c r="A46" s="189" t="s">
        <v>1404</v>
      </c>
      <c r="B46" s="201" t="s">
        <v>2603</v>
      </c>
      <c r="C46" s="202">
        <f>ROUND((C33+C39)*F27,0)</f>
        <v>4462</v>
      </c>
      <c r="D46" s="215"/>
      <c r="E46" s="185"/>
      <c r="F46" s="199"/>
      <c r="G46" s="200"/>
    </row>
    <row r="47" spans="1:7" s="138" customFormat="1" ht="13.5" customHeight="1">
      <c r="A47" s="189" t="s">
        <v>1406</v>
      </c>
      <c r="B47" s="201" t="s">
        <v>2604</v>
      </c>
      <c r="C47" s="191">
        <f>ROUND(C40*F27,4)</f>
        <v>2.5999999999999999E-3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43831</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43831</v>
      </c>
      <c r="D51" s="181"/>
      <c r="E51" s="181"/>
      <c r="F51" s="216"/>
      <c r="G51" s="186" t="s">
        <v>2614</v>
      </c>
    </row>
    <row r="52" spans="1:7" s="137" customFormat="1" ht="15.75">
      <c r="A52" s="217" t="s">
        <v>2615</v>
      </c>
      <c r="B52" s="218"/>
      <c r="C52" s="219">
        <f>C31+C51</f>
        <v>73686</v>
      </c>
      <c r="D52" s="218"/>
      <c r="E52" s="218"/>
      <c r="F52" s="218"/>
      <c r="G52" s="220"/>
    </row>
    <row r="55" spans="1:7" ht="15">
      <c r="B55" s="221" t="s">
        <v>2616</v>
      </c>
      <c r="C55" s="222"/>
    </row>
    <row r="56" spans="1:7">
      <c r="B56" s="223" t="s">
        <v>2617</v>
      </c>
      <c r="C56" s="224">
        <f>ROUND(C51/C52,3)</f>
        <v>0.59499999999999997</v>
      </c>
    </row>
    <row r="57" spans="1:7">
      <c r="B57" s="223" t="s">
        <v>2618</v>
      </c>
      <c r="C57" s="225">
        <f>1-C56</f>
        <v>0.40500000000000003</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81" t="s">
        <v>2619</v>
      </c>
      <c r="B1" s="3481"/>
      <c r="C1" s="3481"/>
      <c r="D1" s="3481"/>
      <c r="E1" s="3481"/>
      <c r="F1" s="3481"/>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82" t="s">
        <v>2620</v>
      </c>
      <c r="B2" s="3482"/>
      <c r="C2" s="3482"/>
      <c r="D2" s="3482"/>
      <c r="E2" s="3482"/>
      <c r="F2" s="3482"/>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83"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84"/>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81" t="s">
        <v>2963</v>
      </c>
      <c r="B1" s="3481"/>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5"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3138" t="s">
        <v>114</v>
      </c>
      <c r="B1" s="3138"/>
      <c r="C1" s="3138"/>
      <c r="D1" s="3138"/>
    </row>
    <row r="2" spans="1:4" ht="18">
      <c r="A2" s="3139" t="s">
        <v>115</v>
      </c>
      <c r="B2" s="3139"/>
      <c r="C2" s="3139"/>
      <c r="D2" s="3139"/>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39" t="s">
        <v>121</v>
      </c>
      <c r="B6" s="3139"/>
      <c r="C6" s="3139"/>
      <c r="D6" s="3139"/>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40" t="s">
        <v>126</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41" t="str">
        <f>IF(项目基本情况!B8="抵押","4.本次评估估价师所知悉的法定优先受偿款情况说明如下：","——")</f>
        <v>4.本次评估估价师所知悉的法定优先受偿款情况说明如下：</v>
      </c>
      <c r="B14" s="3142"/>
      <c r="C14" s="3142"/>
      <c r="D14" s="3142"/>
    </row>
    <row r="15" spans="1:4" ht="42" customHeight="1">
      <c r="A15" s="31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1"/>
      <c r="C15" s="3141"/>
      <c r="D15" s="3141"/>
    </row>
    <row r="16" spans="1:4" ht="30" customHeight="1">
      <c r="A16" s="3143" t="s">
        <v>127</v>
      </c>
      <c r="B16" s="3143"/>
      <c r="C16" s="3143"/>
      <c r="D16" s="3143"/>
    </row>
    <row r="17" spans="1:4" ht="144" customHeight="1">
      <c r="A17" s="3143" t="s">
        <v>128</v>
      </c>
      <c r="B17" s="3143"/>
      <c r="C17" s="3143"/>
      <c r="D17" s="3143"/>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1"/>
      <c r="C20" s="3141"/>
      <c r="D20" s="3141"/>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5"/>
      <c r="C21" s="3145"/>
      <c r="D21" s="3145"/>
    </row>
    <row r="22" spans="1:4" ht="18.75" customHeight="1">
      <c r="A22" s="3146" t="s">
        <v>129</v>
      </c>
      <c r="B22" s="3146"/>
      <c r="C22" s="3146"/>
      <c r="D22" s="3146"/>
    </row>
    <row r="23" spans="1:4">
      <c r="A23" s="2992"/>
      <c r="B23" s="1362"/>
      <c r="C23" s="1362"/>
      <c r="D23" s="1362"/>
    </row>
    <row r="24" spans="1:4">
      <c r="A24" s="2992"/>
      <c r="B24" s="1362"/>
      <c r="C24" s="1362"/>
      <c r="D24" s="1362"/>
    </row>
    <row r="25" spans="1:4" ht="18.75">
      <c r="A25" s="2993" t="s">
        <v>130</v>
      </c>
    </row>
    <row r="26" spans="1:4" ht="18">
      <c r="A26" s="2994"/>
    </row>
    <row r="27" spans="1:4" ht="18.75">
      <c r="A27" s="2994" t="s">
        <v>131</v>
      </c>
    </row>
    <row r="30" spans="1:4" ht="18.75">
      <c r="D30" s="2993" t="s">
        <v>132</v>
      </c>
    </row>
    <row r="31" spans="1:4" ht="13.5" customHeight="1">
      <c r="C31" s="3144">
        <v>42551</v>
      </c>
      <c r="D31" s="314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9" t="s">
        <v>146</v>
      </c>
      <c r="B15" s="3154" t="s">
        <v>147</v>
      </c>
      <c r="C15" s="3148"/>
    </row>
    <row r="16" spans="1:7" ht="13.5">
      <c r="A16" s="3150"/>
      <c r="B16" s="3154" t="s">
        <v>148</v>
      </c>
      <c r="C16" s="3148"/>
    </row>
    <row r="17" spans="1:3" ht="13.5">
      <c r="A17" s="3150"/>
      <c r="B17" s="3153" t="s">
        <v>149</v>
      </c>
      <c r="C17" s="2974" t="s">
        <v>146</v>
      </c>
    </row>
    <row r="18" spans="1:3" ht="13.5">
      <c r="A18" s="3150"/>
      <c r="B18" s="3153"/>
      <c r="C18" s="2974" t="s">
        <v>150</v>
      </c>
    </row>
    <row r="19" spans="1:3" ht="13.5">
      <c r="A19" s="3150"/>
      <c r="B19" s="3153"/>
      <c r="C19" s="2974" t="s">
        <v>151</v>
      </c>
    </row>
    <row r="20" spans="1:3" ht="13.5">
      <c r="A20" s="3151"/>
      <c r="B20" s="3147" t="s">
        <v>152</v>
      </c>
      <c r="C20" s="3148"/>
    </row>
    <row r="21" spans="1:3" ht="13.5">
      <c r="A21" s="2975" t="s">
        <v>153</v>
      </c>
      <c r="B21" s="2976"/>
      <c r="C21" s="2977"/>
    </row>
    <row r="22" spans="1:3" ht="13.5">
      <c r="A22" s="3152" t="s">
        <v>154</v>
      </c>
      <c r="B22" s="3147" t="s">
        <v>155</v>
      </c>
      <c r="C22" s="3148"/>
    </row>
    <row r="23" spans="1:3" ht="13.5">
      <c r="A23" s="3152"/>
      <c r="B23" s="3147" t="s">
        <v>156</v>
      </c>
      <c r="C23" s="3148"/>
    </row>
    <row r="24" spans="1:3" ht="13.5">
      <c r="A24" s="3152"/>
      <c r="B24" s="3147" t="s">
        <v>157</v>
      </c>
      <c r="C24" s="3148"/>
    </row>
    <row r="25" spans="1:3" ht="13.5">
      <c r="A25" s="3152"/>
      <c r="B25" s="3153" t="s">
        <v>158</v>
      </c>
      <c r="C25" s="2974" t="s">
        <v>159</v>
      </c>
    </row>
    <row r="26" spans="1:3" ht="13.5">
      <c r="A26" s="3152"/>
      <c r="B26" s="3153"/>
      <c r="C26" s="2974" t="s">
        <v>160</v>
      </c>
    </row>
    <row r="27" spans="1:3" ht="13.5">
      <c r="A27" s="3152"/>
      <c r="B27" s="3153"/>
      <c r="C27" s="2974" t="s">
        <v>161</v>
      </c>
    </row>
    <row r="28" spans="1:3" ht="13.5">
      <c r="A28" s="3152"/>
      <c r="B28" s="3153"/>
      <c r="C28" s="2974" t="s">
        <v>162</v>
      </c>
    </row>
    <row r="29" spans="1:3" ht="13.5">
      <c r="A29" s="3152"/>
      <c r="B29" s="3153"/>
      <c r="C29" s="2974" t="s">
        <v>163</v>
      </c>
    </row>
    <row r="30" spans="1:3" ht="13.5">
      <c r="A30" s="3152"/>
      <c r="B30" s="3153"/>
      <c r="C30" s="2974" t="s">
        <v>164</v>
      </c>
    </row>
    <row r="31" spans="1:3" ht="13.5">
      <c r="A31" s="3152"/>
      <c r="B31" s="3153"/>
      <c r="C31" s="2974" t="s">
        <v>165</v>
      </c>
    </row>
    <row r="32" spans="1:3" ht="13.5">
      <c r="A32" s="3152"/>
      <c r="B32" s="3153"/>
      <c r="C32" s="2974" t="s">
        <v>166</v>
      </c>
    </row>
    <row r="33" spans="1:3" ht="13.5">
      <c r="A33" s="3152"/>
      <c r="B33" s="3153"/>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45475</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5" t="s">
        <v>197</v>
      </c>
      <c r="B17" s="3155"/>
      <c r="C17" s="3155"/>
      <c r="D17" s="3155"/>
      <c r="E17" s="3155"/>
      <c r="F17" s="3155"/>
      <c r="G17" s="3155"/>
      <c r="H17" s="3155"/>
    </row>
    <row r="18" spans="1:8" ht="24" customHeight="1">
      <c r="A18" s="3156" t="s">
        <v>198</v>
      </c>
      <c r="B18" s="3156"/>
      <c r="C18" s="3156"/>
      <c r="D18" s="2943"/>
      <c r="E18" s="3157" t="s">
        <v>199</v>
      </c>
      <c r="F18" s="3156"/>
      <c r="G18" s="3156"/>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5"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2024-07-02T08:01:31Z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