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50丰台区芳菲路60号院2号楼4层440\"/>
    </mc:Choice>
  </mc:AlternateContent>
  <xr:revisionPtr revIDLastSave="0" documentId="13_ncr:1_{41394768-D84D-40EC-8006-AE71C1482922}" xr6:coauthVersionLast="47" xr6:coauthVersionMax="47" xr10:uidLastSave="{00000000-0000-0000-0000-000000000000}"/>
  <bookViews>
    <workbookView xWindow="-120" yWindow="-120" windowWidth="29040" windowHeight="158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成本法 (元)" sheetId="80"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3">'成本法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6" i="33" l="1"/>
  <c r="G36" i="33" s="1"/>
  <c r="I36" i="33" s="1"/>
  <c r="Y6" i="1"/>
  <c r="U23" i="1"/>
  <c r="L22" i="1"/>
  <c r="N20" i="1"/>
  <c r="F19" i="6"/>
  <c r="C33" i="33" s="1"/>
  <c r="C19" i="6"/>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4" i="81" l="1"/>
  <c r="E14" i="81"/>
  <c r="M14" i="81"/>
  <c r="F14" i="81"/>
  <c r="D42" i="81"/>
  <c r="D44" i="81"/>
  <c r="P68" i="81"/>
  <c r="F48" i="80"/>
  <c r="M18" i="15"/>
  <c r="L14" i="81" l="1"/>
  <c r="E6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A35" i="79"/>
  <c r="AD35" i="79" s="1"/>
  <c r="T48" i="79"/>
  <c r="U54" i="79"/>
  <c r="AI54" i="79" s="1"/>
  <c r="AD55" i="79"/>
  <c r="S56" i="79"/>
  <c r="AG56" i="79" s="1"/>
  <c r="U58" i="79"/>
  <c r="AI58" i="79" s="1"/>
  <c r="AD59" i="79"/>
  <c r="Z3" i="79"/>
  <c r="AD46" i="79"/>
  <c r="AD44" i="79"/>
  <c r="AD45" i="79"/>
  <c r="AD42" i="79"/>
  <c r="AD43" i="79"/>
  <c r="AR48" i="79"/>
  <c r="AR49" i="79" s="1"/>
  <c r="AR50" i="79" s="1"/>
  <c r="AR51" i="79" s="1"/>
  <c r="AR52" i="79" s="1"/>
  <c r="AR53" i="79" s="1"/>
  <c r="AR54" i="79" s="1"/>
  <c r="AR55" i="79" s="1"/>
  <c r="AR56" i="79" s="1"/>
  <c r="AR57" i="79" s="1"/>
  <c r="AR58" i="79" s="1"/>
  <c r="AR59" i="79" s="1"/>
  <c r="AR60" i="79" s="1"/>
  <c r="S41" i="79"/>
  <c r="AG41" i="79" s="1"/>
  <c r="S39" i="79"/>
  <c r="AG39" i="79" s="1"/>
  <c r="S42" i="79"/>
  <c r="AG42" i="79" s="1"/>
  <c r="S38" i="79"/>
  <c r="AG38" i="79" s="1"/>
  <c r="S40" i="79"/>
  <c r="AG40" i="79" s="1"/>
  <c r="S37" i="79"/>
  <c r="AG37" i="79" s="1"/>
  <c r="S43" i="79"/>
  <c r="AG43" i="79" s="1"/>
  <c r="T38" i="79"/>
  <c r="T42" i="79"/>
  <c r="T41" i="79"/>
  <c r="T40" i="79"/>
  <c r="T43" i="79"/>
  <c r="T37" i="79"/>
  <c r="T39" i="79"/>
  <c r="N35"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39" i="79"/>
  <c r="AK39" i="79" s="1"/>
  <c r="AH39" i="79"/>
  <c r="W41" i="79"/>
  <c r="AK41" i="79" s="1"/>
  <c r="AH41" i="79"/>
  <c r="AH37" i="79"/>
  <c r="W37" i="79"/>
  <c r="AK37" i="79" s="1"/>
  <c r="AH42" i="79"/>
  <c r="W42" i="79"/>
  <c r="AK42" i="79" s="1"/>
  <c r="W43" i="79"/>
  <c r="AK43" i="79" s="1"/>
  <c r="AH43" i="79"/>
  <c r="W38" i="79"/>
  <c r="AK38" i="79" s="1"/>
  <c r="AH38"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F38" i="71" s="1"/>
  <c r="F39" i="71" s="1"/>
  <c r="F40" i="71" s="1"/>
  <c r="V40" i="71" s="1"/>
  <c r="P37" i="71"/>
  <c r="E38" i="71" s="1"/>
  <c r="E39" i="71" s="1"/>
  <c r="E40" i="71" s="1"/>
  <c r="U40" i="71" s="1"/>
  <c r="O37" i="7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N28" i="71"/>
  <c r="B30" i="71"/>
  <c r="B31" i="71" s="1"/>
  <c r="E30" i="71"/>
  <c r="E31" i="71" s="1"/>
  <c r="E32" i="71" s="1"/>
  <c r="U32" i="71" s="1"/>
  <c r="N68" i="71"/>
  <c r="C30" i="71"/>
  <c r="C31" i="71" s="1"/>
  <c r="C38" i="71"/>
  <c r="C28" i="71"/>
  <c r="T28" i="71" s="1"/>
  <c r="P28" i="71"/>
  <c r="E28" i="71" s="1"/>
  <c r="U68" i="71"/>
  <c r="Q28" i="71"/>
  <c r="T68" i="71"/>
  <c r="Q68" i="71"/>
  <c r="D72" i="71"/>
  <c r="C75" i="71"/>
  <c r="D75" i="71" s="1"/>
  <c r="D76" i="71"/>
  <c r="D80" i="71"/>
  <c r="C83" i="71"/>
  <c r="D83" i="71" s="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H31" i="39"/>
  <c r="AB31" i="39" s="1"/>
  <c r="J31" i="39"/>
  <c r="AC31" i="39" s="1"/>
  <c r="J18" i="36"/>
  <c r="AC18" i="36" s="1"/>
  <c r="H18" i="35"/>
  <c r="AB18" i="35" s="1"/>
  <c r="J18" i="35"/>
  <c r="H21" i="37"/>
  <c r="U21" i="37" s="1"/>
  <c r="F21" i="37"/>
  <c r="AA21" i="37" s="1"/>
  <c r="H21" i="34"/>
  <c r="H21" i="33"/>
  <c r="U21" i="33" s="1"/>
  <c r="F21" i="33"/>
  <c r="S21" i="33" s="1"/>
  <c r="E83" i="21"/>
  <c r="F83" i="21" s="1"/>
  <c r="G83" i="21" s="1"/>
  <c r="H1" i="69"/>
  <c r="AB21" i="37"/>
  <c r="AA21" i="33"/>
  <c r="AC18" i="35"/>
  <c r="W18" i="35"/>
  <c r="J21" i="37"/>
  <c r="W21" i="37" s="1"/>
  <c r="J21" i="34"/>
  <c r="W21" i="34" s="1"/>
  <c r="J21" i="33"/>
  <c r="W21" i="33" s="1"/>
  <c r="H21" i="21"/>
  <c r="U21" i="21" s="1"/>
  <c r="F38" i="69"/>
  <c r="E37" i="69"/>
  <c r="F36" i="69"/>
  <c r="F35" i="69"/>
  <c r="F21" i="69"/>
  <c r="F40" i="69" s="1"/>
  <c r="F20" i="69"/>
  <c r="F39" i="69" s="1"/>
  <c r="E10" i="69"/>
  <c r="E9" i="69"/>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F38" i="39" s="1"/>
  <c r="S38"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W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J16" i="40" s="1"/>
  <c r="W16" i="40" s="1"/>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s="1"/>
  <c r="Q36" i="40"/>
  <c r="Z36" i="40" s="1"/>
  <c r="J36" i="40"/>
  <c r="AC36" i="40" s="1"/>
  <c r="H36" i="40"/>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H16" i="39" s="1"/>
  <c r="B85" i="39"/>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B110" i="37"/>
  <c r="J39" i="37" s="1"/>
  <c r="AC39" i="37" s="1"/>
  <c r="B108" i="37"/>
  <c r="H38" i="37" s="1"/>
  <c r="C23" i="37"/>
  <c r="C19" i="37"/>
  <c r="C17" i="37"/>
  <c r="C15" i="37"/>
  <c r="B112" i="37"/>
  <c r="J40" i="37" s="1"/>
  <c r="D107" i="37"/>
  <c r="E107" i="37" s="1"/>
  <c r="F107" i="37" s="1"/>
  <c r="D105" i="37"/>
  <c r="E105" i="37" s="1"/>
  <c r="F105" i="37" s="1"/>
  <c r="G105" i="37" s="1"/>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s="1"/>
  <c r="U27" i="37" s="1"/>
  <c r="B82" i="37"/>
  <c r="H26" i="37" s="1"/>
  <c r="AB26" i="37" s="1"/>
  <c r="D79" i="37"/>
  <c r="E79" i="37" s="1"/>
  <c r="D75" i="37"/>
  <c r="E75" i="37" s="1"/>
  <c r="D73" i="37"/>
  <c r="E73" i="37" s="1"/>
  <c r="F73" i="37" s="1"/>
  <c r="G73" i="37" s="1"/>
  <c r="D71" i="37"/>
  <c r="H15" i="37"/>
  <c r="AB15" i="37" s="1"/>
  <c r="B68" i="37"/>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H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W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Q25" i="36"/>
  <c r="Z25" i="36" s="1"/>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F25" i="35" s="1"/>
  <c r="S25" i="35" s="1"/>
  <c r="B75" i="35"/>
  <c r="B73" i="35"/>
  <c r="B57" i="35"/>
  <c r="F11" i="35" s="1"/>
  <c r="S11" i="35" s="1"/>
  <c r="B61" i="35"/>
  <c r="B59" i="35"/>
  <c r="B131" i="34"/>
  <c r="F47" i="34" s="1"/>
  <c r="S47" i="34" s="1"/>
  <c r="B129" i="34"/>
  <c r="J46" i="34" s="1"/>
  <c r="B127" i="34"/>
  <c r="B99" i="34"/>
  <c r="B97" i="34"/>
  <c r="B95" i="34"/>
  <c r="J30" i="34" s="1"/>
  <c r="B93" i="34"/>
  <c r="B75" i="34"/>
  <c r="B73" i="34"/>
  <c r="B71" i="34"/>
  <c r="B130" i="33"/>
  <c r="H46" i="33" s="1"/>
  <c r="B128" i="33"/>
  <c r="J45" i="33" s="1"/>
  <c r="B126" i="33"/>
  <c r="J44" i="33" s="1"/>
  <c r="AC44" i="33" s="1"/>
  <c r="B98" i="33"/>
  <c r="F31" i="33" s="1"/>
  <c r="B96" i="33"/>
  <c r="F30" i="33" s="1"/>
  <c r="B94" i="33"/>
  <c r="B74" i="33"/>
  <c r="F14" i="33" s="1"/>
  <c r="B72" i="33"/>
  <c r="H13" i="33" s="1"/>
  <c r="U13" i="33" s="1"/>
  <c r="B70"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H8" i="34"/>
  <c r="U8" i="34" s="1"/>
  <c r="F8" i="34"/>
  <c r="S8" i="34" s="1"/>
  <c r="D121" i="33"/>
  <c r="E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D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C20" i="20"/>
  <c r="B58"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J46" i="21" s="1"/>
  <c r="B128" i="21"/>
  <c r="B126" i="21"/>
  <c r="B98" i="21"/>
  <c r="H31" i="21" s="1"/>
  <c r="AB31" i="21" s="1"/>
  <c r="B96" i="21"/>
  <c r="B94" i="21"/>
  <c r="B92" i="21"/>
  <c r="B90" i="21"/>
  <c r="J27" i="21" s="1"/>
  <c r="W27" i="21"/>
  <c r="B74" i="21"/>
  <c r="F14" i="21" s="1"/>
  <c r="S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H43" i="21"/>
  <c r="AB43" i="21" s="1"/>
  <c r="F38" i="21"/>
  <c r="S38" i="21" s="1"/>
  <c r="F36" i="21"/>
  <c r="F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F26" i="21"/>
  <c r="S26" i="21" s="1"/>
  <c r="S41" i="21"/>
  <c r="J47" i="39"/>
  <c r="W47" i="39" s="1"/>
  <c r="J46" i="39"/>
  <c r="J37" i="39"/>
  <c r="AC37" i="39" s="1"/>
  <c r="U11" i="39"/>
  <c r="E103" i="37"/>
  <c r="F103" i="37" s="1"/>
  <c r="G103" i="37" s="1"/>
  <c r="H103" i="37" s="1"/>
  <c r="I103" i="37" s="1"/>
  <c r="J103" i="37" s="1"/>
  <c r="K103" i="37" s="1"/>
  <c r="L103" i="37" s="1"/>
  <c r="M103" i="37" s="1"/>
  <c r="F29" i="36"/>
  <c r="AA29" i="36" s="1"/>
  <c r="F16" i="36"/>
  <c r="AA16" i="36" s="1"/>
  <c r="H22" i="35"/>
  <c r="AB22" i="35" s="1"/>
  <c r="F36" i="34"/>
  <c r="J35" i="34"/>
  <c r="W35" i="34" s="1"/>
  <c r="H39" i="33"/>
  <c r="AB39" i="33"/>
  <c r="H39" i="37"/>
  <c r="F13" i="40"/>
  <c r="AA13" i="40" s="1"/>
  <c r="H13" i="40"/>
  <c r="AB13" i="40" s="1"/>
  <c r="W10" i="40"/>
  <c r="U11" i="40"/>
  <c r="F44" i="39"/>
  <c r="AA44" i="39" s="1"/>
  <c r="F43" i="39"/>
  <c r="S43" i="39" s="1"/>
  <c r="H42" i="39"/>
  <c r="AB42" i="39" s="1"/>
  <c r="H41" i="39"/>
  <c r="U41" i="39" s="1"/>
  <c r="H36" i="39"/>
  <c r="E102" i="39"/>
  <c r="H29" i="39" s="1"/>
  <c r="H21" i="39"/>
  <c r="AB21" i="39" s="1"/>
  <c r="F21" i="39"/>
  <c r="AA21" i="39" s="1"/>
  <c r="H19" i="39"/>
  <c r="AB19" i="39" s="1"/>
  <c r="F19" i="39"/>
  <c r="J25" i="40"/>
  <c r="AC25" i="40" s="1"/>
  <c r="F23" i="40"/>
  <c r="J23" i="40"/>
  <c r="W23" i="40" s="1"/>
  <c r="H44" i="39"/>
  <c r="J36" i="39"/>
  <c r="AC36" i="39" s="1"/>
  <c r="J21" i="39"/>
  <c r="AC21" i="39" s="1"/>
  <c r="J19" i="39"/>
  <c r="AC19" i="39" s="1"/>
  <c r="F11" i="21"/>
  <c r="S11" i="21" s="1"/>
  <c r="U34" i="21"/>
  <c r="H13" i="39"/>
  <c r="C17" i="39"/>
  <c r="H32" i="33"/>
  <c r="AB32" i="33" s="1"/>
  <c r="H11" i="21"/>
  <c r="U11" i="21" s="1"/>
  <c r="J11" i="21"/>
  <c r="W11" i="21" s="1"/>
  <c r="H39" i="40"/>
  <c r="U39" i="40" s="1"/>
  <c r="H38" i="40"/>
  <c r="AB38" i="40" s="1"/>
  <c r="F37" i="40"/>
  <c r="H25" i="40"/>
  <c r="AB25" i="40" s="1"/>
  <c r="H19" i="40"/>
  <c r="U19" i="40" s="1"/>
  <c r="J17" i="40"/>
  <c r="W17" i="40" s="1"/>
  <c r="J13" i="40"/>
  <c r="AB10" i="39"/>
  <c r="F39" i="39"/>
  <c r="AA39" i="39" s="1"/>
  <c r="U30" i="36"/>
  <c r="J30" i="35"/>
  <c r="W30" i="35" s="1"/>
  <c r="H30" i="35"/>
  <c r="AB30" i="35" s="1"/>
  <c r="F22" i="35"/>
  <c r="H10" i="35"/>
  <c r="U10" i="35" s="1"/>
  <c r="W30" i="36"/>
  <c r="H16" i="36"/>
  <c r="AB16" i="36"/>
  <c r="J29" i="36"/>
  <c r="AC29" i="36" s="1"/>
  <c r="F12" i="36"/>
  <c r="F34" i="36"/>
  <c r="F14" i="35"/>
  <c r="AA14" i="35" s="1"/>
  <c r="J32" i="35"/>
  <c r="AC32" i="35" s="1"/>
  <c r="J16" i="35"/>
  <c r="AC16" i="35" s="1"/>
  <c r="H16" i="35"/>
  <c r="F16" i="35"/>
  <c r="H14" i="35"/>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H36" i="34"/>
  <c r="U36" i="34" s="1"/>
  <c r="F37" i="34"/>
  <c r="AA37" i="34" s="1"/>
  <c r="F28" i="34"/>
  <c r="F25" i="34"/>
  <c r="S25" i="34" s="1"/>
  <c r="H23" i="34"/>
  <c r="J23" i="34"/>
  <c r="F19" i="34"/>
  <c r="H17" i="34"/>
  <c r="U17" i="34" s="1"/>
  <c r="F15" i="34"/>
  <c r="AA15" i="34" s="1"/>
  <c r="J15" i="34"/>
  <c r="AC15" i="34" s="1"/>
  <c r="H15" i="34"/>
  <c r="AB15" i="34" s="1"/>
  <c r="J28" i="34"/>
  <c r="W28" i="34" s="1"/>
  <c r="F41" i="33"/>
  <c r="AA41" i="33" s="1"/>
  <c r="E113" i="33"/>
  <c r="F113" i="33" s="1"/>
  <c r="G113" i="33" s="1"/>
  <c r="H113" i="33" s="1"/>
  <c r="I113" i="33" s="1"/>
  <c r="J113" i="33" s="1"/>
  <c r="K113" i="33" s="1"/>
  <c r="L113" i="33" s="1"/>
  <c r="M113" i="33" s="1"/>
  <c r="F32" i="33"/>
  <c r="AA32" i="33" s="1"/>
  <c r="J15" i="33"/>
  <c r="AC15" i="33" s="1"/>
  <c r="F11" i="33"/>
  <c r="AA11" i="33" s="1"/>
  <c r="F39" i="40"/>
  <c r="F38" i="40"/>
  <c r="AA38" i="40" s="1"/>
  <c r="H30" i="40"/>
  <c r="U30" i="40" s="1"/>
  <c r="F25" i="40"/>
  <c r="AA25" i="40" s="1"/>
  <c r="F19" i="40"/>
  <c r="AA19" i="40" s="1"/>
  <c r="J19" i="40"/>
  <c r="W19" i="40"/>
  <c r="F17" i="40"/>
  <c r="H17" i="40"/>
  <c r="AB30" i="36"/>
  <c r="F29" i="35"/>
  <c r="S29" i="35" s="1"/>
  <c r="H29" i="35"/>
  <c r="AB29" i="35" s="1"/>
  <c r="H33" i="37"/>
  <c r="F33" i="37"/>
  <c r="AA33" i="37" s="1"/>
  <c r="U34" i="37"/>
  <c r="J43" i="34"/>
  <c r="W43" i="34" s="1"/>
  <c r="AB42" i="34"/>
  <c r="J40" i="34"/>
  <c r="H38" i="34"/>
  <c r="AB38" i="34" s="1"/>
  <c r="J36" i="34"/>
  <c r="W36" i="34" s="1"/>
  <c r="H37" i="34"/>
  <c r="U37" i="34" s="1"/>
  <c r="H25" i="34"/>
  <c r="AB25" i="34" s="1"/>
  <c r="J25" i="34"/>
  <c r="F23" i="34"/>
  <c r="AA23" i="34" s="1"/>
  <c r="J19" i="34"/>
  <c r="F17" i="34"/>
  <c r="J17" i="34"/>
  <c r="AB17" i="34"/>
  <c r="H37" i="33"/>
  <c r="AB37" i="33" s="1"/>
  <c r="H15" i="33"/>
  <c r="AB15" i="33" s="1"/>
  <c r="H11" i="33"/>
  <c r="F30" i="40"/>
  <c r="AA30" i="40" s="1"/>
  <c r="AA29" i="35"/>
  <c r="S42" i="34"/>
  <c r="AC38" i="34"/>
  <c r="J37" i="34"/>
  <c r="AC37" i="34" s="1"/>
  <c r="J11" i="33"/>
  <c r="J42" i="21"/>
  <c r="AC42" i="21" s="1"/>
  <c r="H42" i="21"/>
  <c r="U42" i="21"/>
  <c r="J44" i="34"/>
  <c r="F44" i="34"/>
  <c r="J10" i="35"/>
  <c r="AC10" i="35" s="1"/>
  <c r="J14" i="21"/>
  <c r="W14" i="21" s="1"/>
  <c r="H14" i="21"/>
  <c r="U14" i="21" s="1"/>
  <c r="J30" i="21"/>
  <c r="AC30" i="21" s="1"/>
  <c r="H44" i="21"/>
  <c r="H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J31" i="21"/>
  <c r="AC31" i="21" s="1"/>
  <c r="J13" i="33"/>
  <c r="W13" i="33" s="1"/>
  <c r="F13" i="33"/>
  <c r="J31" i="33"/>
  <c r="H31" i="33"/>
  <c r="H30" i="34"/>
  <c r="U30" i="34" s="1"/>
  <c r="F30" i="34"/>
  <c r="S30" i="34"/>
  <c r="H46" i="34"/>
  <c r="U46" i="34"/>
  <c r="F46" i="34"/>
  <c r="AA46" i="34" s="1"/>
  <c r="H11" i="35"/>
  <c r="AB11" i="35" s="1"/>
  <c r="J11" i="35"/>
  <c r="W11" i="35" s="1"/>
  <c r="AC11" i="35"/>
  <c r="J26" i="36"/>
  <c r="W26" i="36"/>
  <c r="H28" i="36"/>
  <c r="J11" i="36"/>
  <c r="AC11" i="36" s="1"/>
  <c r="H11" i="36"/>
  <c r="U11" i="36" s="1"/>
  <c r="F11" i="36"/>
  <c r="AA11" i="36" s="1"/>
  <c r="J29" i="37"/>
  <c r="W29" i="37" s="1"/>
  <c r="F29" i="37"/>
  <c r="S29" i="37"/>
  <c r="H36" i="37"/>
  <c r="AB36" i="37"/>
  <c r="J37" i="37"/>
  <c r="AC37" i="37" s="1"/>
  <c r="H37" i="37"/>
  <c r="U37" i="37" s="1"/>
  <c r="H40" i="37"/>
  <c r="U40" i="37" s="1"/>
  <c r="F40" i="37"/>
  <c r="AC14" i="40"/>
  <c r="W14" i="40"/>
  <c r="H30" i="33"/>
  <c r="AB30" i="33" s="1"/>
  <c r="J30" i="33"/>
  <c r="AC30" i="33" s="1"/>
  <c r="J46" i="33"/>
  <c r="AC46" i="33" s="1"/>
  <c r="F46" i="33"/>
  <c r="AA46" i="33" s="1"/>
  <c r="J13" i="34"/>
  <c r="W13" i="34" s="1"/>
  <c r="F29" i="34"/>
  <c r="H31" i="34"/>
  <c r="J45" i="34"/>
  <c r="W45" i="34" s="1"/>
  <c r="H47" i="34"/>
  <c r="U47" i="34" s="1"/>
  <c r="F13" i="35"/>
  <c r="J25" i="35"/>
  <c r="W25" i="35" s="1"/>
  <c r="H25" i="35"/>
  <c r="AB25" i="35" s="1"/>
  <c r="J35" i="35"/>
  <c r="AC35" i="35" s="1"/>
  <c r="F35" i="35"/>
  <c r="AA35" i="35" s="1"/>
  <c r="H35" i="35"/>
  <c r="W25" i="36"/>
  <c r="F25" i="36"/>
  <c r="S25" i="36" s="1"/>
  <c r="J28" i="37"/>
  <c r="H28" i="37"/>
  <c r="J38" i="37"/>
  <c r="H45" i="39"/>
  <c r="AB45" i="39" s="1"/>
  <c r="F14" i="40"/>
  <c r="H14" i="40"/>
  <c r="H32" i="40"/>
  <c r="AB32" i="40" s="1"/>
  <c r="F35" i="40"/>
  <c r="J37" i="40"/>
  <c r="AC37" i="40" s="1"/>
  <c r="J39" i="40"/>
  <c r="H15" i="40"/>
  <c r="U15" i="40" s="1"/>
  <c r="F15" i="40"/>
  <c r="AA15" i="40" s="1"/>
  <c r="F27" i="37"/>
  <c r="AA27" i="37" s="1"/>
  <c r="J15" i="39"/>
  <c r="W15" i="39" s="1"/>
  <c r="H16" i="40"/>
  <c r="U16" i="40" s="1"/>
  <c r="F16" i="40"/>
  <c r="AA16" i="40" s="1"/>
  <c r="J27" i="37"/>
  <c r="AC27" i="37" s="1"/>
  <c r="J36" i="37"/>
  <c r="J10" i="36"/>
  <c r="AC10" i="36" s="1"/>
  <c r="AB46" i="34"/>
  <c r="BA585" i="3"/>
  <c r="F17" i="21"/>
  <c r="AA17" i="21" s="1"/>
  <c r="H17" i="21"/>
  <c r="AB17" i="21" s="1"/>
  <c r="F15" i="21"/>
  <c r="S15" i="21" s="1"/>
  <c r="J43" i="39"/>
  <c r="W43" i="39" s="1"/>
  <c r="G544" i="3"/>
  <c r="G532" i="3"/>
  <c r="G528" i="3"/>
  <c r="G523" i="3"/>
  <c r="G514" i="3"/>
  <c r="G500" i="3"/>
  <c r="G576" i="3"/>
  <c r="G568" i="3"/>
  <c r="G560" i="3"/>
  <c r="G554" i="3"/>
  <c r="BL580" i="3"/>
  <c r="BL572" i="3"/>
  <c r="BL560" i="3"/>
  <c r="BL534" i="3"/>
  <c r="BL498" i="3"/>
  <c r="BL574" i="3"/>
  <c r="BL566" i="3"/>
  <c r="BL536" i="3"/>
  <c r="BL528" i="3"/>
  <c r="BL496" i="3"/>
  <c r="BA582" i="3"/>
  <c r="BA578" i="3"/>
  <c r="BA572" i="3"/>
  <c r="BA566" i="3"/>
  <c r="BA562" i="3"/>
  <c r="BA556" i="3"/>
  <c r="BA536" i="3"/>
  <c r="BA526" i="3"/>
  <c r="BA506" i="3"/>
  <c r="BA494" i="3"/>
  <c r="BA579" i="3"/>
  <c r="BA575" i="3"/>
  <c r="BA569" i="3"/>
  <c r="BA563" i="3"/>
  <c r="BA559" i="3"/>
  <c r="BA537" i="3"/>
  <c r="BA519" i="3"/>
  <c r="BA501" i="3"/>
  <c r="G581" i="3"/>
  <c r="G579" i="3"/>
  <c r="G577" i="3"/>
  <c r="G571" i="3"/>
  <c r="G569" i="3"/>
  <c r="G565" i="3"/>
  <c r="G561" i="3"/>
  <c r="AC557" i="3"/>
  <c r="G557" i="3" s="1"/>
  <c r="BQ557" i="3"/>
  <c r="BQ583" i="3"/>
  <c r="BQ581" i="3"/>
  <c r="BQ579" i="3"/>
  <c r="BQ577" i="3"/>
  <c r="BQ575" i="3"/>
  <c r="BL575" i="3" s="1"/>
  <c r="BQ573" i="3"/>
  <c r="BQ571" i="3"/>
  <c r="BQ569" i="3"/>
  <c r="BL569" i="3" s="1"/>
  <c r="BQ567" i="3"/>
  <c r="BQ565" i="3"/>
  <c r="BQ563" i="3"/>
  <c r="BQ561" i="3"/>
  <c r="BL561" i="3" s="1"/>
  <c r="BQ559" i="3"/>
  <c r="G555" i="3"/>
  <c r="G545" i="3"/>
  <c r="G539" i="3"/>
  <c r="G537" i="3"/>
  <c r="BQ555" i="3"/>
  <c r="BQ553" i="3"/>
  <c r="BL553" i="3" s="1"/>
  <c r="BQ551" i="3"/>
  <c r="BQ549" i="3"/>
  <c r="BQ547" i="3"/>
  <c r="BQ545" i="3"/>
  <c r="BQ543" i="3"/>
  <c r="BQ541" i="3"/>
  <c r="BQ539" i="3"/>
  <c r="BQ537" i="3"/>
  <c r="BQ535" i="3"/>
  <c r="BQ533" i="3"/>
  <c r="BQ531" i="3"/>
  <c r="BQ529" i="3"/>
  <c r="BL529" i="3" s="1"/>
  <c r="BQ527" i="3"/>
  <c r="BQ525" i="3"/>
  <c r="BQ523" i="3"/>
  <c r="AC521" i="3"/>
  <c r="BQ521" i="3"/>
  <c r="G515" i="3"/>
  <c r="BQ519" i="3"/>
  <c r="BQ517" i="3"/>
  <c r="BQ515" i="3"/>
  <c r="BQ513" i="3"/>
  <c r="BQ511" i="3"/>
  <c r="BL511" i="3" s="1"/>
  <c r="AC509" i="3"/>
  <c r="BQ509" i="3"/>
  <c r="BL509" i="3" s="1"/>
  <c r="G505" i="3"/>
  <c r="G503" i="3"/>
  <c r="G497" i="3"/>
  <c r="G495" i="3"/>
  <c r="BQ507" i="3"/>
  <c r="BQ505" i="3"/>
  <c r="BQ503" i="3"/>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H43" i="33"/>
  <c r="H17" i="37"/>
  <c r="U17" i="37" s="1"/>
  <c r="AB27" i="37"/>
  <c r="AA38" i="39"/>
  <c r="F39" i="33"/>
  <c r="AA39" i="33" s="1"/>
  <c r="E123" i="33"/>
  <c r="F123" i="33" s="1"/>
  <c r="G123" i="33" s="1"/>
  <c r="H123" i="33" s="1"/>
  <c r="I123" i="33" s="1"/>
  <c r="J123" i="33" s="1"/>
  <c r="K123" i="33" s="1"/>
  <c r="L123" i="33" s="1"/>
  <c r="M123" i="33" s="1"/>
  <c r="F42" i="33"/>
  <c r="AA42" i="33" s="1"/>
  <c r="H28" i="34"/>
  <c r="F14" i="36"/>
  <c r="F22" i="36"/>
  <c r="F26" i="36"/>
  <c r="S26" i="36" s="1"/>
  <c r="H35" i="34"/>
  <c r="F41" i="34"/>
  <c r="H41" i="34"/>
  <c r="J41" i="34"/>
  <c r="AC41" i="34" s="1"/>
  <c r="F10" i="35"/>
  <c r="S10" i="35" s="1"/>
  <c r="H24" i="35"/>
  <c r="H23" i="37"/>
  <c r="AB23" i="37" s="1"/>
  <c r="J32" i="37"/>
  <c r="AC32" i="37" s="1"/>
  <c r="F36" i="37"/>
  <c r="AA36" i="37" s="1"/>
  <c r="F37" i="37"/>
  <c r="S37" i="37" s="1"/>
  <c r="F33" i="40"/>
  <c r="H33" i="40"/>
  <c r="U33" i="40"/>
  <c r="J38" i="40"/>
  <c r="W38" i="40" s="1"/>
  <c r="H19" i="37"/>
  <c r="AB19" i="37" s="1"/>
  <c r="H42" i="33"/>
  <c r="AB42" i="33" s="1"/>
  <c r="J43" i="33"/>
  <c r="AC43" i="33" s="1"/>
  <c r="S28" i="31"/>
  <c r="S27" i="31"/>
  <c r="S26" i="31"/>
  <c r="U26" i="37"/>
  <c r="AC36" i="34"/>
  <c r="W44" i="33"/>
  <c r="U19" i="21"/>
  <c r="F43" i="33"/>
  <c r="AA43" i="33" s="1"/>
  <c r="W15" i="34"/>
  <c r="W16" i="35"/>
  <c r="G107" i="37"/>
  <c r="H107" i="37" s="1"/>
  <c r="I107" i="37" s="1"/>
  <c r="J107" i="37" s="1"/>
  <c r="K107" i="37" s="1"/>
  <c r="L107" i="37" s="1"/>
  <c r="M107" i="37" s="1"/>
  <c r="H37" i="21"/>
  <c r="U37" i="21" s="1"/>
  <c r="S42" i="21"/>
  <c r="H19" i="34"/>
  <c r="AB19" i="34" s="1"/>
  <c r="F36" i="35"/>
  <c r="H9" i="37"/>
  <c r="U9" i="37" s="1"/>
  <c r="J12" i="37"/>
  <c r="W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H31" i="37"/>
  <c r="AB31" i="37" s="1"/>
  <c r="U31" i="37"/>
  <c r="J15" i="37"/>
  <c r="W15" i="37" s="1"/>
  <c r="H21" i="40"/>
  <c r="U21" i="40" s="1"/>
  <c r="F21" i="40"/>
  <c r="S21" i="40" s="1"/>
  <c r="S16" i="40"/>
  <c r="W25" i="39"/>
  <c r="AB46" i="39"/>
  <c r="U46" i="39"/>
  <c r="H39" i="39"/>
  <c r="AB39" i="39" s="1"/>
  <c r="AC39" i="39"/>
  <c r="W39" i="39"/>
  <c r="H27" i="39"/>
  <c r="U27" i="39" s="1"/>
  <c r="J27" i="39"/>
  <c r="F27" i="39"/>
  <c r="AA27" i="39" s="1"/>
  <c r="H43" i="39"/>
  <c r="AB43" i="39" s="1"/>
  <c r="U42" i="39"/>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BA379" i="3"/>
  <c r="BL380" i="3"/>
  <c r="G381" i="3"/>
  <c r="BA383" i="3"/>
  <c r="AZ383" i="3" s="1"/>
  <c r="BL384" i="3"/>
  <c r="G385" i="3"/>
  <c r="BA387" i="3"/>
  <c r="BL388" i="3"/>
  <c r="G389" i="3"/>
  <c r="BA391" i="3"/>
  <c r="BL392" i="3"/>
  <c r="G393" i="3"/>
  <c r="BH5" i="3"/>
  <c r="G548" i="3"/>
  <c r="G538" i="3"/>
  <c r="G502" i="3"/>
  <c r="G17" i="3"/>
  <c r="BA17" i="3"/>
  <c r="BA15" i="3"/>
  <c r="G509" i="3"/>
  <c r="U38" i="40"/>
  <c r="F83" i="43"/>
  <c r="H85" i="43" s="1"/>
  <c r="F50" i="43"/>
  <c r="H54" i="43" s="1"/>
  <c r="F72" i="43"/>
  <c r="H75" i="43" s="1"/>
  <c r="U19" i="39"/>
  <c r="S14" i="35"/>
  <c r="U43" i="21"/>
  <c r="U35" i="21"/>
  <c r="AC35" i="21"/>
  <c r="W37" i="37"/>
  <c r="W44" i="34"/>
  <c r="AC44" i="34"/>
  <c r="S15" i="37"/>
  <c r="J37" i="33"/>
  <c r="W37" i="33" s="1"/>
  <c r="F106" i="33"/>
  <c r="G106" i="33" s="1"/>
  <c r="H106" i="33" s="1"/>
  <c r="I106" i="33" s="1"/>
  <c r="J106" i="33" s="1"/>
  <c r="K106" i="33" s="1"/>
  <c r="L106" i="33" s="1"/>
  <c r="M106" i="33" s="1"/>
  <c r="J34" i="33"/>
  <c r="W34" i="33" s="1"/>
  <c r="F33" i="34"/>
  <c r="AC12" i="36"/>
  <c r="H20" i="36"/>
  <c r="U20" i="36" s="1"/>
  <c r="J20" i="36"/>
  <c r="J27" i="36"/>
  <c r="W27" i="36" s="1"/>
  <c r="AC35" i="40"/>
  <c r="H37" i="40"/>
  <c r="AB37" i="40" s="1"/>
  <c r="AC29" i="35"/>
  <c r="W29" i="35"/>
  <c r="H35" i="37"/>
  <c r="U35" i="37" s="1"/>
  <c r="AC14" i="35"/>
  <c r="H20" i="35"/>
  <c r="U20" i="35" s="1"/>
  <c r="F20" i="35"/>
  <c r="H32" i="37"/>
  <c r="H29" i="40"/>
  <c r="AB29" i="40" s="1"/>
  <c r="J29" i="40"/>
  <c r="AC29" i="40" s="1"/>
  <c r="F29" i="40"/>
  <c r="AA29" i="40" s="1"/>
  <c r="J32" i="40"/>
  <c r="AC32" i="40" s="1"/>
  <c r="F32" i="40"/>
  <c r="AA32" i="40" s="1"/>
  <c r="AC23" i="40"/>
  <c r="S13" i="40"/>
  <c r="F10" i="33"/>
  <c r="S10" i="33" s="1"/>
  <c r="F34" i="33"/>
  <c r="S34" i="33" s="1"/>
  <c r="H34" i="33"/>
  <c r="U34" i="33" s="1"/>
  <c r="F35" i="33"/>
  <c r="S35" i="33" s="1"/>
  <c r="F39" i="34"/>
  <c r="AA39" i="34" s="1"/>
  <c r="J39" i="34"/>
  <c r="F40" i="34"/>
  <c r="S40" i="34" s="1"/>
  <c r="F43" i="34"/>
  <c r="AA43" i="34" s="1"/>
  <c r="H44" i="34"/>
  <c r="U44" i="34" s="1"/>
  <c r="AC40" i="39"/>
  <c r="F41" i="39"/>
  <c r="S41" i="39" s="1"/>
  <c r="J41" i="39"/>
  <c r="AC41" i="39" s="1"/>
  <c r="E98" i="39"/>
  <c r="F98" i="39" s="1"/>
  <c r="G98" i="39" s="1"/>
  <c r="AZ235" i="3"/>
  <c r="F25" i="39"/>
  <c r="AA25" i="39" s="1"/>
  <c r="H27" i="36"/>
  <c r="U27" i="36" s="1"/>
  <c r="F27" i="36"/>
  <c r="AA27" i="36" s="1"/>
  <c r="H33" i="34"/>
  <c r="U33" i="34" s="1"/>
  <c r="F32" i="37"/>
  <c r="S32" i="37" s="1"/>
  <c r="H96" i="37"/>
  <c r="I96" i="37" s="1"/>
  <c r="J96" i="37" s="1"/>
  <c r="K96" i="37" s="1"/>
  <c r="L96" i="37" s="1"/>
  <c r="M96" i="37" s="1"/>
  <c r="F20" i="36"/>
  <c r="AA20" i="36" s="1"/>
  <c r="J33" i="34"/>
  <c r="H25" i="39"/>
  <c r="U25" i="39" s="1"/>
  <c r="M52" i="9"/>
  <c r="K9" i="1"/>
  <c r="M9" i="1" s="1"/>
  <c r="K6" i="1"/>
  <c r="AB34" i="36"/>
  <c r="U34" i="36"/>
  <c r="AC14" i="39"/>
  <c r="W14" i="39"/>
  <c r="AC41" i="40"/>
  <c r="BL14" i="3"/>
  <c r="U30" i="33"/>
  <c r="AC13" i="34"/>
  <c r="S21" i="39"/>
  <c r="F12" i="33"/>
  <c r="H14" i="39"/>
  <c r="BA14" i="3"/>
  <c r="B12" i="1"/>
  <c r="E12" i="1" s="1"/>
  <c r="B10" i="1"/>
  <c r="E10" i="1" s="1"/>
  <c r="K12" i="1"/>
  <c r="M12" i="1" s="1"/>
  <c r="S13" i="1"/>
  <c r="AR13" i="1" s="1"/>
  <c r="R13" i="1"/>
  <c r="J51" i="67"/>
  <c r="AB39" i="40"/>
  <c r="AC38" i="40"/>
  <c r="S25" i="40"/>
  <c r="AC19" i="40"/>
  <c r="AC17" i="40"/>
  <c r="S30" i="40"/>
  <c r="S39" i="39"/>
  <c r="F34" i="39"/>
  <c r="F108" i="39"/>
  <c r="G108" i="39" s="1"/>
  <c r="H108" i="39" s="1"/>
  <c r="I108" i="39" s="1"/>
  <c r="J108" i="39" s="1"/>
  <c r="K108" i="39" s="1"/>
  <c r="L108" i="39" s="1"/>
  <c r="M108" i="39" s="1"/>
  <c r="J23" i="39"/>
  <c r="W23" i="39" s="1"/>
  <c r="F23" i="39"/>
  <c r="AA23" i="39" s="1"/>
  <c r="H23" i="39"/>
  <c r="AB23" i="39" s="1"/>
  <c r="W21" i="39"/>
  <c r="U21" i="39"/>
  <c r="AA14" i="39"/>
  <c r="S11" i="39"/>
  <c r="AC15" i="39"/>
  <c r="AC26" i="36"/>
  <c r="W14" i="36"/>
  <c r="AB14" i="36"/>
  <c r="U22" i="36"/>
  <c r="S16" i="36"/>
  <c r="AA25" i="36"/>
  <c r="U23" i="36"/>
  <c r="AB20" i="36"/>
  <c r="U16" i="36"/>
  <c r="AA25" i="35"/>
  <c r="U29" i="35"/>
  <c r="U28" i="35"/>
  <c r="AB27" i="35"/>
  <c r="AA33" i="35"/>
  <c r="AC30" i="35"/>
  <c r="S32" i="35"/>
  <c r="S28" i="35"/>
  <c r="U22" i="35"/>
  <c r="AC20" i="35"/>
  <c r="AA11" i="35"/>
  <c r="AC9" i="35"/>
  <c r="W9" i="35"/>
  <c r="F9" i="35"/>
  <c r="S9" i="35" s="1"/>
  <c r="H9" i="35"/>
  <c r="U9" i="35" s="1"/>
  <c r="AB40" i="37"/>
  <c r="W27" i="37"/>
  <c r="AC29" i="37"/>
  <c r="U29" i="37"/>
  <c r="W30" i="37"/>
  <c r="AC35" i="37"/>
  <c r="W39" i="37"/>
  <c r="S30" i="37"/>
  <c r="AC15" i="37"/>
  <c r="J17" i="37"/>
  <c r="AC17" i="37" s="1"/>
  <c r="W17" i="37"/>
  <c r="F17" i="37"/>
  <c r="AA17" i="37" s="1"/>
  <c r="AB17" i="37"/>
  <c r="F75" i="37"/>
  <c r="G75" i="37" s="1"/>
  <c r="F19" i="37"/>
  <c r="S19" i="37" s="1"/>
  <c r="F79" i="37"/>
  <c r="G79" i="37" s="1"/>
  <c r="F23" i="37"/>
  <c r="S23" i="37" s="1"/>
  <c r="U23" i="37"/>
  <c r="H10" i="37"/>
  <c r="AB10" i="37" s="1"/>
  <c r="F63" i="37"/>
  <c r="G63" i="37" s="1"/>
  <c r="H63" i="37" s="1"/>
  <c r="I63" i="37" s="1"/>
  <c r="J63" i="37" s="1"/>
  <c r="K63" i="37" s="1"/>
  <c r="L63" i="37" s="1"/>
  <c r="M63" i="37" s="1"/>
  <c r="F11" i="37"/>
  <c r="S11" i="37" s="1"/>
  <c r="AB8" i="34"/>
  <c r="U43" i="34"/>
  <c r="W41" i="34"/>
  <c r="AC42" i="34"/>
  <c r="U39" i="34"/>
  <c r="AA25" i="34"/>
  <c r="S23" i="34"/>
  <c r="U15" i="34"/>
  <c r="H10" i="34"/>
  <c r="AB10" i="34" s="1"/>
  <c r="F11" i="34"/>
  <c r="S11" i="34" s="1"/>
  <c r="AA35" i="33"/>
  <c r="S32" i="33"/>
  <c r="W38" i="33"/>
  <c r="H41" i="33"/>
  <c r="AB41" i="33" s="1"/>
  <c r="F121" i="33"/>
  <c r="G121" i="33" s="1"/>
  <c r="H121" i="33" s="1"/>
  <c r="I121" i="33" s="1"/>
  <c r="J121" i="33" s="1"/>
  <c r="K121" i="33" s="1"/>
  <c r="L121" i="33" s="1"/>
  <c r="M121" i="33" s="1"/>
  <c r="F36" i="33"/>
  <c r="AA36" i="33" s="1"/>
  <c r="G111" i="33"/>
  <c r="J35" i="33"/>
  <c r="W35" i="33" s="1"/>
  <c r="S37" i="33"/>
  <c r="AA37" i="33"/>
  <c r="J32" i="33"/>
  <c r="AC32" i="33" s="1"/>
  <c r="S46" i="33"/>
  <c r="F91" i="33"/>
  <c r="F87" i="33"/>
  <c r="G87" i="33" s="1"/>
  <c r="H87" i="33" s="1"/>
  <c r="I87" i="33" s="1"/>
  <c r="J87" i="33" s="1"/>
  <c r="K87" i="33" s="1"/>
  <c r="L87" i="33" s="1"/>
  <c r="M87" i="33" s="1"/>
  <c r="H25" i="33"/>
  <c r="U25" i="33" s="1"/>
  <c r="F25" i="33"/>
  <c r="S25" i="33" s="1"/>
  <c r="F85" i="33"/>
  <c r="H23" i="33"/>
  <c r="U23" i="33" s="1"/>
  <c r="W15" i="33"/>
  <c r="J10" i="33"/>
  <c r="W10" i="33" s="1"/>
  <c r="H10" i="33"/>
  <c r="U10" i="33" s="1"/>
  <c r="W43" i="21"/>
  <c r="W36" i="21"/>
  <c r="W41" i="21"/>
  <c r="AB39" i="21"/>
  <c r="AA43" i="21"/>
  <c r="AA38" i="21"/>
  <c r="AC40" i="21"/>
  <c r="J15" i="21"/>
  <c r="AC15" i="21" s="1"/>
  <c r="W15" i="21"/>
  <c r="F77" i="21"/>
  <c r="G77" i="21"/>
  <c r="F23" i="21"/>
  <c r="S23" i="21"/>
  <c r="AA14" i="21"/>
  <c r="F34" i="67"/>
  <c r="F62" i="67" s="1"/>
  <c r="M20" i="67"/>
  <c r="F19" i="15"/>
  <c r="F70" i="15" s="1"/>
  <c r="BL17" i="3"/>
  <c r="AZ17" i="3" s="1"/>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AB30" i="40"/>
  <c r="W30" i="40"/>
  <c r="W36" i="40"/>
  <c r="S38" i="40"/>
  <c r="AC16" i="40"/>
  <c r="S15" i="40"/>
  <c r="U13" i="40"/>
  <c r="AB15" i="40"/>
  <c r="AB19" i="40"/>
  <c r="U10" i="40"/>
  <c r="S10" i="40"/>
  <c r="W27" i="39"/>
  <c r="AC27" i="39"/>
  <c r="U45" i="39"/>
  <c r="AB13" i="39"/>
  <c r="U13" i="39"/>
  <c r="W19" i="39"/>
  <c r="W36" i="39"/>
  <c r="U40" i="39"/>
  <c r="S10" i="39"/>
  <c r="AC25" i="36"/>
  <c r="W29" i="36"/>
  <c r="W22" i="36"/>
  <c r="AC25" i="35"/>
  <c r="U25" i="35"/>
  <c r="S35" i="35"/>
  <c r="W35" i="35"/>
  <c r="AA35" i="37"/>
  <c r="S27" i="37"/>
  <c r="W32" i="37"/>
  <c r="U36" i="37"/>
  <c r="AB37" i="37"/>
  <c r="AC34" i="37"/>
  <c r="U19" i="37"/>
  <c r="AA29" i="37"/>
  <c r="U8" i="37"/>
  <c r="AA40" i="34"/>
  <c r="AB40" i="34"/>
  <c r="AC45" i="34"/>
  <c r="AA30" i="34"/>
  <c r="AB47" i="34"/>
  <c r="U25" i="34"/>
  <c r="AB36" i="34"/>
  <c r="W46" i="34"/>
  <c r="AC46" i="34"/>
  <c r="AB30" i="34"/>
  <c r="S37" i="34"/>
  <c r="U38" i="34"/>
  <c r="AC40" i="34"/>
  <c r="W40" i="34"/>
  <c r="AA19" i="34"/>
  <c r="S19" i="34"/>
  <c r="AA36" i="34"/>
  <c r="S36" i="34"/>
  <c r="AA8" i="34"/>
  <c r="S46" i="34"/>
  <c r="AC43" i="34"/>
  <c r="W23" i="34"/>
  <c r="AC23" i="34"/>
  <c r="AC35" i="34"/>
  <c r="AB28" i="33"/>
  <c r="W46" i="33"/>
  <c r="U39" i="33"/>
  <c r="S30" i="33"/>
  <c r="AA30" i="33"/>
  <c r="W30" i="33"/>
  <c r="S31" i="33"/>
  <c r="AA31" i="33"/>
  <c r="AC13" i="33"/>
  <c r="U15" i="33"/>
  <c r="S11" i="33"/>
  <c r="U37" i="33"/>
  <c r="W8" i="33"/>
  <c r="AB42" i="21"/>
  <c r="I101" i="21"/>
  <c r="J101" i="21" s="1"/>
  <c r="K101" i="21" s="1"/>
  <c r="L101" i="21" s="1"/>
  <c r="M101" i="21" s="1"/>
  <c r="F33" i="21"/>
  <c r="AA33" i="21" s="1"/>
  <c r="J33" i="21"/>
  <c r="AC33" i="21" s="1"/>
  <c r="H33" i="21"/>
  <c r="AB33" i="21" s="1"/>
  <c r="F37" i="21"/>
  <c r="AA37" i="21" s="1"/>
  <c r="AA26" i="21"/>
  <c r="AB14" i="21"/>
  <c r="U40" i="21"/>
  <c r="U31" i="21"/>
  <c r="U13" i="21"/>
  <c r="AB13" i="21"/>
  <c r="S35" i="21"/>
  <c r="J37" i="21"/>
  <c r="W37" i="21" s="1"/>
  <c r="H15" i="21"/>
  <c r="J17" i="21"/>
  <c r="AC17" i="21" s="1"/>
  <c r="AC19" i="21"/>
  <c r="W39" i="21"/>
  <c r="AC14" i="21"/>
  <c r="W30" i="21"/>
  <c r="S46" i="21"/>
  <c r="H45" i="21"/>
  <c r="U45" i="21" s="1"/>
  <c r="F29" i="21"/>
  <c r="AA29" i="21" s="1"/>
  <c r="F13" i="21"/>
  <c r="AC38" i="21"/>
  <c r="H32" i="21"/>
  <c r="AB32" i="21" s="1"/>
  <c r="H9" i="21"/>
  <c r="J9" i="21"/>
  <c r="W9" i="21" s="1"/>
  <c r="J32" i="21"/>
  <c r="W32" i="21" s="1"/>
  <c r="F32" i="21"/>
  <c r="AA32" i="21" s="1"/>
  <c r="U17" i="21"/>
  <c r="AA9" i="21"/>
  <c r="K141" i="21"/>
  <c r="K144" i="21"/>
  <c r="K143" i="21"/>
  <c r="U27" i="21"/>
  <c r="AB25" i="21"/>
  <c r="W42" i="21"/>
  <c r="F10" i="21"/>
  <c r="AA10" i="21" s="1"/>
  <c r="K145" i="21"/>
  <c r="W31" i="21"/>
  <c r="S17" i="21"/>
  <c r="AA15" i="21"/>
  <c r="AC27" i="21"/>
  <c r="AC34" i="21"/>
  <c r="AB36" i="21"/>
  <c r="C21" i="39"/>
  <c r="C19" i="40"/>
  <c r="C25" i="40"/>
  <c r="U32" i="40"/>
  <c r="B67" i="43"/>
  <c r="B51" i="43"/>
  <c r="B54" i="43"/>
  <c r="B65" i="43"/>
  <c r="B69" i="43"/>
  <c r="D44" i="15"/>
  <c r="E4" i="4"/>
  <c r="B5" i="62" s="1"/>
  <c r="B73" i="72" s="1"/>
  <c r="C4" i="4"/>
  <c r="S12" i="33"/>
  <c r="AA12" i="33"/>
  <c r="J34" i="39"/>
  <c r="AC34" i="39" s="1"/>
  <c r="H34" i="39"/>
  <c r="AB34" i="39" s="1"/>
  <c r="AA34" i="39"/>
  <c r="S34" i="39"/>
  <c r="J19" i="37"/>
  <c r="W19" i="37" s="1"/>
  <c r="AA19" i="37"/>
  <c r="AA23" i="37"/>
  <c r="J23" i="37"/>
  <c r="W23" i="37" s="1"/>
  <c r="J10" i="37"/>
  <c r="W10"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91" i="33"/>
  <c r="H91" i="33" s="1"/>
  <c r="I91" i="33" s="1"/>
  <c r="J91" i="33" s="1"/>
  <c r="K91" i="33" s="1"/>
  <c r="L91" i="33" s="1"/>
  <c r="M91" i="33" s="1"/>
  <c r="AB25" i="33"/>
  <c r="J25" i="33"/>
  <c r="AC25" i="33" s="1"/>
  <c r="AB23" i="33"/>
  <c r="F23" i="33"/>
  <c r="G85" i="33"/>
  <c r="H19" i="33"/>
  <c r="AB19" i="33" s="1"/>
  <c r="H17" i="33"/>
  <c r="U17" i="33" s="1"/>
  <c r="S37" i="21"/>
  <c r="AA23" i="21"/>
  <c r="J23" i="21"/>
  <c r="W23" i="21" s="1"/>
  <c r="H23" i="21"/>
  <c r="AB23" i="21" s="1"/>
  <c r="AP7" i="1"/>
  <c r="AC9" i="21"/>
  <c r="U34" i="39"/>
  <c r="W34" i="39"/>
  <c r="AC23" i="37"/>
  <c r="J11" i="37"/>
  <c r="AC11" i="37" s="1"/>
  <c r="J11" i="34"/>
  <c r="W11" i="34" s="1"/>
  <c r="AC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8" i="15"/>
  <c r="M6" i="15"/>
  <c r="E2" i="69"/>
  <c r="E7" i="76"/>
  <c r="E8" i="76"/>
  <c r="F47" i="15"/>
  <c r="M25" i="15"/>
  <c r="C69" i="15"/>
  <c r="E12" i="76"/>
  <c r="F6" i="73"/>
  <c r="B11" i="76"/>
  <c r="F3" i="73"/>
  <c r="M27" i="15"/>
  <c r="M30" i="15"/>
  <c r="B10" i="76"/>
  <c r="M23" i="15"/>
  <c r="M9" i="15"/>
  <c r="M28" i="67"/>
  <c r="F29" i="15"/>
  <c r="F7" i="67"/>
  <c r="F25" i="15"/>
  <c r="F7" i="15"/>
  <c r="F21" i="15"/>
  <c r="D6" i="73"/>
  <c r="E11" i="76"/>
  <c r="F5" i="73"/>
  <c r="AO13" i="1"/>
  <c r="E13" i="76"/>
  <c r="E10" i="76"/>
  <c r="B9" i="76"/>
  <c r="F9" i="15"/>
  <c r="F8" i="15"/>
  <c r="F6" i="67"/>
  <c r="F7" i="73"/>
  <c r="F42" i="67"/>
  <c r="B12" i="76"/>
  <c r="B8" i="76"/>
  <c r="F38" i="67"/>
  <c r="F43" i="67"/>
  <c r="M21" i="15"/>
  <c r="F8" i="67"/>
  <c r="F23" i="15"/>
  <c r="M29" i="15"/>
  <c r="F51" i="15"/>
  <c r="B7" i="76"/>
  <c r="E9" i="76"/>
  <c r="M22" i="67"/>
  <c r="M35" i="15"/>
  <c r="F31" i="15"/>
  <c r="F27" i="15"/>
  <c r="B13" i="76"/>
  <c r="C86" i="15"/>
  <c r="F20" i="31"/>
  <c r="F6" i="15"/>
  <c r="M29" i="67"/>
  <c r="F4" i="73"/>
  <c r="F37" i="15"/>
  <c r="L55" i="15"/>
  <c r="M26" i="67"/>
  <c r="AA25" i="37" l="1"/>
  <c r="S25" i="37"/>
  <c r="U24" i="35"/>
  <c r="AB24" i="35"/>
  <c r="AA14" i="36"/>
  <c r="S14" i="36"/>
  <c r="AB11" i="33"/>
  <c r="U11" i="33"/>
  <c r="W17" i="34"/>
  <c r="AC17" i="34"/>
  <c r="AB14" i="35"/>
  <c r="U14" i="35"/>
  <c r="F30" i="21"/>
  <c r="H30" i="21"/>
  <c r="E79" i="33"/>
  <c r="F79" i="33" s="1"/>
  <c r="G79" i="33" s="1"/>
  <c r="J17" i="33"/>
  <c r="W17" i="33" s="1"/>
  <c r="F17" i="33"/>
  <c r="S17" i="33" s="1"/>
  <c r="AB32" i="35"/>
  <c r="U32" i="35"/>
  <c r="J24" i="35"/>
  <c r="F24" i="35"/>
  <c r="H36" i="35"/>
  <c r="J36" i="35"/>
  <c r="AC36" i="35" s="1"/>
  <c r="W27" i="35"/>
  <c r="AC27" i="35"/>
  <c r="AB26" i="36"/>
  <c r="U26" i="36"/>
  <c r="J33" i="36"/>
  <c r="AC33" i="36" s="1"/>
  <c r="H33" i="36"/>
  <c r="F33" i="36"/>
  <c r="AB31" i="36"/>
  <c r="U31" i="36"/>
  <c r="H14" i="37"/>
  <c r="AB14" i="37" s="1"/>
  <c r="F14" i="37"/>
  <c r="J14" i="37"/>
  <c r="S33" i="34"/>
  <c r="AA33" i="34"/>
  <c r="S32" i="21"/>
  <c r="U35" i="34"/>
  <c r="AB35" i="34"/>
  <c r="AC25" i="21"/>
  <c r="W25" i="21"/>
  <c r="W36" i="37"/>
  <c r="AC36" i="37"/>
  <c r="AA44" i="34"/>
  <c r="S44" i="34"/>
  <c r="U36" i="39"/>
  <c r="AB36" i="39"/>
  <c r="U38" i="21"/>
  <c r="AB38" i="21"/>
  <c r="B99" i="43"/>
  <c r="B56" i="43"/>
  <c r="H12" i="33"/>
  <c r="U12" i="33" s="1"/>
  <c r="J12" i="33"/>
  <c r="J29" i="34"/>
  <c r="H29" i="34"/>
  <c r="H45" i="34"/>
  <c r="F45" i="34"/>
  <c r="H13" i="35"/>
  <c r="J13" i="35"/>
  <c r="J9" i="37"/>
  <c r="W9" i="37" s="1"/>
  <c r="F9" i="37"/>
  <c r="S9" i="37" s="1"/>
  <c r="J45" i="39"/>
  <c r="F45" i="39"/>
  <c r="AB40" i="40"/>
  <c r="U40" i="40"/>
  <c r="BA580" i="3"/>
  <c r="BA577" i="3"/>
  <c r="BL576" i="3"/>
  <c r="BA571" i="3"/>
  <c r="BA570" i="3"/>
  <c r="BA567" i="3"/>
  <c r="BL564" i="3"/>
  <c r="BA561" i="3"/>
  <c r="BA558" i="3"/>
  <c r="BA557" i="3"/>
  <c r="BL556" i="3"/>
  <c r="BL554" i="3"/>
  <c r="BA546" i="3"/>
  <c r="BA545" i="3"/>
  <c r="BA532" i="3"/>
  <c r="BA518" i="3"/>
  <c r="BL514" i="3"/>
  <c r="BA511" i="3"/>
  <c r="AZ511" i="3" s="1"/>
  <c r="BA500" i="3"/>
  <c r="BA493" i="3"/>
  <c r="AB33" i="34"/>
  <c r="AB20" i="35"/>
  <c r="S20" i="36"/>
  <c r="D120" i="9"/>
  <c r="D121" i="9" s="1"/>
  <c r="D7" i="52" s="1"/>
  <c r="S36" i="35"/>
  <c r="AA36" i="35"/>
  <c r="AC19" i="34"/>
  <c r="W19" i="34"/>
  <c r="J24" i="36"/>
  <c r="F24" i="36"/>
  <c r="H25" i="37"/>
  <c r="J25" i="37"/>
  <c r="F15" i="39"/>
  <c r="H15" i="39"/>
  <c r="AA31" i="35"/>
  <c r="S31" i="35"/>
  <c r="H37" i="39"/>
  <c r="F37" i="39"/>
  <c r="BL582" i="3"/>
  <c r="U32" i="21"/>
  <c r="AB45" i="21"/>
  <c r="U9" i="21"/>
  <c r="AB9" i="21"/>
  <c r="S36" i="37"/>
  <c r="AZ361" i="3"/>
  <c r="AZ345" i="3"/>
  <c r="AZ344" i="3"/>
  <c r="AZ313" i="3"/>
  <c r="AA33" i="40"/>
  <c r="S33" i="40"/>
  <c r="AZ561" i="3"/>
  <c r="S29" i="34"/>
  <c r="AA29" i="34"/>
  <c r="AA40" i="37"/>
  <c r="S40" i="37"/>
  <c r="S37" i="40"/>
  <c r="AA37" i="40"/>
  <c r="J27" i="34"/>
  <c r="H27" i="34"/>
  <c r="S14" i="33"/>
  <c r="AA14" i="33"/>
  <c r="AC40" i="37"/>
  <c r="W40" i="37"/>
  <c r="J40" i="40"/>
  <c r="F40" i="40"/>
  <c r="BA574" i="3"/>
  <c r="BL571" i="3"/>
  <c r="BL570" i="3"/>
  <c r="BA564" i="3"/>
  <c r="BA529" i="3"/>
  <c r="AZ529" i="3" s="1"/>
  <c r="BL525" i="3"/>
  <c r="BL516" i="3"/>
  <c r="G521" i="3"/>
  <c r="BL543" i="3"/>
  <c r="BL559" i="3"/>
  <c r="AZ559" i="3" s="1"/>
  <c r="BL567" i="3"/>
  <c r="BL573" i="3"/>
  <c r="BL581" i="3"/>
  <c r="U30" i="37"/>
  <c r="BA584" i="3"/>
  <c r="G583" i="3"/>
  <c r="G580" i="3"/>
  <c r="BL578" i="3"/>
  <c r="BA576" i="3"/>
  <c r="AZ576" i="3" s="1"/>
  <c r="BA568" i="3"/>
  <c r="G564" i="3"/>
  <c r="BL562" i="3"/>
  <c r="BA560" i="3"/>
  <c r="AZ560" i="3" s="1"/>
  <c r="G556" i="3"/>
  <c r="D50" i="71"/>
  <c r="C51" i="71"/>
  <c r="B62" i="43"/>
  <c r="C17" i="40"/>
  <c r="U38" i="33"/>
  <c r="AA47" i="34"/>
  <c r="W26" i="33"/>
  <c r="U29" i="36"/>
  <c r="AZ342" i="3"/>
  <c r="AZ378" i="3"/>
  <c r="AZ360" i="3"/>
  <c r="AZ341" i="3"/>
  <c r="BL505" i="3"/>
  <c r="BL517" i="3"/>
  <c r="BL539" i="3"/>
  <c r="BL563" i="3"/>
  <c r="AZ563" i="3" s="1"/>
  <c r="BL577" i="3"/>
  <c r="BL557" i="3"/>
  <c r="S13" i="37"/>
  <c r="J47" i="34"/>
  <c r="AC47" i="34" s="1"/>
  <c r="F31" i="21"/>
  <c r="J13" i="21"/>
  <c r="H26" i="33"/>
  <c r="S40" i="21"/>
  <c r="S40" i="39"/>
  <c r="F26" i="33"/>
  <c r="F39" i="37"/>
  <c r="S39" i="37" s="1"/>
  <c r="AB41" i="21"/>
  <c r="G585" i="3"/>
  <c r="BL586" i="3"/>
  <c r="BL584" i="3"/>
  <c r="BA581" i="3"/>
  <c r="G575" i="3"/>
  <c r="BA573" i="3"/>
  <c r="BL568" i="3"/>
  <c r="G567" i="3"/>
  <c r="G566" i="3"/>
  <c r="BA565" i="3"/>
  <c r="G559" i="3"/>
  <c r="BL558" i="3"/>
  <c r="G558" i="3"/>
  <c r="BI5" i="3"/>
  <c r="G401" i="3"/>
  <c r="G405" i="3"/>
  <c r="BA410" i="3"/>
  <c r="BL416" i="3"/>
  <c r="G417" i="3"/>
  <c r="BL417" i="3"/>
  <c r="BL418" i="3"/>
  <c r="BL420" i="3"/>
  <c r="G422" i="3"/>
  <c r="BA444" i="3"/>
  <c r="BL455" i="3"/>
  <c r="BA462" i="3"/>
  <c r="AZ462" i="3" s="1"/>
  <c r="G464" i="3"/>
  <c r="BA470" i="3"/>
  <c r="G472" i="3"/>
  <c r="G485" i="3"/>
  <c r="BA488" i="3"/>
  <c r="AZ488" i="3" s="1"/>
  <c r="BA491" i="3"/>
  <c r="G380" i="3"/>
  <c r="BL211" i="3"/>
  <c r="G212" i="3"/>
  <c r="BA217" i="3"/>
  <c r="BL219" i="3"/>
  <c r="G220" i="3"/>
  <c r="G224" i="3"/>
  <c r="G232" i="3"/>
  <c r="G238" i="3"/>
  <c r="BA257" i="3"/>
  <c r="BA265" i="3"/>
  <c r="G266" i="3"/>
  <c r="BL269" i="3"/>
  <c r="G270" i="3"/>
  <c r="BL278" i="3"/>
  <c r="G279" i="3"/>
  <c r="G294" i="3"/>
  <c r="G128" i="3"/>
  <c r="G136" i="3"/>
  <c r="BL139" i="3"/>
  <c r="AZ139" i="3" s="1"/>
  <c r="G140" i="3"/>
  <c r="BL141" i="3"/>
  <c r="BL143" i="3"/>
  <c r="AZ143" i="3" s="1"/>
  <c r="BL158" i="3"/>
  <c r="BL161" i="3"/>
  <c r="G162" i="3"/>
  <c r="BL206" i="3"/>
  <c r="BL24" i="3"/>
  <c r="BL29" i="3"/>
  <c r="BA30" i="3"/>
  <c r="G42" i="3"/>
  <c r="BA72" i="3"/>
  <c r="BA77" i="3"/>
  <c r="BA94" i="3"/>
  <c r="BA97" i="3"/>
  <c r="BL110" i="3"/>
  <c r="E79" i="71"/>
  <c r="E78" i="71" s="1"/>
  <c r="Y30" i="71"/>
  <c r="Z30" i="71" s="1"/>
  <c r="X35" i="71"/>
  <c r="AA27" i="71"/>
  <c r="X25" i="71"/>
  <c r="BL175" i="3"/>
  <c r="AZ175" i="3" s="1"/>
  <c r="G179" i="3"/>
  <c r="G183" i="3"/>
  <c r="G187" i="3"/>
  <c r="BA189" i="3"/>
  <c r="BA194" i="3"/>
  <c r="AZ194" i="3" s="1"/>
  <c r="BL194" i="3"/>
  <c r="BA198" i="3"/>
  <c r="BA67" i="3"/>
  <c r="BL91" i="3"/>
  <c r="BA92" i="3"/>
  <c r="BL100" i="3"/>
  <c r="BL103" i="3"/>
  <c r="G105" i="3"/>
  <c r="S21" i="34"/>
  <c r="C79" i="71"/>
  <c r="C71" i="71"/>
  <c r="D71" i="71" s="1"/>
  <c r="E67" i="71"/>
  <c r="AB38" i="71"/>
  <c r="BA555" i="3"/>
  <c r="BL402" i="3"/>
  <c r="G404" i="3"/>
  <c r="BL406" i="3"/>
  <c r="BL408" i="3"/>
  <c r="G411" i="3"/>
  <c r="G424" i="3"/>
  <c r="BL427" i="3"/>
  <c r="G429" i="3"/>
  <c r="G430" i="3"/>
  <c r="BL433" i="3"/>
  <c r="BL434" i="3"/>
  <c r="G436" i="3"/>
  <c r="G437" i="3"/>
  <c r="G441" i="3"/>
  <c r="G445" i="3"/>
  <c r="G453" i="3"/>
  <c r="G457" i="3"/>
  <c r="G463" i="3"/>
  <c r="BA463" i="3"/>
  <c r="G466" i="3"/>
  <c r="G470" i="3"/>
  <c r="G486" i="3"/>
  <c r="G492" i="3"/>
  <c r="G323" i="3"/>
  <c r="G351" i="3"/>
  <c r="G358" i="3"/>
  <c r="G362" i="3"/>
  <c r="G366" i="3"/>
  <c r="G392" i="3"/>
  <c r="G396" i="3"/>
  <c r="BA227" i="3"/>
  <c r="AZ227" i="3" s="1"/>
  <c r="G235" i="3"/>
  <c r="BA255" i="3"/>
  <c r="G277" i="3"/>
  <c r="BL280" i="3"/>
  <c r="G281" i="3"/>
  <c r="G300" i="3"/>
  <c r="G126" i="3"/>
  <c r="G135" i="3"/>
  <c r="G147" i="3"/>
  <c r="BA149" i="3"/>
  <c r="BL154" i="3"/>
  <c r="G156" i="3"/>
  <c r="G160" i="3"/>
  <c r="G164" i="3"/>
  <c r="BA168" i="3"/>
  <c r="AZ168" i="3" s="1"/>
  <c r="BA188" i="3"/>
  <c r="AZ188" i="3" s="1"/>
  <c r="G190" i="3"/>
  <c r="G194" i="3"/>
  <c r="G196" i="3"/>
  <c r="G204" i="3"/>
  <c r="G31" i="3"/>
  <c r="G35" i="3"/>
  <c r="G56" i="3"/>
  <c r="BL64" i="3"/>
  <c r="G65" i="3"/>
  <c r="G73" i="3"/>
  <c r="BL79" i="3"/>
  <c r="G82" i="3"/>
  <c r="BL86" i="3"/>
  <c r="BA87" i="3"/>
  <c r="G90" i="3"/>
  <c r="BL99" i="3"/>
  <c r="G108" i="3"/>
  <c r="G112" i="3"/>
  <c r="W18" i="36"/>
  <c r="C31" i="39"/>
  <c r="AB32" i="71"/>
  <c r="X38" i="71"/>
  <c r="F75" i="71"/>
  <c r="F74" i="71" s="1"/>
  <c r="BA424" i="3"/>
  <c r="BA478" i="3"/>
  <c r="BA319" i="3"/>
  <c r="AZ319" i="3" s="1"/>
  <c r="BL324" i="3"/>
  <c r="AZ324" i="3" s="1"/>
  <c r="BL328" i="3"/>
  <c r="AZ328" i="3" s="1"/>
  <c r="BA214" i="3"/>
  <c r="BA240" i="3"/>
  <c r="BL242" i="3"/>
  <c r="BL243" i="3"/>
  <c r="BA250" i="3"/>
  <c r="BL254" i="3"/>
  <c r="BA270" i="3"/>
  <c r="BA148" i="3"/>
  <c r="AZ148" i="3" s="1"/>
  <c r="U29" i="39"/>
  <c r="AB29" i="39"/>
  <c r="AA32" i="37"/>
  <c r="AB32" i="37"/>
  <c r="U32" i="37"/>
  <c r="AB23" i="40"/>
  <c r="U23" i="40"/>
  <c r="AC28" i="37"/>
  <c r="W28" i="37"/>
  <c r="AB29" i="34"/>
  <c r="U29" i="34"/>
  <c r="W11" i="33"/>
  <c r="AC11" i="33"/>
  <c r="AC25" i="34"/>
  <c r="W25" i="34"/>
  <c r="U16" i="35"/>
  <c r="AB16" i="35"/>
  <c r="J28" i="21"/>
  <c r="H28" i="21"/>
  <c r="H14" i="33"/>
  <c r="J14" i="33"/>
  <c r="F44" i="33"/>
  <c r="H44" i="33"/>
  <c r="F13" i="34"/>
  <c r="H13" i="34"/>
  <c r="U13" i="34" s="1"/>
  <c r="J31" i="34"/>
  <c r="F31" i="34"/>
  <c r="AA13" i="21"/>
  <c r="S13" i="21"/>
  <c r="AC21" i="40"/>
  <c r="W21" i="40"/>
  <c r="AB28" i="34"/>
  <c r="U28" i="34"/>
  <c r="AB14" i="40"/>
  <c r="U14" i="40"/>
  <c r="AA27" i="21"/>
  <c r="S27" i="21"/>
  <c r="AB30" i="21"/>
  <c r="U30" i="21"/>
  <c r="AA23" i="40"/>
  <c r="S23" i="40"/>
  <c r="S27" i="35"/>
  <c r="W26" i="21"/>
  <c r="AC26" i="21"/>
  <c r="J29" i="21"/>
  <c r="H29" i="21"/>
  <c r="J44" i="21"/>
  <c r="F44" i="21"/>
  <c r="AA25" i="33"/>
  <c r="U15" i="21"/>
  <c r="AB15" i="21"/>
  <c r="S43" i="34"/>
  <c r="S32" i="40"/>
  <c r="W20" i="36"/>
  <c r="AC20" i="36"/>
  <c r="AZ326" i="3"/>
  <c r="AZ390" i="3"/>
  <c r="AZ371" i="3"/>
  <c r="AZ351" i="3"/>
  <c r="AZ327" i="3"/>
  <c r="W47" i="34"/>
  <c r="AZ556" i="3"/>
  <c r="U46" i="21"/>
  <c r="AB46" i="21"/>
  <c r="F28" i="21"/>
  <c r="AB17" i="40"/>
  <c r="U17" i="40"/>
  <c r="AA39" i="40"/>
  <c r="S39" i="40"/>
  <c r="S12" i="36"/>
  <c r="AA12" i="36"/>
  <c r="AB39" i="37"/>
  <c r="U39" i="37"/>
  <c r="AA15" i="33"/>
  <c r="S15" i="33"/>
  <c r="F27" i="33"/>
  <c r="H27" i="33"/>
  <c r="U27" i="33" s="1"/>
  <c r="J27" i="33"/>
  <c r="F9" i="34"/>
  <c r="AA9" i="34" s="1"/>
  <c r="J9" i="34"/>
  <c r="H9" i="34"/>
  <c r="BL579" i="3"/>
  <c r="AZ568" i="3"/>
  <c r="W39" i="34"/>
  <c r="AC39" i="34"/>
  <c r="AC12" i="37"/>
  <c r="AA37" i="37"/>
  <c r="AA24" i="35"/>
  <c r="S24" i="35"/>
  <c r="S22" i="36"/>
  <c r="AA22" i="36"/>
  <c r="AA35" i="40"/>
  <c r="S35" i="40"/>
  <c r="W31" i="33"/>
  <c r="AC31" i="33"/>
  <c r="U44" i="21"/>
  <c r="AB44" i="21"/>
  <c r="S16" i="35"/>
  <c r="AA16" i="35"/>
  <c r="AB44" i="39"/>
  <c r="U44" i="39"/>
  <c r="AA19" i="39"/>
  <c r="S19" i="39"/>
  <c r="F102" i="39"/>
  <c r="G102" i="39" s="1"/>
  <c r="J29" i="39"/>
  <c r="W29" i="39" s="1"/>
  <c r="F29" i="39"/>
  <c r="S29" i="39" s="1"/>
  <c r="AC46" i="39"/>
  <c r="W46" i="39"/>
  <c r="S36" i="21"/>
  <c r="AA36" i="21"/>
  <c r="BA587" i="3"/>
  <c r="BA586" i="3"/>
  <c r="AZ586" i="3" s="1"/>
  <c r="E81" i="33"/>
  <c r="F81" i="33" s="1"/>
  <c r="G81" i="33" s="1"/>
  <c r="J19" i="33"/>
  <c r="F19" i="33"/>
  <c r="S19" i="33" s="1"/>
  <c r="AA28" i="37"/>
  <c r="S28" i="37"/>
  <c r="AB38" i="37"/>
  <c r="U38" i="37"/>
  <c r="AC33" i="33"/>
  <c r="W33" i="33"/>
  <c r="J23" i="36"/>
  <c r="S19" i="21"/>
  <c r="J23" i="33"/>
  <c r="AC23" i="33" s="1"/>
  <c r="U15" i="37"/>
  <c r="F41" i="40"/>
  <c r="AZ334" i="3"/>
  <c r="AZ318" i="3"/>
  <c r="AZ389" i="3"/>
  <c r="AZ336" i="3"/>
  <c r="AZ310" i="3"/>
  <c r="AZ305" i="3"/>
  <c r="AZ380" i="3"/>
  <c r="AZ325" i="3"/>
  <c r="U32" i="33"/>
  <c r="BL565" i="3"/>
  <c r="BL583" i="3"/>
  <c r="AZ583" i="3" s="1"/>
  <c r="H35" i="40"/>
  <c r="F38" i="37"/>
  <c r="H25" i="36"/>
  <c r="U23" i="34"/>
  <c r="AB23" i="34"/>
  <c r="J34" i="36"/>
  <c r="W34" i="36" s="1"/>
  <c r="G586" i="3"/>
  <c r="AA35" i="34"/>
  <c r="S35" i="34"/>
  <c r="J12" i="34"/>
  <c r="H12" i="34"/>
  <c r="AA46" i="39"/>
  <c r="S46" i="39"/>
  <c r="H9" i="36"/>
  <c r="AB9" i="36" s="1"/>
  <c r="J9" i="36"/>
  <c r="AA36" i="40"/>
  <c r="S36" i="40"/>
  <c r="AZ501" i="3"/>
  <c r="AZ564" i="3"/>
  <c r="AZ572" i="3"/>
  <c r="AZ580" i="3"/>
  <c r="AC8" i="34"/>
  <c r="W8" i="34"/>
  <c r="F23" i="36"/>
  <c r="H47" i="39"/>
  <c r="F47" i="39"/>
  <c r="A15" i="62"/>
  <c r="B61" i="72" s="1"/>
  <c r="W21" i="21"/>
  <c r="AC21" i="21"/>
  <c r="AA38" i="34"/>
  <c r="S36" i="39"/>
  <c r="G570" i="3"/>
  <c r="BA402" i="3"/>
  <c r="AZ402" i="3" s="1"/>
  <c r="G407" i="3"/>
  <c r="BA407" i="3"/>
  <c r="BL411" i="3"/>
  <c r="BA413" i="3"/>
  <c r="BL419" i="3"/>
  <c r="BA431" i="3"/>
  <c r="BL431" i="3"/>
  <c r="BA441" i="3"/>
  <c r="BL445" i="3"/>
  <c r="BL446" i="3"/>
  <c r="AA39" i="71"/>
  <c r="AA38" i="71"/>
  <c r="G398" i="3"/>
  <c r="G399" i="3"/>
  <c r="BA400" i="3"/>
  <c r="BA406" i="3"/>
  <c r="AZ406" i="3" s="1"/>
  <c r="BL409" i="3"/>
  <c r="BL413" i="3"/>
  <c r="G415" i="3"/>
  <c r="G416" i="3"/>
  <c r="BL423" i="3"/>
  <c r="G426" i="3"/>
  <c r="BL430" i="3"/>
  <c r="G431" i="3"/>
  <c r="G440" i="3"/>
  <c r="BL440" i="3"/>
  <c r="G456" i="3"/>
  <c r="G460" i="3"/>
  <c r="BA468" i="3"/>
  <c r="BA476" i="3"/>
  <c r="G134" i="3"/>
  <c r="BL555" i="3"/>
  <c r="BA554" i="3"/>
  <c r="AZ554" i="3" s="1"/>
  <c r="BA553" i="3"/>
  <c r="G553" i="3"/>
  <c r="BL552" i="3"/>
  <c r="BA552" i="3"/>
  <c r="BL551" i="3"/>
  <c r="BA549" i="3"/>
  <c r="G549" i="3"/>
  <c r="BA548" i="3"/>
  <c r="BA547" i="3"/>
  <c r="BL546" i="3"/>
  <c r="AZ546" i="3" s="1"/>
  <c r="BL545" i="3"/>
  <c r="BL544" i="3"/>
  <c r="BA544" i="3"/>
  <c r="BA543" i="3"/>
  <c r="G543" i="3"/>
  <c r="BL542" i="3"/>
  <c r="BA542" i="3"/>
  <c r="BL541" i="3"/>
  <c r="AZ541" i="3" s="1"/>
  <c r="BA541" i="3"/>
  <c r="G541" i="3"/>
  <c r="BL540" i="3"/>
  <c r="BA540" i="3"/>
  <c r="G540" i="3"/>
  <c r="BA539" i="3"/>
  <c r="AZ539" i="3" s="1"/>
  <c r="BL538" i="3"/>
  <c r="BA538" i="3"/>
  <c r="BL537" i="3"/>
  <c r="AZ537" i="3" s="1"/>
  <c r="BA535" i="3"/>
  <c r="G535" i="3"/>
  <c r="BA534" i="3"/>
  <c r="G534" i="3"/>
  <c r="BA533" i="3"/>
  <c r="G533" i="3"/>
  <c r="BL532" i="3"/>
  <c r="AZ532" i="3" s="1"/>
  <c r="BA531" i="3"/>
  <c r="BL530" i="3"/>
  <c r="BA530" i="3"/>
  <c r="BA528" i="3"/>
  <c r="BA527" i="3"/>
  <c r="G527" i="3"/>
  <c r="BL526" i="3"/>
  <c r="AZ526" i="3" s="1"/>
  <c r="BA525" i="3"/>
  <c r="AZ525" i="3" s="1"/>
  <c r="G525" i="3"/>
  <c r="BL524" i="3"/>
  <c r="BA524" i="3"/>
  <c r="G524" i="3"/>
  <c r="BA523" i="3"/>
  <c r="BL522" i="3"/>
  <c r="BA522" i="3"/>
  <c r="BL521" i="3"/>
  <c r="AZ521" i="3" s="1"/>
  <c r="BA521" i="3"/>
  <c r="BL520" i="3"/>
  <c r="BA520" i="3"/>
  <c r="G519" i="3"/>
  <c r="BL518" i="3"/>
  <c r="AZ518" i="3" s="1"/>
  <c r="G518" i="3"/>
  <c r="BA517" i="3"/>
  <c r="BA516" i="3"/>
  <c r="BA515" i="3"/>
  <c r="BA514" i="3"/>
  <c r="BL513" i="3"/>
  <c r="BA513" i="3"/>
  <c r="BL512" i="3"/>
  <c r="BA512" i="3"/>
  <c r="G512" i="3"/>
  <c r="G511" i="3"/>
  <c r="BL510" i="3"/>
  <c r="BA510" i="3"/>
  <c r="G510" i="3"/>
  <c r="BA509" i="3"/>
  <c r="BL508" i="3"/>
  <c r="BA508" i="3"/>
  <c r="BA507" i="3"/>
  <c r="G507" i="3"/>
  <c r="BL506" i="3"/>
  <c r="AZ506" i="3" s="1"/>
  <c r="BA505" i="3"/>
  <c r="AZ505" i="3" s="1"/>
  <c r="BL504" i="3"/>
  <c r="BA504" i="3"/>
  <c r="G504" i="3"/>
  <c r="BA503" i="3"/>
  <c r="BL502" i="3"/>
  <c r="BA502" i="3"/>
  <c r="BL500" i="3"/>
  <c r="AZ500" i="3" s="1"/>
  <c r="BL499" i="3"/>
  <c r="BA499" i="3"/>
  <c r="G499" i="3"/>
  <c r="BA498" i="3"/>
  <c r="G498" i="3"/>
  <c r="BR5" i="3"/>
  <c r="BA497" i="3"/>
  <c r="AZ497" i="3" s="1"/>
  <c r="BA496" i="3"/>
  <c r="G496" i="3"/>
  <c r="BL495" i="3"/>
  <c r="BA495" i="3"/>
  <c r="BL494" i="3"/>
  <c r="AZ494" i="3" s="1"/>
  <c r="BK5" i="3"/>
  <c r="BG5" i="3"/>
  <c r="BT5" i="3"/>
  <c r="BO5" i="3"/>
  <c r="BJ5" i="3"/>
  <c r="BF5" i="3"/>
  <c r="BA13" i="3"/>
  <c r="BS5" i="3"/>
  <c r="BL13" i="3"/>
  <c r="BL400" i="3"/>
  <c r="G408" i="3"/>
  <c r="BL412" i="3"/>
  <c r="G413" i="3"/>
  <c r="BA419" i="3"/>
  <c r="BA420" i="3"/>
  <c r="BA422" i="3"/>
  <c r="G438" i="3"/>
  <c r="BL438" i="3"/>
  <c r="BL439" i="3"/>
  <c r="BA443" i="3"/>
  <c r="BL443" i="3"/>
  <c r="BA448" i="3"/>
  <c r="BL451" i="3"/>
  <c r="BL458" i="3"/>
  <c r="G459" i="3"/>
  <c r="BL308" i="3"/>
  <c r="AZ308" i="3" s="1"/>
  <c r="G387" i="3"/>
  <c r="G217" i="3"/>
  <c r="BL316" i="3"/>
  <c r="BL340" i="3"/>
  <c r="AZ340" i="3" s="1"/>
  <c r="BA354" i="3"/>
  <c r="BL381" i="3"/>
  <c r="AZ381" i="3" s="1"/>
  <c r="BA212" i="3"/>
  <c r="BA216" i="3"/>
  <c r="AZ216" i="3" s="1"/>
  <c r="BL224" i="3"/>
  <c r="BA233" i="3"/>
  <c r="BL233" i="3"/>
  <c r="BA249" i="3"/>
  <c r="BL249" i="3"/>
  <c r="BA253" i="3"/>
  <c r="BL262" i="3"/>
  <c r="BL263" i="3"/>
  <c r="BA283" i="3"/>
  <c r="BL283" i="3"/>
  <c r="BL284" i="3"/>
  <c r="G292" i="3"/>
  <c r="BL298" i="3"/>
  <c r="BL299" i="3"/>
  <c r="BA301" i="3"/>
  <c r="BA133" i="3"/>
  <c r="BL166" i="3"/>
  <c r="BL173" i="3"/>
  <c r="BA174" i="3"/>
  <c r="BL205" i="3"/>
  <c r="BL23" i="3"/>
  <c r="BA26" i="3"/>
  <c r="BA33" i="3"/>
  <c r="BL35" i="3"/>
  <c r="G37" i="3"/>
  <c r="G41" i="3"/>
  <c r="D38" i="71"/>
  <c r="C39" i="71"/>
  <c r="C40" i="71" s="1"/>
  <c r="AA35" i="71"/>
  <c r="Y37" i="71"/>
  <c r="Z37" i="71" s="1"/>
  <c r="Y28" i="71"/>
  <c r="Z28" i="71" s="1"/>
  <c r="O68" i="71"/>
  <c r="D68" i="71"/>
  <c r="C67" i="71"/>
  <c r="S80" i="71"/>
  <c r="B79" i="71"/>
  <c r="B78" i="71" s="1"/>
  <c r="G448" i="3"/>
  <c r="G449" i="3"/>
  <c r="BL449" i="3"/>
  <c r="BL450" i="3"/>
  <c r="BA452" i="3"/>
  <c r="BL452" i="3"/>
  <c r="G455" i="3"/>
  <c r="BA458" i="3"/>
  <c r="AZ458" i="3" s="1"/>
  <c r="BL465" i="3"/>
  <c r="BL469" i="3"/>
  <c r="BA473" i="3"/>
  <c r="BL473" i="3"/>
  <c r="BL474" i="3"/>
  <c r="BL484" i="3"/>
  <c r="G489" i="3"/>
  <c r="BA489" i="3"/>
  <c r="G343" i="3"/>
  <c r="G347" i="3"/>
  <c r="BA348" i="3"/>
  <c r="BA350" i="3"/>
  <c r="AZ350" i="3" s="1"/>
  <c r="BL359" i="3"/>
  <c r="AZ359" i="3" s="1"/>
  <c r="BL367" i="3"/>
  <c r="BL375" i="3"/>
  <c r="AZ375" i="3" s="1"/>
  <c r="BA385" i="3"/>
  <c r="BL386" i="3"/>
  <c r="BL395" i="3"/>
  <c r="G210" i="3"/>
  <c r="G216" i="3"/>
  <c r="G218" i="3"/>
  <c r="BL222" i="3"/>
  <c r="BL223" i="3"/>
  <c r="BA229" i="3"/>
  <c r="BL229" i="3"/>
  <c r="BA231" i="3"/>
  <c r="BL231" i="3"/>
  <c r="G241" i="3"/>
  <c r="BA248" i="3"/>
  <c r="G251" i="3"/>
  <c r="BL252" i="3"/>
  <c r="G255" i="3"/>
  <c r="G256" i="3"/>
  <c r="G262" i="3"/>
  <c r="BL267" i="3"/>
  <c r="G268" i="3"/>
  <c r="BL272" i="3"/>
  <c r="BL273" i="3"/>
  <c r="G274" i="3"/>
  <c r="BA278" i="3"/>
  <c r="AZ278" i="3" s="1"/>
  <c r="BA280" i="3"/>
  <c r="AZ280" i="3" s="1"/>
  <c r="G283" i="3"/>
  <c r="BA291" i="3"/>
  <c r="G295" i="3"/>
  <c r="BA120" i="3"/>
  <c r="AZ120" i="3" s="1"/>
  <c r="BA132" i="3"/>
  <c r="AZ132" i="3" s="1"/>
  <c r="BL135" i="3"/>
  <c r="AZ135" i="3" s="1"/>
  <c r="G143" i="3"/>
  <c r="G150" i="3"/>
  <c r="G154" i="3"/>
  <c r="BA157" i="3"/>
  <c r="BA160" i="3"/>
  <c r="AZ160" i="3" s="1"/>
  <c r="BL193" i="3"/>
  <c r="AB26" i="71"/>
  <c r="D58" i="71"/>
  <c r="C59" i="71"/>
  <c r="B63" i="71"/>
  <c r="B64" i="71" s="1"/>
  <c r="S64" i="71" s="1"/>
  <c r="U76" i="71"/>
  <c r="E75" i="71"/>
  <c r="E74" i="71" s="1"/>
  <c r="G452" i="3"/>
  <c r="BA456" i="3"/>
  <c r="BL456" i="3"/>
  <c r="G461" i="3"/>
  <c r="BA464" i="3"/>
  <c r="BA469" i="3"/>
  <c r="AZ469" i="3" s="1"/>
  <c r="BL472" i="3"/>
  <c r="G473" i="3"/>
  <c r="BL479" i="3"/>
  <c r="BA481" i="3"/>
  <c r="G484" i="3"/>
  <c r="G318" i="3"/>
  <c r="BA331" i="3"/>
  <c r="AZ331" i="3" s="1"/>
  <c r="BA335" i="3"/>
  <c r="AZ335" i="3" s="1"/>
  <c r="BA339" i="3"/>
  <c r="AZ339" i="3" s="1"/>
  <c r="BA366" i="3"/>
  <c r="AZ366" i="3" s="1"/>
  <c r="BL385" i="3"/>
  <c r="BA392" i="3"/>
  <c r="AZ392" i="3" s="1"/>
  <c r="BL208" i="3"/>
  <c r="G209" i="3"/>
  <c r="G214" i="3"/>
  <c r="BA218" i="3"/>
  <c r="BL218" i="3"/>
  <c r="BA220" i="3"/>
  <c r="BL220" i="3"/>
  <c r="BL221" i="3"/>
  <c r="G222" i="3"/>
  <c r="BA225" i="3"/>
  <c r="BA228" i="3"/>
  <c r="BL230" i="3"/>
  <c r="G231" i="3"/>
  <c r="BL237" i="3"/>
  <c r="BL238" i="3"/>
  <c r="G239" i="3"/>
  <c r="G246" i="3"/>
  <c r="BA247" i="3"/>
  <c r="BL247" i="3"/>
  <c r="BA251" i="3"/>
  <c r="BL251" i="3"/>
  <c r="BL259" i="3"/>
  <c r="G260" i="3"/>
  <c r="G261" i="3"/>
  <c r="BA268" i="3"/>
  <c r="BA275" i="3"/>
  <c r="G280" i="3"/>
  <c r="G282" i="3"/>
  <c r="BL289" i="3"/>
  <c r="G297" i="3"/>
  <c r="G116" i="3"/>
  <c r="BA117" i="3"/>
  <c r="BA125" i="3"/>
  <c r="BL127" i="3"/>
  <c r="AZ127" i="3" s="1"/>
  <c r="BA145" i="3"/>
  <c r="BL146" i="3"/>
  <c r="BA156" i="3"/>
  <c r="AZ156" i="3" s="1"/>
  <c r="BL157" i="3"/>
  <c r="BL159" i="3"/>
  <c r="AZ159" i="3" s="1"/>
  <c r="BL163" i="3"/>
  <c r="AZ163" i="3" s="1"/>
  <c r="BL169" i="3"/>
  <c r="BL170" i="3"/>
  <c r="G171" i="3"/>
  <c r="G175" i="3"/>
  <c r="BA177" i="3"/>
  <c r="BL179" i="3"/>
  <c r="AZ179" i="3" s="1"/>
  <c r="G180" i="3"/>
  <c r="BA181" i="3"/>
  <c r="AB21" i="34"/>
  <c r="U21" i="34"/>
  <c r="AC27" i="40"/>
  <c r="W27" i="40"/>
  <c r="E66" i="71"/>
  <c r="P67" i="71"/>
  <c r="AA37" i="71"/>
  <c r="U72" i="71"/>
  <c r="E71" i="71"/>
  <c r="E70" i="71" s="1"/>
  <c r="BA47" i="3"/>
  <c r="BL47" i="3"/>
  <c r="G50" i="3"/>
  <c r="BA62" i="3"/>
  <c r="BL62" i="3"/>
  <c r="BL63" i="3"/>
  <c r="BA65" i="3"/>
  <c r="BL69" i="3"/>
  <c r="BA79" i="3"/>
  <c r="AZ79" i="3" s="1"/>
  <c r="BL85" i="3"/>
  <c r="BA86" i="3"/>
  <c r="AZ86" i="3" s="1"/>
  <c r="BA98" i="3"/>
  <c r="BL101" i="3"/>
  <c r="BL102" i="3"/>
  <c r="G109" i="3"/>
  <c r="P27" i="6"/>
  <c r="D87" i="71"/>
  <c r="F28" i="71"/>
  <c r="F27" i="71" s="1"/>
  <c r="F26" i="71" s="1"/>
  <c r="D62" i="71"/>
  <c r="X26" i="71"/>
  <c r="Y29" i="71"/>
  <c r="Z29" i="71" s="1"/>
  <c r="X31" i="71"/>
  <c r="X32" i="71"/>
  <c r="Y38" i="71"/>
  <c r="Z38" i="71" s="1"/>
  <c r="B43" i="71"/>
  <c r="B44" i="71" s="1"/>
  <c r="S44" i="71" s="1"/>
  <c r="E47" i="71"/>
  <c r="E48" i="71" s="1"/>
  <c r="U48" i="71" s="1"/>
  <c r="F67" i="71"/>
  <c r="F66" i="71" s="1"/>
  <c r="BL186" i="3"/>
  <c r="BA201" i="3"/>
  <c r="G205" i="3"/>
  <c r="BA22" i="3"/>
  <c r="G32" i="3"/>
  <c r="BL34" i="3"/>
  <c r="BA40" i="3"/>
  <c r="BL44" i="3"/>
  <c r="BA55" i="3"/>
  <c r="BL57" i="3"/>
  <c r="G59" i="3"/>
  <c r="BL68" i="3"/>
  <c r="BA69" i="3"/>
  <c r="AZ69" i="3" s="1"/>
  <c r="BA70" i="3"/>
  <c r="G81" i="3"/>
  <c r="G89" i="3"/>
  <c r="BA91" i="3"/>
  <c r="AZ91" i="3" s="1"/>
  <c r="BL93" i="3"/>
  <c r="BA95" i="3"/>
  <c r="BL97" i="3"/>
  <c r="AZ97" i="3" s="1"/>
  <c r="BA109" i="3"/>
  <c r="BA110" i="3"/>
  <c r="AZ110" i="3" s="1"/>
  <c r="S21" i="37"/>
  <c r="C82" i="71"/>
  <c r="D82" i="71" s="1"/>
  <c r="Y25" i="71"/>
  <c r="Z25" i="71" s="1"/>
  <c r="X34" i="71"/>
  <c r="S68" i="71"/>
  <c r="G138" i="3"/>
  <c r="G146" i="3"/>
  <c r="G159" i="3"/>
  <c r="BA162" i="3"/>
  <c r="BL162" i="3"/>
  <c r="BL165" i="3"/>
  <c r="G166" i="3"/>
  <c r="G172" i="3"/>
  <c r="BA173" i="3"/>
  <c r="AZ173" i="3" s="1"/>
  <c r="G176" i="3"/>
  <c r="BL181" i="3"/>
  <c r="BA182" i="3"/>
  <c r="BL185" i="3"/>
  <c r="G186" i="3"/>
  <c r="G192" i="3"/>
  <c r="BL198" i="3"/>
  <c r="AZ198" i="3" s="1"/>
  <c r="G199" i="3"/>
  <c r="G18" i="3"/>
  <c r="G22" i="3"/>
  <c r="G26" i="3"/>
  <c r="G27" i="3"/>
  <c r="BA36" i="3"/>
  <c r="BL38" i="3"/>
  <c r="BA39" i="3"/>
  <c r="BA43" i="3"/>
  <c r="G46" i="3"/>
  <c r="BL52" i="3"/>
  <c r="BA53" i="3"/>
  <c r="BA54" i="3"/>
  <c r="G57" i="3"/>
  <c r="G61" i="3"/>
  <c r="BL65" i="3"/>
  <c r="BL66" i="3"/>
  <c r="G71" i="3"/>
  <c r="G72" i="3"/>
  <c r="BL76" i="3"/>
  <c r="G78" i="3"/>
  <c r="BL82" i="3"/>
  <c r="G83" i="3"/>
  <c r="BA88" i="3"/>
  <c r="G92" i="3"/>
  <c r="G93" i="3"/>
  <c r="BL96" i="3"/>
  <c r="G101" i="3"/>
  <c r="G106" i="3"/>
  <c r="BL106" i="3"/>
  <c r="BA108" i="3"/>
  <c r="G111" i="3"/>
  <c r="S18" i="36"/>
  <c r="F31" i="71"/>
  <c r="F32" i="71" s="1"/>
  <c r="V32" i="71" s="1"/>
  <c r="Y35" i="71"/>
  <c r="Z35" i="71" s="1"/>
  <c r="B39" i="71"/>
  <c r="B40" i="71" s="1"/>
  <c r="S40" i="71" s="1"/>
  <c r="E51" i="71"/>
  <c r="E52" i="71" s="1"/>
  <c r="U52" i="71" s="1"/>
  <c r="B23" i="71"/>
  <c r="B22" i="71" s="1"/>
  <c r="B21" i="71" s="1"/>
  <c r="B20" i="71" s="1"/>
  <c r="C18" i="9"/>
  <c r="W32" i="33"/>
  <c r="W25" i="33"/>
  <c r="AC35" i="33"/>
  <c r="W43" i="33"/>
  <c r="W40" i="33"/>
  <c r="AB27" i="33"/>
  <c r="AC28" i="33"/>
  <c r="S33" i="33"/>
  <c r="W42" i="33"/>
  <c r="AB36" i="33"/>
  <c r="U41" i="33"/>
  <c r="AB34" i="33"/>
  <c r="U42" i="33"/>
  <c r="AC37" i="33"/>
  <c r="S43" i="33"/>
  <c r="S41" i="33"/>
  <c r="S36" i="33"/>
  <c r="S39" i="33"/>
  <c r="AA34" i="33"/>
  <c r="S38" i="33"/>
  <c r="S40" i="33"/>
  <c r="AC21" i="33"/>
  <c r="U19" i="33"/>
  <c r="AC17" i="33"/>
  <c r="S28" i="33"/>
  <c r="AA19" i="33"/>
  <c r="AA17" i="33"/>
  <c r="C23" i="40"/>
  <c r="W45" i="33"/>
  <c r="AC45" i="33"/>
  <c r="U23" i="21"/>
  <c r="W17" i="21"/>
  <c r="AB14" i="39"/>
  <c r="U14" i="39"/>
  <c r="AC15" i="40"/>
  <c r="S14" i="37"/>
  <c r="AA14" i="37"/>
  <c r="AC39" i="40"/>
  <c r="W39" i="40"/>
  <c r="U28" i="36"/>
  <c r="AB28" i="36"/>
  <c r="S34" i="36"/>
  <c r="AA34" i="36"/>
  <c r="AA26" i="33"/>
  <c r="S26" i="33"/>
  <c r="U19" i="34"/>
  <c r="AC33" i="34"/>
  <c r="W33" i="34"/>
  <c r="AZ536" i="3"/>
  <c r="S13" i="33"/>
  <c r="AA13" i="33"/>
  <c r="S17" i="40"/>
  <c r="AA17" i="40"/>
  <c r="AC13" i="40"/>
  <c r="W13" i="40"/>
  <c r="S31" i="37"/>
  <c r="AA31" i="37"/>
  <c r="U41" i="34"/>
  <c r="AB41" i="34"/>
  <c r="U35" i="40"/>
  <c r="AB35" i="40"/>
  <c r="S14" i="40"/>
  <c r="AA14" i="40"/>
  <c r="AB46" i="33"/>
  <c r="U46" i="33"/>
  <c r="S44" i="33"/>
  <c r="AA44" i="33"/>
  <c r="AA17" i="34"/>
  <c r="S17" i="34"/>
  <c r="J29" i="33"/>
  <c r="H29" i="33"/>
  <c r="F29" i="33"/>
  <c r="H45" i="33"/>
  <c r="F45" i="33"/>
  <c r="H14" i="34"/>
  <c r="J14" i="34"/>
  <c r="F14" i="34"/>
  <c r="H32" i="34"/>
  <c r="J32" i="34"/>
  <c r="F12" i="35"/>
  <c r="J12" i="35"/>
  <c r="H12" i="35"/>
  <c r="AB32" i="36"/>
  <c r="U32" i="36"/>
  <c r="AB16" i="39"/>
  <c r="U16" i="39"/>
  <c r="AZ553" i="3"/>
  <c r="AZ552" i="3"/>
  <c r="BL549" i="3"/>
  <c r="AZ549" i="3" s="1"/>
  <c r="AZ544" i="3"/>
  <c r="AZ543" i="3"/>
  <c r="AZ538" i="3"/>
  <c r="AZ534" i="3"/>
  <c r="BL533" i="3"/>
  <c r="AZ533" i="3" s="1"/>
  <c r="AZ530" i="3"/>
  <c r="AZ528" i="3"/>
  <c r="AZ524" i="3"/>
  <c r="AZ516" i="3"/>
  <c r="AZ514" i="3"/>
  <c r="AZ513" i="3"/>
  <c r="AZ510" i="3"/>
  <c r="AZ509" i="3"/>
  <c r="AZ508" i="3"/>
  <c r="AZ504" i="3"/>
  <c r="AZ499" i="3"/>
  <c r="AZ498" i="3"/>
  <c r="AZ496" i="3"/>
  <c r="S17" i="37"/>
  <c r="AB35" i="37"/>
  <c r="S25" i="39"/>
  <c r="S42" i="33"/>
  <c r="AA26" i="36"/>
  <c r="S20" i="35"/>
  <c r="AA20" i="35"/>
  <c r="AZ565" i="3"/>
  <c r="S11" i="36"/>
  <c r="AC38" i="37"/>
  <c r="W38" i="37"/>
  <c r="F32" i="34"/>
  <c r="AA22" i="35"/>
  <c r="S22" i="35"/>
  <c r="AA39" i="21"/>
  <c r="S39" i="21"/>
  <c r="AB33" i="33"/>
  <c r="U33" i="33"/>
  <c r="AB40" i="33"/>
  <c r="U40" i="33"/>
  <c r="AC9" i="34"/>
  <c r="W9" i="34"/>
  <c r="AB34" i="34"/>
  <c r="U34" i="34"/>
  <c r="BB5" i="3"/>
  <c r="BE5" i="3"/>
  <c r="BN5" i="3"/>
  <c r="BD5" i="3"/>
  <c r="BM5" i="3"/>
  <c r="AZ391" i="3"/>
  <c r="BL519" i="3"/>
  <c r="AZ519" i="3" s="1"/>
  <c r="BL531" i="3"/>
  <c r="AZ531" i="3" s="1"/>
  <c r="AZ573" i="3"/>
  <c r="F16" i="39"/>
  <c r="H13" i="37"/>
  <c r="F13" i="36"/>
  <c r="BL587" i="3"/>
  <c r="AZ587" i="3" s="1"/>
  <c r="J45" i="21"/>
  <c r="F45" i="21"/>
  <c r="B101" i="43"/>
  <c r="B79" i="43"/>
  <c r="C27" i="39"/>
  <c r="J9" i="33"/>
  <c r="H9" i="33"/>
  <c r="F9" i="33"/>
  <c r="AA9" i="33" s="1"/>
  <c r="AC22" i="35"/>
  <c r="W22" i="35"/>
  <c r="AC31" i="37"/>
  <c r="W31" i="37"/>
  <c r="AB36" i="40"/>
  <c r="U36" i="40"/>
  <c r="U13" i="36"/>
  <c r="AC34" i="33"/>
  <c r="BL493" i="3"/>
  <c r="AZ493" i="3" s="1"/>
  <c r="BP5" i="3"/>
  <c r="G29" i="6" s="1"/>
  <c r="AC5" i="3"/>
  <c r="AZ379" i="3"/>
  <c r="AZ322" i="3"/>
  <c r="AZ372" i="3"/>
  <c r="AZ347" i="3"/>
  <c r="AZ337" i="3"/>
  <c r="AZ376" i="3"/>
  <c r="AZ309" i="3"/>
  <c r="H34" i="40"/>
  <c r="BL503" i="3"/>
  <c r="AZ503" i="3" s="1"/>
  <c r="BL515" i="3"/>
  <c r="AZ515" i="3" s="1"/>
  <c r="BL523" i="3"/>
  <c r="AZ523" i="3" s="1"/>
  <c r="BL527" i="3"/>
  <c r="AZ527" i="3" s="1"/>
  <c r="BL547" i="3"/>
  <c r="AZ547" i="3" s="1"/>
  <c r="AZ569" i="3"/>
  <c r="AZ571" i="3"/>
  <c r="AZ579" i="3"/>
  <c r="J16" i="39"/>
  <c r="AC16" i="39" s="1"/>
  <c r="J13" i="37"/>
  <c r="J13" i="36"/>
  <c r="AA34" i="37"/>
  <c r="AA28" i="34"/>
  <c r="S28" i="34"/>
  <c r="AC28" i="35"/>
  <c r="W28" i="35"/>
  <c r="AB34" i="35"/>
  <c r="U34" i="35"/>
  <c r="J23" i="35"/>
  <c r="H23" i="35"/>
  <c r="F23" i="35"/>
  <c r="H33" i="39"/>
  <c r="F33" i="39"/>
  <c r="J33" i="39"/>
  <c r="S11" i="40"/>
  <c r="AA11" i="40"/>
  <c r="AC33" i="40"/>
  <c r="W33" i="40"/>
  <c r="H38" i="39"/>
  <c r="J38" i="39"/>
  <c r="AC38" i="39" s="1"/>
  <c r="AZ451" i="3"/>
  <c r="F32" i="36"/>
  <c r="J32" i="36"/>
  <c r="W32" i="36" s="1"/>
  <c r="AC34" i="40"/>
  <c r="W34" i="40"/>
  <c r="AZ387" i="3"/>
  <c r="AZ338" i="3"/>
  <c r="AZ311" i="3"/>
  <c r="AZ364" i="3"/>
  <c r="AZ329" i="3"/>
  <c r="AZ304" i="3"/>
  <c r="AZ306" i="3"/>
  <c r="AA25" i="21"/>
  <c r="F34" i="40"/>
  <c r="BL535" i="3"/>
  <c r="AZ535" i="3" s="1"/>
  <c r="AZ577" i="3"/>
  <c r="AZ557" i="3"/>
  <c r="AZ575" i="3"/>
  <c r="AZ566" i="3"/>
  <c r="AZ574" i="3"/>
  <c r="AZ582" i="3"/>
  <c r="AZ419"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G451" i="3"/>
  <c r="BA454" i="3"/>
  <c r="BA457" i="3"/>
  <c r="BA459" i="3"/>
  <c r="BA460" i="3"/>
  <c r="BA461" i="3"/>
  <c r="BL464" i="3"/>
  <c r="AZ464" i="3" s="1"/>
  <c r="BL466" i="3"/>
  <c r="AZ466" i="3" s="1"/>
  <c r="G468" i="3"/>
  <c r="G469" i="3"/>
  <c r="BL476" i="3"/>
  <c r="AZ476" i="3" s="1"/>
  <c r="G478" i="3"/>
  <c r="BA485" i="3"/>
  <c r="G490" i="3"/>
  <c r="U35" i="33"/>
  <c r="W28" i="36"/>
  <c r="G587" i="3"/>
  <c r="W41" i="33"/>
  <c r="H12" i="36"/>
  <c r="G551" i="3"/>
  <c r="BL550" i="3"/>
  <c r="G542" i="3"/>
  <c r="BA401" i="3"/>
  <c r="BA403" i="3"/>
  <c r="BA404" i="3"/>
  <c r="BA405" i="3"/>
  <c r="AZ405" i="3" s="1"/>
  <c r="BL410" i="3"/>
  <c r="G412" i="3"/>
  <c r="G418" i="3"/>
  <c r="AZ448" i="3"/>
  <c r="BL468" i="3"/>
  <c r="BL470" i="3"/>
  <c r="W39" i="33"/>
  <c r="BL585" i="3"/>
  <c r="AZ585" i="3" s="1"/>
  <c r="B75" i="43"/>
  <c r="AC31" i="35"/>
  <c r="H24" i="36"/>
  <c r="H41" i="40"/>
  <c r="G574" i="3"/>
  <c r="BL16" i="3"/>
  <c r="AZ16"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477" i="3"/>
  <c r="G481" i="3"/>
  <c r="BA551" i="3"/>
  <c r="AZ551" i="3" s="1"/>
  <c r="BA550" i="3"/>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BA455" i="3"/>
  <c r="AZ455" i="3" s="1"/>
  <c r="BL457" i="3"/>
  <c r="BL460" i="3"/>
  <c r="BL461" i="3"/>
  <c r="BL463" i="3"/>
  <c r="G465" i="3"/>
  <c r="BA471" i="3"/>
  <c r="BA487" i="3"/>
  <c r="AZ487" i="3" s="1"/>
  <c r="BL490"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BL270" i="3"/>
  <c r="AZ270" i="3" s="1"/>
  <c r="BA272" i="3"/>
  <c r="AZ272" i="3" s="1"/>
  <c r="BL275" i="3"/>
  <c r="AZ275" i="3" s="1"/>
  <c r="BL285" i="3"/>
  <c r="BL287" i="3"/>
  <c r="BA290" i="3"/>
  <c r="BA116" i="3"/>
  <c r="AZ116" i="3" s="1"/>
  <c r="BA121" i="3"/>
  <c r="BL121" i="3"/>
  <c r="BL123" i="3"/>
  <c r="AZ123" i="3" s="1"/>
  <c r="BA129" i="3"/>
  <c r="BA134"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77" i="3"/>
  <c r="BL277" i="3"/>
  <c r="BA282" i="3"/>
  <c r="BL282" i="3"/>
  <c r="BA284" i="3"/>
  <c r="AZ284" i="3" s="1"/>
  <c r="BL290" i="3"/>
  <c r="BL291" i="3"/>
  <c r="AZ291" i="3" s="1"/>
  <c r="BL293" i="3"/>
  <c r="BL294" i="3"/>
  <c r="BA297" i="3"/>
  <c r="BL297" i="3"/>
  <c r="BL300" i="3"/>
  <c r="BA128" i="3"/>
  <c r="AZ12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L301" i="3"/>
  <c r="AZ301" i="3" s="1"/>
  <c r="BL302" i="3"/>
  <c r="AZ302" i="3" s="1"/>
  <c r="BA114" i="3"/>
  <c r="BL122" i="3"/>
  <c r="BA126" i="3"/>
  <c r="BL133" i="3"/>
  <c r="AZ133"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A124" i="3"/>
  <c r="AZ124" i="3" s="1"/>
  <c r="BA130" i="3"/>
  <c r="BL130" i="3"/>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BA25" i="3"/>
  <c r="BL28" i="3"/>
  <c r="BA29" i="3"/>
  <c r="AZ29" i="3" s="1"/>
  <c r="AZ52" i="3"/>
  <c r="P65" i="71"/>
  <c r="P66" i="71"/>
  <c r="C55" i="71"/>
  <c r="D54"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38" i="3" s="1"/>
  <c r="BA41" i="3"/>
  <c r="BA42" i="3"/>
  <c r="G47" i="3"/>
  <c r="BL48" i="3"/>
  <c r="BL54" i="3"/>
  <c r="BL55" i="3"/>
  <c r="AZ55" i="3" s="1"/>
  <c r="G58" i="3"/>
  <c r="BA59" i="3"/>
  <c r="BL61" i="3"/>
  <c r="G64" i="3"/>
  <c r="BA64" i="3"/>
  <c r="AZ64" i="3" s="1"/>
  <c r="G67" i="3"/>
  <c r="BA68" i="3"/>
  <c r="BA71" i="3"/>
  <c r="T40" i="71"/>
  <c r="D40" i="71"/>
  <c r="V24" i="71"/>
  <c r="E23" i="71"/>
  <c r="E22" i="71" s="1"/>
  <c r="E21" i="71" s="1"/>
  <c r="E20" i="71" s="1"/>
  <c r="BA137" i="3"/>
  <c r="BL138" i="3"/>
  <c r="BA140" i="3"/>
  <c r="AZ140" i="3" s="1"/>
  <c r="BA142" i="3"/>
  <c r="BL149" i="3"/>
  <c r="AZ149" i="3" s="1"/>
  <c r="BL150" i="3"/>
  <c r="G151" i="3"/>
  <c r="BA152" i="3"/>
  <c r="AZ152" i="3" s="1"/>
  <c r="BA154" i="3"/>
  <c r="AZ154" i="3" s="1"/>
  <c r="BA27" i="3"/>
  <c r="G30" i="3"/>
  <c r="BL30" i="3"/>
  <c r="BL31" i="3"/>
  <c r="BL40" i="3"/>
  <c r="BL41" i="3"/>
  <c r="BL45" i="3"/>
  <c r="BA48" i="3"/>
  <c r="BA49" i="3"/>
  <c r="BA51" i="3"/>
  <c r="G55" i="3"/>
  <c r="BL56" i="3"/>
  <c r="BA58" i="3"/>
  <c r="BL59" i="3"/>
  <c r="BL60" i="3"/>
  <c r="BA61" i="3"/>
  <c r="BL73" i="3"/>
  <c r="BA74" i="3"/>
  <c r="AZ74" i="3" s="1"/>
  <c r="BA75" i="3"/>
  <c r="BL77" i="3"/>
  <c r="AZ77" i="3" s="1"/>
  <c r="BL177" i="3"/>
  <c r="AZ177" i="3" s="1"/>
  <c r="BL183" i="3"/>
  <c r="AZ183" i="3" s="1"/>
  <c r="BA186" i="3"/>
  <c r="AZ186" i="3" s="1"/>
  <c r="BA190" i="3"/>
  <c r="BA197" i="3"/>
  <c r="AZ197" i="3" s="1"/>
  <c r="BL201" i="3"/>
  <c r="AZ201" i="3" s="1"/>
  <c r="BL203" i="3"/>
  <c r="AZ203" i="3" s="1"/>
  <c r="BA204" i="3"/>
  <c r="AZ204" i="3" s="1"/>
  <c r="BL21" i="3"/>
  <c r="G23" i="3"/>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C32" i="71"/>
  <c r="D31" i="71"/>
  <c r="D46" i="71"/>
  <c r="C47" i="71"/>
  <c r="D47" i="71" s="1"/>
  <c r="C64" i="71"/>
  <c r="D63" i="71"/>
  <c r="N67" i="71"/>
  <c r="B66" i="71"/>
  <c r="BA73" i="3"/>
  <c r="BA80" i="3"/>
  <c r="G84" i="3"/>
  <c r="BL84" i="3"/>
  <c r="BA89" i="3"/>
  <c r="G99" i="3"/>
  <c r="G103" i="3"/>
  <c r="BA103" i="3"/>
  <c r="AZ103" i="3" s="1"/>
  <c r="BA104" i="3"/>
  <c r="BA106" i="3"/>
  <c r="BL108" i="3"/>
  <c r="AZ108" i="3" s="1"/>
  <c r="G110" i="3"/>
  <c r="BL111" i="3"/>
  <c r="AB21" i="33"/>
  <c r="B68" i="43"/>
  <c r="B88" i="43"/>
  <c r="D39" i="71"/>
  <c r="C74" i="71"/>
  <c r="D74" i="71" s="1"/>
  <c r="AA3" i="71"/>
  <c r="C27" i="71"/>
  <c r="D30" i="71"/>
  <c r="Y27" i="71"/>
  <c r="Z27" i="71" s="1"/>
  <c r="AA34" i="71"/>
  <c r="AB35" i="71"/>
  <c r="B51" i="71"/>
  <c r="B52" i="71" s="1"/>
  <c r="S52" i="71" s="1"/>
  <c r="B71" i="71"/>
  <c r="B70" i="71" s="1"/>
  <c r="BA84" i="3"/>
  <c r="BL88" i="3"/>
  <c r="AZ88" i="3" s="1"/>
  <c r="BL90" i="3"/>
  <c r="BL92" i="3"/>
  <c r="BA101" i="3"/>
  <c r="AZ101" i="3" s="1"/>
  <c r="BL112" i="3"/>
  <c r="AC21" i="37"/>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A28" i="71"/>
  <c r="AB27" i="71"/>
  <c r="AB25" i="71"/>
  <c r="C43" i="71"/>
  <c r="C35" i="71"/>
  <c r="X33" i="71"/>
  <c r="AB37" i="71"/>
  <c r="M14" i="15"/>
  <c r="F14" i="15"/>
  <c r="E14" i="15"/>
  <c r="F65" i="15"/>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E7" i="33" s="1"/>
  <c r="G7" i="33" s="1"/>
  <c r="I7"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1" i="15"/>
  <c r="B20" i="31"/>
  <c r="B21" i="31" s="1"/>
  <c r="I1" i="73"/>
  <c r="B40" i="1" s="1"/>
  <c r="F51" i="67"/>
  <c r="M7" i="15"/>
  <c r="J7" i="15" s="1"/>
  <c r="J9" i="15" s="1"/>
  <c r="F58" i="15"/>
  <c r="F59" i="15"/>
  <c r="F82" i="15"/>
  <c r="F66" i="67"/>
  <c r="M67" i="15"/>
  <c r="F76" i="15"/>
  <c r="F73" i="15"/>
  <c r="F71" i="67"/>
  <c r="C48" i="15"/>
  <c r="F75" i="15"/>
  <c r="B13" i="70"/>
  <c r="M7" i="67"/>
  <c r="F50" i="67"/>
  <c r="F78" i="15"/>
  <c r="D9" i="69"/>
  <c r="D15" i="80"/>
  <c r="D21" i="12"/>
  <c r="D15" i="68"/>
  <c r="F36" i="67"/>
  <c r="C37" i="15"/>
  <c r="F37" i="67"/>
  <c r="J15" i="67"/>
  <c r="M34" i="81"/>
  <c r="M30" i="81"/>
  <c r="C85" i="81"/>
  <c r="F27" i="81"/>
  <c r="F21" i="81"/>
  <c r="M23" i="81"/>
  <c r="F40" i="67"/>
  <c r="F29" i="81"/>
  <c r="D7" i="73"/>
  <c r="L54" i="81"/>
  <c r="M6" i="81"/>
  <c r="F6" i="81"/>
  <c r="L55" i="81"/>
  <c r="M8" i="81"/>
  <c r="D3" i="73"/>
  <c r="F31" i="81"/>
  <c r="M24" i="67"/>
  <c r="M6" i="67"/>
  <c r="F7" i="81"/>
  <c r="F9" i="67"/>
  <c r="F8" i="81"/>
  <c r="F36" i="81"/>
  <c r="F16" i="67"/>
  <c r="F25" i="81"/>
  <c r="M23" i="67"/>
  <c r="M9" i="81"/>
  <c r="M21" i="81"/>
  <c r="L47" i="67"/>
  <c r="L56" i="15"/>
  <c r="M27" i="81"/>
  <c r="L48" i="67"/>
  <c r="D5" i="73"/>
  <c r="M25" i="81"/>
  <c r="F23" i="81"/>
  <c r="F46" i="81"/>
  <c r="F26" i="67"/>
  <c r="M29" i="81"/>
  <c r="C76" i="67"/>
  <c r="F50" i="81"/>
  <c r="M9" i="67"/>
  <c r="C18" i="15"/>
  <c r="D4" i="73"/>
  <c r="F9" i="81"/>
  <c r="F13" i="67"/>
  <c r="M8" i="67"/>
  <c r="F65" i="67" l="1"/>
  <c r="F64" i="67"/>
  <c r="AZ27" i="3"/>
  <c r="AZ118" i="3"/>
  <c r="AZ271" i="3"/>
  <c r="AZ404" i="3"/>
  <c r="C52" i="71"/>
  <c r="D51" i="71"/>
  <c r="AC40" i="40"/>
  <c r="W40" i="40"/>
  <c r="AC25" i="37"/>
  <c r="W25" i="37"/>
  <c r="AZ558" i="3"/>
  <c r="AZ570" i="3"/>
  <c r="W45" i="39"/>
  <c r="AC45" i="39"/>
  <c r="U13" i="35"/>
  <c r="AB13" i="35"/>
  <c r="AC29" i="34"/>
  <c r="W29" i="34"/>
  <c r="AC24" i="35"/>
  <c r="W24" i="35"/>
  <c r="AZ75" i="3"/>
  <c r="AZ71" i="3"/>
  <c r="AZ428" i="3"/>
  <c r="AZ550" i="3"/>
  <c r="AZ162" i="3"/>
  <c r="U26" i="33"/>
  <c r="AB26" i="33"/>
  <c r="AB27" i="34"/>
  <c r="U27" i="34"/>
  <c r="U25" i="37"/>
  <c r="AB25" i="37"/>
  <c r="S45" i="34"/>
  <c r="AA45" i="34"/>
  <c r="AC12" i="33"/>
  <c r="W12" i="33"/>
  <c r="AZ111" i="3"/>
  <c r="AZ31" i="3"/>
  <c r="AZ122" i="3"/>
  <c r="AZ483" i="3"/>
  <c r="AZ241" i="3"/>
  <c r="AZ210" i="3"/>
  <c r="AZ47" i="3"/>
  <c r="AZ251" i="3"/>
  <c r="AZ218" i="3"/>
  <c r="AZ283" i="3"/>
  <c r="AZ400" i="3"/>
  <c r="AC13" i="21"/>
  <c r="W13" i="21"/>
  <c r="AC27" i="34"/>
  <c r="W27" i="34"/>
  <c r="AA37" i="39"/>
  <c r="S37" i="39"/>
  <c r="AB15" i="39"/>
  <c r="U15" i="39"/>
  <c r="AA24" i="36"/>
  <c r="S24" i="36"/>
  <c r="U45" i="34"/>
  <c r="AB45" i="34"/>
  <c r="AA33" i="36"/>
  <c r="S33" i="36"/>
  <c r="AB36" i="35"/>
  <c r="U36" i="35"/>
  <c r="AZ520" i="3"/>
  <c r="AZ522" i="3"/>
  <c r="AZ542" i="3"/>
  <c r="D79" i="71"/>
  <c r="C78" i="71"/>
  <c r="D78" i="71" s="1"/>
  <c r="S31" i="21"/>
  <c r="AA31" i="21"/>
  <c r="AZ584" i="3"/>
  <c r="AA40" i="40"/>
  <c r="S40" i="40"/>
  <c r="AB37" i="39"/>
  <c r="U37" i="39"/>
  <c r="AA15" i="39"/>
  <c r="S15" i="39"/>
  <c r="AC24" i="36"/>
  <c r="W24" i="36"/>
  <c r="AA45" i="39"/>
  <c r="S45" i="39"/>
  <c r="W13" i="35"/>
  <c r="AC13" i="35"/>
  <c r="U33" i="36"/>
  <c r="AB33" i="36"/>
  <c r="S30" i="21"/>
  <c r="AA30" i="21"/>
  <c r="C27" i="67"/>
  <c r="N59" i="67"/>
  <c r="M59" i="67"/>
  <c r="L59" i="67"/>
  <c r="Q74" i="67" s="1"/>
  <c r="Q71" i="67"/>
  <c r="F68" i="67"/>
  <c r="C6" i="67"/>
  <c r="AZ21" i="3"/>
  <c r="AZ150" i="3"/>
  <c r="AZ460" i="3"/>
  <c r="AZ181" i="3"/>
  <c r="AA23" i="36"/>
  <c r="S23" i="36"/>
  <c r="W12" i="34"/>
  <c r="AC12" i="34"/>
  <c r="AA38" i="37"/>
  <c r="S38" i="37"/>
  <c r="AA41" i="40"/>
  <c r="S41" i="40"/>
  <c r="AC23" i="36"/>
  <c r="W23" i="36"/>
  <c r="AC19" i="33"/>
  <c r="W19" i="33"/>
  <c r="W27" i="33"/>
  <c r="AC27" i="33"/>
  <c r="AB29" i="21"/>
  <c r="U29" i="21"/>
  <c r="S31" i="34"/>
  <c r="AA31" i="34"/>
  <c r="AB44" i="33"/>
  <c r="U44" i="33"/>
  <c r="AB28" i="21"/>
  <c r="U28" i="21"/>
  <c r="B19" i="71"/>
  <c r="B18" i="71" s="1"/>
  <c r="B17" i="71" s="1"/>
  <c r="B16" i="71" s="1"/>
  <c r="S20" i="71"/>
  <c r="AZ62" i="3"/>
  <c r="D59" i="71"/>
  <c r="C60" i="71"/>
  <c r="AZ229" i="3"/>
  <c r="AZ249" i="3"/>
  <c r="AZ502" i="3"/>
  <c r="AZ540" i="3"/>
  <c r="AB9" i="34"/>
  <c r="U9" i="34"/>
  <c r="AA28" i="21"/>
  <c r="S28" i="21"/>
  <c r="AC29" i="21"/>
  <c r="W29" i="21"/>
  <c r="W31" i="34"/>
  <c r="AC31" i="34"/>
  <c r="W28" i="21"/>
  <c r="AC28" i="21"/>
  <c r="AZ84" i="3"/>
  <c r="AZ45" i="3"/>
  <c r="AZ20" i="3"/>
  <c r="AZ274" i="3"/>
  <c r="AZ297" i="3"/>
  <c r="AZ244" i="3"/>
  <c r="AZ239" i="3"/>
  <c r="AZ397" i="3"/>
  <c r="AZ332" i="3"/>
  <c r="AZ471" i="3"/>
  <c r="AZ65" i="3"/>
  <c r="AZ247" i="3"/>
  <c r="AZ157" i="3"/>
  <c r="AZ473" i="3"/>
  <c r="AZ512" i="3"/>
  <c r="S47" i="39"/>
  <c r="AA47" i="39"/>
  <c r="AA27" i="33"/>
  <c r="S27" i="33"/>
  <c r="AA44" i="21"/>
  <c r="S44" i="21"/>
  <c r="W14" i="33"/>
  <c r="AC14" i="33"/>
  <c r="J6" i="67"/>
  <c r="AZ461" i="3"/>
  <c r="D67" i="71"/>
  <c r="O67" i="71"/>
  <c r="C66" i="71"/>
  <c r="AZ233" i="3"/>
  <c r="AZ443" i="3"/>
  <c r="AZ413" i="3"/>
  <c r="AB47" i="39"/>
  <c r="U47" i="39"/>
  <c r="AC9" i="36"/>
  <c r="W9" i="36"/>
  <c r="AB12" i="34"/>
  <c r="U12" i="34"/>
  <c r="AB25" i="36"/>
  <c r="U25" i="36"/>
  <c r="AC44" i="21"/>
  <c r="W44" i="21"/>
  <c r="AA13" i="34"/>
  <c r="S13" i="34"/>
  <c r="U14" i="33"/>
  <c r="AB14" i="33"/>
  <c r="H16" i="1"/>
  <c r="D20" i="53"/>
  <c r="B40" i="72" s="1"/>
  <c r="L67" i="15"/>
  <c r="Q69" i="15" s="1"/>
  <c r="G5" i="3"/>
  <c r="B3" i="3" s="1"/>
  <c r="B27" i="71"/>
  <c r="B26" i="71" s="1"/>
  <c r="S28" i="71"/>
  <c r="C26" i="71"/>
  <c r="D26" i="71" s="1"/>
  <c r="D27" i="71"/>
  <c r="N65" i="71"/>
  <c r="N66" i="71"/>
  <c r="AZ126" i="3"/>
  <c r="AZ368" i="3"/>
  <c r="AZ353" i="3"/>
  <c r="AZ277" i="3"/>
  <c r="AZ121" i="3"/>
  <c r="AZ429" i="3"/>
  <c r="AZ454" i="3"/>
  <c r="AZ421" i="3"/>
  <c r="AZ414" i="3"/>
  <c r="AA34" i="40"/>
  <c r="S34" i="40"/>
  <c r="AA33" i="39"/>
  <c r="S33" i="39"/>
  <c r="AC23" i="35"/>
  <c r="W23" i="35"/>
  <c r="AB9" i="33"/>
  <c r="U9" i="33"/>
  <c r="S13" i="36"/>
  <c r="AA13" i="36"/>
  <c r="U12" i="35"/>
  <c r="AB12" i="35"/>
  <c r="U32" i="34"/>
  <c r="AB32" i="34"/>
  <c r="AA45" i="33"/>
  <c r="S45" i="33"/>
  <c r="AZ51" i="3"/>
  <c r="AZ41" i="3"/>
  <c r="AZ403" i="3"/>
  <c r="AB33" i="39"/>
  <c r="U33" i="39"/>
  <c r="W13" i="37"/>
  <c r="AC13" i="37"/>
  <c r="AC9" i="33"/>
  <c r="W9" i="33"/>
  <c r="AA45" i="21"/>
  <c r="S45" i="21"/>
  <c r="AB13" i="37"/>
  <c r="U13" i="37"/>
  <c r="W12" i="35"/>
  <c r="AC12" i="35"/>
  <c r="S14" i="34"/>
  <c r="AA14" i="34"/>
  <c r="U45" i="33"/>
  <c r="AB45" i="33"/>
  <c r="F30" i="6"/>
  <c r="C36" i="71"/>
  <c r="D35" i="71"/>
  <c r="AZ58" i="3"/>
  <c r="AZ49" i="3"/>
  <c r="AZ59" i="3"/>
  <c r="AZ28" i="3"/>
  <c r="AZ25" i="3"/>
  <c r="AZ130" i="3"/>
  <c r="AZ294" i="3"/>
  <c r="AZ282" i="3"/>
  <c r="AZ256" i="3"/>
  <c r="AZ453" i="3"/>
  <c r="U41" i="40"/>
  <c r="AB41" i="40"/>
  <c r="AZ401" i="3"/>
  <c r="AB12" i="36"/>
  <c r="U12" i="36"/>
  <c r="AZ459" i="3"/>
  <c r="AZ435" i="3"/>
  <c r="AZ425" i="3"/>
  <c r="S32" i="36"/>
  <c r="AA32" i="36"/>
  <c r="AB38" i="39"/>
  <c r="U38" i="39"/>
  <c r="AA23" i="35"/>
  <c r="S23" i="35"/>
  <c r="W45" i="21"/>
  <c r="AC45" i="21"/>
  <c r="AA16" i="39"/>
  <c r="S16" i="39"/>
  <c r="W14" i="34"/>
  <c r="AC14" i="34"/>
  <c r="S29" i="33"/>
  <c r="AA29" i="33"/>
  <c r="L14" i="15"/>
  <c r="E65" i="15"/>
  <c r="C44" i="71"/>
  <c r="D43" i="71"/>
  <c r="T32" i="71"/>
  <c r="D32" i="71"/>
  <c r="AZ190" i="3"/>
  <c r="AZ61" i="3"/>
  <c r="AZ137" i="3"/>
  <c r="AZ178" i="3"/>
  <c r="C56" i="71"/>
  <c r="D55" i="71"/>
  <c r="AB24" i="36"/>
  <c r="U24" i="36"/>
  <c r="AZ457" i="3"/>
  <c r="AZ415" i="3"/>
  <c r="AZ398" i="3"/>
  <c r="AC33" i="39"/>
  <c r="W33" i="39"/>
  <c r="U23" i="35"/>
  <c r="AB23" i="35"/>
  <c r="U34" i="40"/>
  <c r="AB34" i="40"/>
  <c r="AA32" i="34"/>
  <c r="S32" i="34"/>
  <c r="W32" i="34"/>
  <c r="AC32" i="34"/>
  <c r="AB14" i="34"/>
  <c r="U14" i="34"/>
  <c r="AB29" i="33"/>
  <c r="U29" i="33"/>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AE11" i="1"/>
  <c r="AE12" i="1"/>
  <c r="AE10" i="1"/>
  <c r="AE9" i="1"/>
  <c r="AE8" i="1"/>
  <c r="F33" i="12"/>
  <c r="C18" i="12"/>
  <c r="F27" i="68"/>
  <c r="G1" i="73"/>
  <c r="C68" i="81"/>
  <c r="C36" i="81"/>
  <c r="C16" i="67"/>
  <c r="U7" i="36" l="1"/>
  <c r="T52" i="71"/>
  <c r="D52" i="71"/>
  <c r="T60" i="71"/>
  <c r="D60" i="71"/>
  <c r="O65" i="71"/>
  <c r="D66" i="71"/>
  <c r="O66" i="71"/>
  <c r="F1" i="15"/>
  <c r="Q60" i="15"/>
  <c r="Q84" i="15"/>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AC6" i="3"/>
  <c r="G16" i="1"/>
  <c r="F12" i="39" s="1"/>
  <c r="D56" i="71"/>
  <c r="T56" i="71"/>
  <c r="T44" i="71"/>
  <c r="D44" i="71"/>
  <c r="R36" i="36"/>
  <c r="T36" i="71"/>
  <c r="D36" i="71"/>
  <c r="J9" i="81"/>
  <c r="C10" i="15"/>
  <c r="C5" i="15" s="1"/>
  <c r="C61" i="15"/>
  <c r="C54" i="80"/>
  <c r="Q83" i="15"/>
  <c r="C29" i="80"/>
  <c r="K16" i="1"/>
  <c r="C10" i="80"/>
  <c r="E53" i="40"/>
  <c r="E58" i="39"/>
  <c r="F69" i="39"/>
  <c r="L66" i="81"/>
  <c r="Q83" i="81" s="1"/>
  <c r="F1" i="67"/>
  <c r="Q73" i="67"/>
  <c r="C52" i="12"/>
  <c r="E3" i="6"/>
  <c r="AS16" i="1"/>
  <c r="F34" i="83" s="1"/>
  <c r="Q67" i="81"/>
  <c r="J10" i="81"/>
  <c r="C16" i="81"/>
  <c r="C10" i="81"/>
  <c r="C5" i="81" s="1"/>
  <c r="C25" i="81" s="1"/>
  <c r="C57" i="81"/>
  <c r="C59" i="81" s="1"/>
  <c r="C56" i="81" s="1"/>
  <c r="C60" i="81" s="1"/>
  <c r="C55" i="81" s="1"/>
  <c r="C75" i="81" s="1"/>
  <c r="D26" i="43"/>
  <c r="C25" i="43" s="1"/>
  <c r="C33" i="43" s="1"/>
  <c r="H6" i="3"/>
  <c r="E6" i="3" s="1"/>
  <c r="H12" i="40"/>
  <c r="AB12" i="40" s="1"/>
  <c r="Q59" i="81"/>
  <c r="F1" i="81"/>
  <c r="C34" i="12"/>
  <c r="J6" i="15"/>
  <c r="J5" i="15" s="1"/>
  <c r="C57"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8" i="15"/>
  <c r="F41" i="67"/>
  <c r="AE6" i="1"/>
  <c r="M27" i="67"/>
  <c r="M28" i="15"/>
  <c r="M28" i="81"/>
  <c r="M18" i="9" l="1"/>
  <c r="B118" i="9" s="1"/>
  <c r="B14" i="74"/>
  <c r="H12" i="39"/>
  <c r="U12" i="39" s="1"/>
  <c r="J12" i="40"/>
  <c r="J12" i="39"/>
  <c r="W12" i="39" s="1"/>
  <c r="F12" i="40"/>
  <c r="J6" i="81"/>
  <c r="J16" i="81" s="1"/>
  <c r="C56" i="15"/>
  <c r="C25" i="15"/>
  <c r="C27" i="15"/>
  <c r="D16" i="80"/>
  <c r="C16" i="80" s="1"/>
  <c r="C14" i="80" s="1"/>
  <c r="AB12" i="39"/>
  <c r="D3" i="37"/>
  <c r="D3" i="34"/>
  <c r="C17" i="4"/>
  <c r="B4" i="52" s="1"/>
  <c r="B43" i="72" s="1"/>
  <c r="Q68" i="81"/>
  <c r="F69" i="67"/>
  <c r="F25" i="82"/>
  <c r="C27" i="82" s="1"/>
  <c r="D20" i="82"/>
  <c r="C20" i="82" s="1"/>
  <c r="U12" i="40"/>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7" i="81"/>
  <c r="C38" i="15"/>
  <c r="C34" i="81"/>
  <c r="F28" i="81"/>
  <c r="C14" i="67"/>
  <c r="C17" i="67"/>
  <c r="B1" i="74" l="1"/>
  <c r="F78" i="81"/>
  <c r="AC12" i="39"/>
  <c r="C46" i="80"/>
  <c r="C45" i="80"/>
  <c r="C42" i="80"/>
  <c r="I33" i="1"/>
  <c r="C30" i="43"/>
  <c r="B2" i="43" s="1"/>
  <c r="AC12" i="40"/>
  <c r="W12" i="40"/>
  <c r="D17" i="80"/>
  <c r="C17" i="80" s="1"/>
  <c r="S12" i="40"/>
  <c r="AA12" i="40"/>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C35" i="15"/>
  <c r="E6" i="76"/>
  <c r="B6" i="76"/>
  <c r="D18" i="80" l="1"/>
  <c r="I37" i="1" s="1"/>
  <c r="D31" i="6"/>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I36" i="1"/>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50" i="80"/>
  <c r="C49" i="80" s="1"/>
  <c r="C49" i="12"/>
  <c r="C9" i="68"/>
  <c r="C21" i="68" s="1"/>
  <c r="C25" i="68" s="1"/>
  <c r="C23" i="68" s="1"/>
  <c r="C40" i="68"/>
  <c r="C47" i="68" s="1"/>
  <c r="C50" i="68" s="1"/>
  <c r="C49" i="68" s="1"/>
  <c r="C15" i="12"/>
  <c r="C27" i="12" s="1"/>
  <c r="C34" i="83"/>
  <c r="B2" i="83" s="1"/>
  <c r="B5" i="83" s="1"/>
  <c r="C49" i="8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1" i="67"/>
  <c r="F20" i="81"/>
  <c r="F35" i="67"/>
  <c r="M20" i="81"/>
  <c r="M20" i="15"/>
  <c r="J18" i="81" l="1"/>
  <c r="C28" i="80"/>
  <c r="C27" i="80" s="1"/>
  <c r="C25" i="80"/>
  <c r="C23" i="80" s="1"/>
  <c r="C56" i="80"/>
  <c r="C57" i="80" s="1"/>
  <c r="C31" i="80" s="1"/>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18" i="81"/>
  <c r="C5" i="80" l="1"/>
  <c r="C32" i="80" s="1"/>
  <c r="C33" i="80" s="1"/>
  <c r="D3" i="80" s="1"/>
  <c r="B2" i="80" s="1"/>
  <c r="C58" i="80"/>
  <c r="J34" i="81"/>
  <c r="J35" i="81" s="1"/>
  <c r="J21" i="81"/>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C59"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C19" i="9"/>
  <c r="L58" i="81"/>
  <c r="L51" i="67"/>
  <c r="J35" i="15" l="1"/>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20" i="9"/>
  <c r="F2" i="35"/>
  <c r="F2" i="36"/>
  <c r="F2" i="37"/>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20" i="9"/>
  <c r="D19" i="9"/>
  <c r="AO7" i="1"/>
  <c r="D35" i="9"/>
  <c r="D102" i="9" l="1"/>
  <c r="I19" i="9"/>
  <c r="B7" i="70"/>
  <c r="D103" i="9"/>
  <c r="G20" i="9"/>
  <c r="I21" i="9" s="1"/>
  <c r="I22" i="9" s="1"/>
  <c r="D22" i="9"/>
  <c r="G19" i="9"/>
  <c r="F67" i="39"/>
  <c r="B2" i="39" s="1"/>
  <c r="C31" i="15"/>
  <c r="C54" i="15"/>
  <c r="D6" i="71"/>
  <c r="C5" i="71"/>
  <c r="D5" i="71" s="1"/>
  <c r="M24" i="43" s="1"/>
  <c r="C44" i="40"/>
  <c r="C45" i="40"/>
  <c r="E49" i="40"/>
  <c r="F49" i="40" s="1"/>
  <c r="E48" i="40"/>
  <c r="F48" i="40" s="1"/>
  <c r="I49" i="40"/>
  <c r="J49" i="40" s="1"/>
  <c r="C32" i="9" l="1"/>
  <c r="N119" i="9" s="1"/>
  <c r="H118" i="9" s="1"/>
  <c r="G22" i="9"/>
  <c r="D14" i="74"/>
  <c r="G14" i="74"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C34" i="9" s="1"/>
  <c r="B3" i="40"/>
  <c r="B4" i="40"/>
  <c r="B5" i="40"/>
  <c r="C93" i="15"/>
  <c r="C92" i="15" s="1"/>
  <c r="E14" i="74"/>
  <c r="F14" i="74"/>
  <c r="B5" i="74"/>
  <c r="AO9" i="1"/>
  <c r="AO8" i="1"/>
  <c r="AO6"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<sst xmlns="http://schemas.openxmlformats.org/spreadsheetml/2006/main" count="9038" uniqueCount="3932">
  <si>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</si>
  <si>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</si>
  <si>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</si>
  <si>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</si>
  <si>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</si>
  <si>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</si>
  <si>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</si>
  <si>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</si>
  <si>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</si>
  <si>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</si>
  <si>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</si>
  <si>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</si>
  <si>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</si>
  <si>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</si>
  <si>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</si>
  <si>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</si>
  <si>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</si>
  <si>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</si>
  <si>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</si>
  <si>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</si>
  <si>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</si>
  <si>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</si>
  <si>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</si>
  <si>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</si>
  <si>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</si>
  <si>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</si>
  <si>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</si>
  <si>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</si>
  <si>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</si>
  <si>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</si>
  <si>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</si>
  <si>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</si>
  <si>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</si>
  <si>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</si>
  <si>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</si>
  <si>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</si>
  <si>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</si>
  <si>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</si>
  <si>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</si>
  <si>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</si>
  <si>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</si>
  <si>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</si>
  <si>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</si>
  <si>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</si>
  <si>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</si>
  <si>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</si>
  <si>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</si>
  <si>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</si>
  <si>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</si>
  <si>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</si>
  <si>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</si>
  <si>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</si>
  <si>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</si>
  <si>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</si>
  <si>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</si>
  <si>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</si>
  <si>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</si>
  <si>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</si>
  <si>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</si>
  <si>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</si>
  <si>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</si>
  <si>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</si>
  <si>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</si>
  <si>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</si>
  <si>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</si>
  <si>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</si>
  <si>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</si>
  <si>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</si>
  <si>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</si>
  <si>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</si>
  <si>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</si>
  <si>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</si>
  <si>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</si>
  <si>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</si>
  <si>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</si>
  <si>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</si>
  <si>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</si>
  <si>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</si>
  <si>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</si>
  <si>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</si>
  <si>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</si>
  <si>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</si>
  <si>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</si>
  <si>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</si>
  <si>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</si>
  <si>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</si>
  <si>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</si>
  <si>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</si>
  <si>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</si>
  <si>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</si>
  <si>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</si>
  <si>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</si>
  <si>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</si>
  <si>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</si>
  <si>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</si>
  <si>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</si>
  <si>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</si>
  <si>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</si>
  <si>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</si>
  <si>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</si>
  <si>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</si>
  <si>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</si>
  <si>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</si>
  <si>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</si>
  <si>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</si>
  <si>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</si>
  <si>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</si>
  <si>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</si>
  <si>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</si>
  <si>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</si>
  <si>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</si>
  <si>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</si>
  <si>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</si>
  <si>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</si>
  <si>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</si>
  <si>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</si>
  <si>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</si>
  <si>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</si>
  <si>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</si>
  <si>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</si>
  <si>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</si>
  <si>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</si>
  <si>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</si>
  <si>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</si>
  <si>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</si>
  <si>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</si>
  <si>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</si>
  <si>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</si>
  <si>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</si>
  <si>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</si>
  <si>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</si>
  <si>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</si>
  <si>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</si>
  <si>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</si>
  <si>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</si>
  <si>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</si>
  <si>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</si>
  <si>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</si>
  <si>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</si>
  <si>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</si>
  <si>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</si>
  <si>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</si>
  <si>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</si>
  <si>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</si>
  <si>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</si>
  <si>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</si>
  <si>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</si>
  <si>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</si>
  <si>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</si>
  <si>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</si>
  <si>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</si>
  <si>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</si>
  <si>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</si>
  <si>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</si>
  <si>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</si>
  <si>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</si>
  <si>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</si>
  <si>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</si>
  <si>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</si>
  <si>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</si>
  <si>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</si>
  <si>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</si>
  <si>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</si>
  <si>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</si>
  <si>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</si>
  <si>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</si>
  <si>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</si>
  <si>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</si>
  <si>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</si>
  <si>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</si>
  <si>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</si>
  <si>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</si>
  <si>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</si>
  <si>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</si>
  <si>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</si>
  <si>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</si>
  <si>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</si>
  <si>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</si>
  <si>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</si>
  <si>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</si>
  <si>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</si>
  <si>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</si>
  <si>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</si>
  <si>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</si>
  <si>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</si>
  <si>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</si>
  <si>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</si>
  <si>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</si>
  <si>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</si>
  <si>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</si>
  <si>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</si>
  <si>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</si>
  <si>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</si>
  <si>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</si>
  <si>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</si>
  <si>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</si>
  <si>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</si>
  <si>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</si>
  <si>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</si>
  <si>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</si>
  <si>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</si>
  <si>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</si>
  <si>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</si>
  <si>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</si>
  <si>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</si>
  <si>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</si>
  <si>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</si>
  <si>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</si>
  <si>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</si>
  <si>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</si>
  <si>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</si>
  <si>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</si>
  <si>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</si>
  <si>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</si>
  <si>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</si>
  <si>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</si>
  <si>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</si>
  <si>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</si>
  <si>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</si>
  <si>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</si>
  <si>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</si>
  <si>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</si>
  <si>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</si>
  <si>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</si>
  <si>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</si>
  <si>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</si>
  <si>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</si>
  <si>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</si>
  <si>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</si>
  <si>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</si>
  <si>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</si>
  <si>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</si>
  <si>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</si>
  <si>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</si>
  <si>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</si>
  <si>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</si>
  <si>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</si>
  <si>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</si>
  <si>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</si>
  <si>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</si>
  <si>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</si>
  <si>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</si>
  <si>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</si>
  <si>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</si>
  <si>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</si>
  <si>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</si>
  <si>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</si>
  <si>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</si>
  <si>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</si>
  <si>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</si>
  <si>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</si>
  <si>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</si>
  <si>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</si>
  <si>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</si>
  <si>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</si>
  <si>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</si>
  <si>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</si>
  <si>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</si>
  <si>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</si>
  <si>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</si>
  <si>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</si>
  <si>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</si>
  <si>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</si>
  <si>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</si>
  <si>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</si>
  <si>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</si>
  <si>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</si>
  <si>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</si>
  <si>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</si>
  <si>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</si>
  <si>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</si>
  <si>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</si>
  <si>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</si>
  <si>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</si>
  <si>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</si>
  <si>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</si>
  <si>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</si>
  <si>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</si>
  <si>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</si>
  <si>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</si>
  <si>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</si>
  <si>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</si>
  <si>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</si>
  <si>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</si>
  <si>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</si>
  <si>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</si>
  <si>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</si>
  <si>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</si>
  <si>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</si>
  <si>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</si>
  <si>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</si>
  <si>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</si>
  <si>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</si>
  <si>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</si>
  <si>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</si>
  <si>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</si>
  <si>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</si>
  <si>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</si>
  <si>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</si>
  <si>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</si>
  <si>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</si>
  <si>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</si>
  <si>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</si>
  <si>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</si>
  <si>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</si>
  <si>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</si>
  <si>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</si>
  <si>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</si>
  <si>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</si>
  <si>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</si>
  <si>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</si>
  <si>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</si>
  <si>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</si>
  <si>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</si>
  <si>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</si>
  <si>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</si>
  <si>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</si>
  <si>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</si>
  <si>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</si>
  <si>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</si>
  <si>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</si>
  <si>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</si>
  <si>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</si>
  <si>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</si>
  <si>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</si>
  <si>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</si>
  <si>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</si>
  <si>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</si>
  <si>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</si>
  <si>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</si>
  <si>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</si>
  <si>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</si>
  <si>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</si>
  <si>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</si>
  <si>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</si>
  <si>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</si>
  <si>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</si>
  <si>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</si>
  <si>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</si>
  <si>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</si>
  <si>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</si>
  <si>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</si>
  <si>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</si>
  <si>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</si>
  <si>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</si>
  <si>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</si>
  <si>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</si>
  <si>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</si>
  <si>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</si>
  <si>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</si>
  <si>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</si>
  <si>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</si>
  <si>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</si>
  <si>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</si>
  <si>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</si>
  <si>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</si>
  <si>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</si>
  <si>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</si>
  <si>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</si>
  <si>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</si>
  <si>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</si>
  <si>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</si>
  <si>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</si>
  <si>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</si>
  <si>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</si>
  <si>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</si>
  <si>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</si>
  <si>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</si>
  <si>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</si>
  <si>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</si>
  <si>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</si>
  <si>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</si>
  <si>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</si>
  <si>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</si>
  <si>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</si>
  <si>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</si>
  <si>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</si>
  <si>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</si>
  <si>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</si>
  <si>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</si>
  <si>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</si>
  <si>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</si>
  <si>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</si>
  <si>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</si>
  <si>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</si>
  <si>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</si>
  <si>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</si>
  <si>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</si>
  <si>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</si>
  <si>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</si>
  <si>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</si>
  <si>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</si>
  <si>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</si>
  <si>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</si>
  <si>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</si>
  <si>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</si>
  <si>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</si>
  <si>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</si>
  <si>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</si>
  <si>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</si>
  <si>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</si>
  <si>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</si>
  <si>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</si>
  <si>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</si>
  <si>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</si>
  <si>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</si>
  <si>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</si>
  <si>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</si>
  <si>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</si>
  <si>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</si>
  <si>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</si>
  <si>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</si>
  <si>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</si>
  <si>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</si>
  <si>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</si>
  <si>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</si>
  <si>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</si>
  <si>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</si>
  <si>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</si>
  <si>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</si>
  <si>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</si>
  <si>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</si>
  <si>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</si>
  <si>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</si>
  <si>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</si>
  <si>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</si>
  <si>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</si>
  <si>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</si>
  <si>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</si>
  <si>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</si>
  <si>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</si>
  <si>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</si>
  <si>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</si>
  <si>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</si>
  <si>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</si>
  <si>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</si>
  <si>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</si>
  <si>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</si>
  <si>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</si>
  <si>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</si>
  <si>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</si>
  <si>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</si>
  <si>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</si>
  <si>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</si>
  <si>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</si>
  <si>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</si>
  <si>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</si>
  <si>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</si>
  <si>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</si>
  <si>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</si>
  <si>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</si>
  <si>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</si>
  <si>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</si>
  <si>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</si>
  <si>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</si>
  <si>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</si>
  <si>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</si>
  <si>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</si>
  <si>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</si>
  <si>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</si>
  <si>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</si>
  <si>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</si>
  <si>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</si>
  <si>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</si>
  <si>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</si>
  <si>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</si>
  <si>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</si>
  <si>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</si>
  <si>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</si>
  <si>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</si>
  <si>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</si>
  <si>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</si>
  <si>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</si>
  <si>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</si>
  <si>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</si>
  <si>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</si>
  <si>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</si>
  <si>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</si>
  <si>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</si>
  <si>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</si>
  <si>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</si>
  <si>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</si>
  <si>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</si>
  <si>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</si>
  <si>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</si>
  <si>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</si>
  <si>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</si>
  <si>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</si>
  <si>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</si>
  <si>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</si>
  <si>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</si>
  <si>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</si>
  <si>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</si>
  <si>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</si>
  <si>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</si>
  <si>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</si>
  <si>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</si>
  <si>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</si>
  <si>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</si>
  <si>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</si>
  <si>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</si>
  <si>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</si>
  <si>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</si>
  <si>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</si>
  <si>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</si>
  <si>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</si>
  <si>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</si>
  <si>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</si>
  <si>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</si>
  <si>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</si>
  <si>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</si>
  <si>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</si>
  <si>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</si>
  <si>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</si>
  <si>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</si>
  <si>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</si>
  <si>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</si>
  <si>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</si>
  <si>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</si>
  <si>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</si>
  <si>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</si>
  <si>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</si>
  <si>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</si>
  <si>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</si>
  <si>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</si>
  <si>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</si>
  <si>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</si>
  <si>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</si>
  <si>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</si>
  <si>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</si>
  <si>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</si>
  <si>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</si>
  <si>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</si>
  <si>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</si>
  <si>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</si>
  <si>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</si>
  <si>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</si>
  <si>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</si>
  <si>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</si>
  <si>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</si>
  <si>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</si>
  <si>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</si>
  <si>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</si>
  <si>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</si>
  <si>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</si>
  <si>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</si>
  <si>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</si>
  <si>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</si>
  <si>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</si>
  <si>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</si>
  <si>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</si>
  <si>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</si>
  <si>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</si>
  <si>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</si>
  <si>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</si>
  <si>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</si>
  <si>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</si>
  <si>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</si>
  <si>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</si>
  <si>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</si>
  <si>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</si>
  <si>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</si>
  <si>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</si>
  <si>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</si>
  <si>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</si>
  <si>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</si>
  <si>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</si>
  <si>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</si>
  <si>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</si>
  <si>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</si>
  <si>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</si>
  <si>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</si>
  <si>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</si>
  <si>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</si>
  <si>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</si>
  <si>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</si>
  <si>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</si>
  <si>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</si>
  <si>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</si>
  <si>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</si>
  <si>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</si>
  <si>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</si>
  <si>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</si>
  <si>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</si>
  <si>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</si>
  <si>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</si>
  <si>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</si>
  <si>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</si>
  <si>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</si>
  <si>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</si>
  <si>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</si>
  <si>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</si>
  <si>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</si>
  <si>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</si>
  <si>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</si>
  <si>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</si>
  <si>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</si>
  <si>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</si>
  <si>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</si>
  <si>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</si>
  <si>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</si>
  <si>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</si>
  <si>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</si>
  <si>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</si>
  <si>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</si>
  <si>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</si>
  <si>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</si>
  <si>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</si>
  <si>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</si>
  <si>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</si>
  <si>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</si>
  <si>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</si>
  <si>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</si>
  <si>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</si>
  <si>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</si>
  <si>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</si>
  <si>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</si>
  <si>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</si>
  <si>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</si>
  <si>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</si>
  <si>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</si>
  <si>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</si>
  <si>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</si>
  <si>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</si>
  <si>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</si>
  <si>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</si>
  <si>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</si>
  <si>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</si>
  <si>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</si>
  <si>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</si>
  <si>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</si>
  <si>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</si>
  <si>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</si>
  <si>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</si>
  <si>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</si>
  <si>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</si>
  <si>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</si>
  <si>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</si>
  <si>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</si>
  <si>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</si>
  <si>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</si>
  <si>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</si>
  <si>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</si>
  <si>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</si>
  <si>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</si>
  <si>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</si>
  <si>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</si>
  <si>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</si>
  <si>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</si>
  <si>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</si>
  <si>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</si>
  <si>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</si>
  <si>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</si>
  <si>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</si>
  <si>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</si>
  <si>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</si>
  <si>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</si>
  <si>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</si>
  <si>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</si>
  <si>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</si>
  <si>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</si>
  <si>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</si>
  <si>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</si>
  <si>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</si>
  <si>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</si>
  <si>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</si>
  <si>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</si>
  <si>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</si>
  <si>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</si>
  <si>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</si>
  <si>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</si>
  <si>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</si>
  <si>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</si>
  <si>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</si>
  <si>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</si>
  <si>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</si>
  <si>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</si>
  <si>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</si>
  <si>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</si>
  <si>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</si>
  <si>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</si>
  <si>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</si>
  <si>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</si>
  <si>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</si>
  <si>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</si>
  <si>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</si>
  <si>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</si>
  <si>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</si>
  <si>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</si>
  <si>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</si>
  <si>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</si>
  <si>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</si>
  <si>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</si>
  <si>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</si>
  <si>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</si>
  <si>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</si>
  <si>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</si>
  <si>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</si>
  <si>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</si>
  <si>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</si>
  <si>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</si>
  <si>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</si>
  <si>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</si>
  <si>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</si>
  <si>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</si>
  <si>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</si>
  <si>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</si>
  <si>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</si>
  <si>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</si>
  <si>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</si>
  <si>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</si>
  <si>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</si>
  <si>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</si>
  <si>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</si>
  <si>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</si>
  <si>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</si>
  <si>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</si>
  <si>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</si>
  <si>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</si>
  <si>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</si>
  <si>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</si>
  <si>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</si>
  <si>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</si>
  <si>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</si>
  <si>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</si>
  <si>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</si>
  <si>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</si>
  <si>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</si>
  <si>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</si>
  <si>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</si>
  <si>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</si>
  <si>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</si>
  <si>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</si>
  <si>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</si>
  <si>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</si>
  <si>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</si>
  <si>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</si>
  <si>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</si>
  <si>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</si>
  <si>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</si>
  <si>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</si>
  <si>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</si>
  <si>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</si>
  <si>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</si>
  <si>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</si>
  <si>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</si>
  <si>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</si>
  <si>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</si>
  <si>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</si>
  <si>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</si>
  <si>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</si>
  <si>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</si>
  <si>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</si>
  <si>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</si>
  <si>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</si>
  <si>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</si>
  <si>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</si>
  <si>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</si>
  <si>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</si>
  <si>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</si>
  <si>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</si>
  <si>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</si>
  <si>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</si>
  <si>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</si>
  <si>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</si>
  <si>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</si>
  <si>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</si>
  <si>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</si>
  <si>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</si>
  <si>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</si>
  <si>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</si>
  <si>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</si>
  <si>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</si>
  <si>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</si>
  <si>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</si>
  <si>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</si>
  <si>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</si>
  <si>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</si>
  <si>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</si>
  <si>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</si>
  <si>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</si>
  <si>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</si>
  <si>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</si>
  <si>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</si>
  <si>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</si>
  <si>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</si>
  <si>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</si>
  <si>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</si>
  <si>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</si>
  <si>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</si>
  <si>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</si>
  <si>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</si>
  <si>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</si>
  <si>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</si>
  <si>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</si>
  <si>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</si>
  <si>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</si>
  <si>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</si>
  <si>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</si>
  <si>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</si>
  <si>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</si>
  <si>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</si>
  <si>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</si>
  <si>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</si>
  <si>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</si>
  <si>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</si>
  <si>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</si>
  <si>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</si>
  <si>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</si>
  <si>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</si>
  <si>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</si>
  <si>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</si>
  <si>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</si>
  <si>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</si>
  <si>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</si>
  <si>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</si>
  <si>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</si>
  <si>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</si>
  <si>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</si>
  <si>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</si>
  <si>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</si>
  <si>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</si>
  <si>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</si>
  <si>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</si>
  <si>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</si>
  <si>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</si>
  <si>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</si>
  <si>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</si>
  <si>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</si>
  <si>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</si>
  <si>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</si>
  <si>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</si>
  <si>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</si>
  <si>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</si>
  <si>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</si>
  <si>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</si>
  <si>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</si>
  <si>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</si>
  <si>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</si>
  <si>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</si>
  <si>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</si>
  <si>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</si>
  <si>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</si>
  <si>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</si>
  <si>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</si>
  <si>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</si>
  <si>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</si>
  <si>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</si>
  <si>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</si>
  <si>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</si>
  <si>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</si>
  <si>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</si>
  <si>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</si>
  <si>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</si>
  <si>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</si>
  <si>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</si>
  <si>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</si>
  <si>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</si>
  <si>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</si>
  <si>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</si>
  <si>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</si>
  <si>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</si>
  <si>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</si>
  <si>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</si>
  <si>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</si>
  <si>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</si>
  <si>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</si>
  <si>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</si>
  <si>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</si>
  <si>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</si>
  <si>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</si>
  <si>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</si>
  <si>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</si>
  <si>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</si>
  <si>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</si>
  <si>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</si>
  <si>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</si>
  <si>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</si>
  <si>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</si>
  <si>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</si>
  <si>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</si>
  <si>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</si>
  <si>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</si>
  <si>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</si>
  <si>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</si>
  <si>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</si>
  <si>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</si>
  <si>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</si>
  <si>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</si>
  <si>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</si>
  <si>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</si>
  <si>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</si>
  <si>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</si>
  <si>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</si>
  <si>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</si>
  <si>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</si>
  <si>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</si>
  <si>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</si>
  <si>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</si>
  <si>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</si>
  <si>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</si>
  <si>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</si>
  <si>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</si>
  <si>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</si>
  <si>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</si>
  <si>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</si>
  <si>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</si>
  <si>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</si>
  <si>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</si>
  <si>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</si>
  <si>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</si>
  <si>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</si>
  <si>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</si>
  <si>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</si>
  <si>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</si>
  <si>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</si>
  <si>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</si>
  <si>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</si>
  <si>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</si>
  <si>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</si>
  <si>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</si>
  <si>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</si>
  <si>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</si>
  <si>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</si>
  <si>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</si>
  <si>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</si>
  <si>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</si>
  <si>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</si>
  <si>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</si>
  <si>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</si>
  <si>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</si>
  <si>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</si>
  <si>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</si>
  <si>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</si>
  <si>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</si>
  <si>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</si>
  <si>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</si>
  <si>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</si>
  <si>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</si>
  <si>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</si>
  <si>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</si>
  <si>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</si>
  <si>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</si>
  <si>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</si>
  <si>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</si>
  <si>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</si>
  <si>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</si>
  <si>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</si>
  <si>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</si>
  <si>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</si>
  <si>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</si>
  <si>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</si>
  <si>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</si>
  <si>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</si>
  <si>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</si>
  <si>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</si>
  <si>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</si>
  <si>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</si>
  <si>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</si>
  <si>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</si>
  <si>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</si>
  <si>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</si>
  <si>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</si>
  <si>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</si>
  <si>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</si>
  <si>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</si>
  <si>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</si>
  <si>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</si>
  <si>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</si>
  <si>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</si>
  <si>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</si>
  <si>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</si>
  <si>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</si>
  <si>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</si>
  <si>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</si>
  <si>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</si>
  <si>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</si>
  <si>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</si>
  <si>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</si>
  <si>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</si>
  <si>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</si>
  <si>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</si>
  <si>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</si>
  <si>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</si>
  <si>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</si>
  <si>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</si>
  <si>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</si>
  <si>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</si>
  <si>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</si>
  <si>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</si>
  <si>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</si>
  <si>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</si>
  <si>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</si>
  <si>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</si>
  <si>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</si>
  <si>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</si>
  <si>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</si>
  <si>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</si>
  <si>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</si>
  <si>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</si>
  <si>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</si>
  <si>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</si>
  <si>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</si>
  <si>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</si>
  <si>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</si>
  <si>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</si>
  <si>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</si>
  <si>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</si>
  <si>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</si>
  <si>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</si>
  <si>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</si>
  <si>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</si>
  <si>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</si>
  <si>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</si>
  <si>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</si>
  <si>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</si>
  <si>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</si>
  <si>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</si>
  <si>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</si>
  <si>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</si>
  <si>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</si>
  <si>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</si>
  <si>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</si>
  <si>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</si>
  <si>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</si>
  <si>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</si>
  <si>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</si>
  <si>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</si>
  <si>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</si>
  <si>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</si>
  <si>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</si>
  <si>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</si>
  <si>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</si>
  <si>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</si>
  <si>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</si>
  <si>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</si>
  <si>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</si>
  <si>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</si>
  <si>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</si>
  <si>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</si>
  <si>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</si>
  <si>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</si>
  <si>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</si>
  <si>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</si>
  <si>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</si>
  <si>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</si>
  <si>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</si>
  <si>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</si>
  <si>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</si>
  <si>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</si>
  <si>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</si>
  <si>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</si>
  <si>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</si>
  <si>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</si>
  <si>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</si>
  <si>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</si>
  <si>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</si>
  <si>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</si>
  <si>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</si>
  <si>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</si>
  <si>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</si>
  <si>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</si>
  <si>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</si>
  <si>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</si>
  <si>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</si>
  <si>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</si>
  <si>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</si>
  <si>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</si>
  <si>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</si>
  <si>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</si>
  <si>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</si>
  <si>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</si>
  <si>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</si>
  <si>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</si>
  <si>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</si>
  <si>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</si>
  <si>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</si>
  <si>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</si>
  <si>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</si>
  <si>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</si>
  <si>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</si>
  <si>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</si>
  <si>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</si>
  <si>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</si>
  <si>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</si>
  <si>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</si>
  <si>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</si>
  <si>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</si>
  <si>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</si>
  <si>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</si>
  <si>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</si>
  <si>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</si>
  <si>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</si>
  <si>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</si>
  <si>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</si>
  <si>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</si>
  <si>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</si>
  <si>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</si>
  <si>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</si>
  <si>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</si>
  <si>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</si>
  <si>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</si>
  <si>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</si>
  <si>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</si>
  <si>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</si>
  <si>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</si>
  <si>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</si>
  <si>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</si>
  <si>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</si>
  <si>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</si>
  <si>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</si>
  <si>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</si>
  <si>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</si>
  <si>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</si>
  <si>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</si>
  <si>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</si>
  <si>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</si>
  <si>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</si>
  <si>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</si>
  <si>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</si>
  <si>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</si>
  <si>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</si>
  <si>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</si>
  <si>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</si>
  <si>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</si>
  <si>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</si>
  <si>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</si>
  <si>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</si>
  <si>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</si>
  <si>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</si>
  <si>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</si>
  <si>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</si>
  <si>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</si>
  <si>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</si>
  <si>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</si>
  <si>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</si>
  <si>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</si>
  <si>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</si>
  <si>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</si>
  <si>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</si>
  <si>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</si>
  <si>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</si>
  <si>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</si>
  <si>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</si>
  <si>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</si>
  <si>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</si>
  <si>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</si>
  <si>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</si>
  <si>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</si>
  <si>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</si>
  <si>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</si>
  <si>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</si>
  <si>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</si>
  <si>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</si>
  <si>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</si>
  <si>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</si>
  <si>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</si>
  <si>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</si>
  <si>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</si>
  <si>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</si>
  <si>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</si>
  <si>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</si>
  <si>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</si>
  <si>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</si>
  <si>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</si>
  <si>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</si>
  <si>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</si>
  <si>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</si>
  <si>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</si>
  <si>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</si>
  <si>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</si>
  <si>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</si>
  <si>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</si>
  <si>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</si>
  <si>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</si>
  <si>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</si>
  <si>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</si>
  <si>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</si>
  <si>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</si>
  <si>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</si>
  <si>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</si>
  <si>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</si>
  <si>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</si>
  <si>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</si>
  <si>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</si>
  <si>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</si>
  <si>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</si>
  <si>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</si>
  <si>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</si>
  <si>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</si>
  <si>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</si>
  <si>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</si>
  <si>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</si>
  <si>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</si>
  <si>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</si>
  <si>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</si>
  <si>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</si>
  <si>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</si>
  <si>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</si>
  <si>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</si>
  <si>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</si>
  <si>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</si>
  <si>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</si>
  <si>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</si>
  <si>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</si>
  <si>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</si>
  <si>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</si>
  <si>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</si>
  <si>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</si>
  <si>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</si>
  <si>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</si>
  <si>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</si>
  <si>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</si>
  <si>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</si>
  <si>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</si>
  <si>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</si>
  <si>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</si>
  <si>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</si>
  <si>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</si>
  <si>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</si>
  <si>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</si>
  <si>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</si>
  <si>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</si>
  <si>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</si>
  <si>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</si>
  <si>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</si>
  <si>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</si>
  <si>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</si>
  <si>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</si>
  <si>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</si>
  <si>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</si>
  <si>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</si>
  <si>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</si>
  <si>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</si>
  <si>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</si>
  <si>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</si>
  <si>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</si>
  <si>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</si>
  <si>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</si>
  <si>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</si>
  <si>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</si>
  <si>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</si>
  <si>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</si>
  <si>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</si>
  <si>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</si>
  <si>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</si>
  <si>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</si>
  <si>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</si>
  <si>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</si>
  <si>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</si>
  <si>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</si>
  <si>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</si>
  <si>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</si>
  <si>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</si>
  <si>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</si>
  <si>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</si>
  <si>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</si>
  <si>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</si>
  <si>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</si>
  <si>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</si>
  <si>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</si>
  <si>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</si>
  <si>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</si>
  <si>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</si>
  <si>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</si>
  <si>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</si>
  <si>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</si>
  <si>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</si>
  <si>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</si>
  <si>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</si>
  <si>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</si>
  <si>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</si>
  <si>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</si>
  <si>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</si>
  <si>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</si>
  <si>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</si>
  <si>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</si>
  <si>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</si>
  <si>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</si>
  <si>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</si>
  <si>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</si>
  <si>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</si>
  <si>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</si>
  <si>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</si>
  <si>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</si>
  <si>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</si>
  <si>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</si>
  <si>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</si>
  <si>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</si>
  <si>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</si>
  <si>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</si>
  <si>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</si>
  <si>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</si>
  <si>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</si>
  <si>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</si>
  <si>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</si>
  <si>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</si>
  <si>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</si>
  <si>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</si>
  <si>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</si>
  <si>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</si>
  <si>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</si>
  <si>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</si>
  <si>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</si>
  <si>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</si>
  <si>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</si>
  <si>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</si>
  <si>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</si>
  <si>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</si>
  <si>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</si>
  <si>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</si>
  <si>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</si>
  <si>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</si>
  <si>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</si>
  <si>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</si>
  <si>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</si>
  <si>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</si>
  <si>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</si>
  <si>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</si>
  <si>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</si>
  <si>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</si>
  <si>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</si>
  <si>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</si>
  <si>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</si>
  <si>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</si>
  <si>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</si>
  <si>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</si>
  <si>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</si>
  <si>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</si>
  <si>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</si>
  <si>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</si>
  <si>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</si>
  <si>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</si>
  <si>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</si>
  <si>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</si>
  <si>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</si>
  <si>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</si>
  <si>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</si>
  <si>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</si>
  <si>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</si>
  <si>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</si>
  <si>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</si>
  <si>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</si>
  <si>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</si>
  <si>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</si>
  <si>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</si>
  <si>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</si>
  <si>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</si>
  <si>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</si>
  <si>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</si>
  <si>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</si>
  <si>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</si>
  <si>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</si>
  <si>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</si>
  <si>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</si>
  <si>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</si>
  <si>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</si>
  <si>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</si>
  <si>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</si>
  <si>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</si>
  <si>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</si>
  <si>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</si>
  <si>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</si>
  <si>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</si>
  <si>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</si>
  <si>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</si>
  <si>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</si>
  <si>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</si>
  <si>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</si>
  <si>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</si>
  <si>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</si>
  <si>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</si>
  <si>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</si>
  <si>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</si>
  <si>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</si>
  <si>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</si>
  <si>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</si>
  <si>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</si>
  <si>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</si>
  <si>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</si>
  <si>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</si>
  <si>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</si>
  <si>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</si>
  <si>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</si>
  <si>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</si>
  <si>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</si>
  <si>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</si>
  <si>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</si>
  <si>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</si>
  <si>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</si>
  <si>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</si>
  <si>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</si>
  <si>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</si>
  <si>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</si>
  <si>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</si>
  <si>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</si>
  <si>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</si>
  <si>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</si>
  <si>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</si>
  <si>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</si>
  <si>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</si>
  <si>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</si>
  <si>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</si>
  <si>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</si>
  <si>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</si>
  <si>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</si>
  <si>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</si>
  <si>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</si>
  <si>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</si>
  <si>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</si>
  <si>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</si>
  <si>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</si>
  <si>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</si>
  <si>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</si>
  <si>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</si>
  <si>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</si>
  <si>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</si>
  <si>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</si>
  <si>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</si>
  <si>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</si>
  <si>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</si>
  <si>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</si>
  <si>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</si>
  <si>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</si>
  <si>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</si>
  <si>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</si>
  <si>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</si>
  <si>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</si>
  <si>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</si>
  <si>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</si>
  <si>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</si>
  <si>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</si>
  <si>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</si>
  <si>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</si>
  <si>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</si>
  <si>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</si>
  <si>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</si>
  <si>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</si>
  <si>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</si>
  <si>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</si>
  <si>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</si>
  <si>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</si>
  <si>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</si>
  <si>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</si>
  <si>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</si>
  <si>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</si>
  <si>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</si>
  <si>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</si>
  <si>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</si>
  <si>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</si>
  <si>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</si>
  <si>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</si>
  <si>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</si>
  <si>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</si>
  <si>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</si>
  <si>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</si>
  <si>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</si>
  <si>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</si>
  <si>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</si>
  <si>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</si>
  <si>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</si>
  <si>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</si>
  <si>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</si>
  <si>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</si>
  <si>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</si>
  <si>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</si>
  <si>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</si>
  <si>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</si>
  <si>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</si>
  <si>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</si>
  <si>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</si>
  <si>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</si>
  <si>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</si>
  <si>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</si>
  <si>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</si>
  <si>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</si>
  <si>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</si>
  <si>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</si>
  <si>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</si>
  <si>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</si>
  <si>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</si>
  <si>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</si>
  <si>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</si>
  <si>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</si>
  <si>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</si>
  <si>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</si>
  <si>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</si>
  <si>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</si>
  <si>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</si>
  <si>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</si>
  <si>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</si>
  <si>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</si>
  <si>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</si>
  <si>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</si>
  <si>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</si>
  <si>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</si>
  <si>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</si>
  <si>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</si>
  <si>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</si>
  <si>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</si>
  <si>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</si>
  <si>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</si>
  <si>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</si>
  <si>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</si>
  <si>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</si>
  <si>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</si>
  <si>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</si>
  <si>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</si>
  <si>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</si>
  <si>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</si>
  <si>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</si>
  <si>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</si>
  <si>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</si>
  <si>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</si>
  <si>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</si>
  <si>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</si>
  <si>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</si>
  <si>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</si>
  <si>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</si>
  <si>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</si>
  <si>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</si>
  <si>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</si>
  <si>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</si>
  <si>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</si>
  <si>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</si>
  <si>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</si>
  <si>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</si>
  <si>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</si>
  <si>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</si>
  <si>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</si>
  <si>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</si>
  <si>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</si>
  <si>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</si>
  <si>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</si>
  <si>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</si>
  <si>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</si>
  <si>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</si>
  <si>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</si>
  <si>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</si>
  <si>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</si>
  <si>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</si>
  <si>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</si>
  <si>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</si>
  <si>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</si>
  <si>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</si>
  <si>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</si>
  <si>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</si>
  <si>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</si>
  <si>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</si>
  <si>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</si>
  <si>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</si>
  <si>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</si>
  <si>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</si>
  <si>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</si>
  <si>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</si>
  <si>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</si>
  <si>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</si>
  <si>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</si>
  <si>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</si>
  <si>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</si>
  <si>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</si>
  <si>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</si>
  <si>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</si>
  <si>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</si>
  <si>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</si>
  <si>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</si>
  <si>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</si>
  <si>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</si>
  <si>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</si>
  <si>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</si>
  <si>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</si>
  <si>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</si>
  <si>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</si>
  <si>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</si>
  <si>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</si>
  <si>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</si>
  <si>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</si>
  <si>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</si>
  <si>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</si>
  <si>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</si>
  <si>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</si>
  <si>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</si>
  <si>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</si>
  <si>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</si>
  <si>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</si>
  <si>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</si>
  <si>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</si>
  <si>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</si>
  <si>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</si>
  <si>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</si>
  <si>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</si>
  <si>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</si>
  <si>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</si>
  <si>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</si>
  <si>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</si>
  <si>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</si>
  <si>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</si>
  <si>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</si>
  <si>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</si>
  <si>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</si>
  <si>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</si>
  <si>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</si>
  <si>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</si>
  <si>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</si>
  <si>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</si>
  <si>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</si>
  <si>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</si>
  <si>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</si>
  <si>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</si>
  <si>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</si>
  <si>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</si>
  <si>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</si>
  <si>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</si>
  <si>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</si>
  <si>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</si>
  <si>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</si>
  <si>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</si>
  <si>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</si>
  <si>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</si>
  <si>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</si>
  <si>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</si>
  <si>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</si>
  <si>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</si>
  <si>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</si>
  <si>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</si>
  <si>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</si>
  <si>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</si>
  <si>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</si>
  <si>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</si>
  <si>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</si>
  <si>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</si>
  <si>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</si>
  <si>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</si>
  <si>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</si>
  <si>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</si>
  <si>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</si>
  <si>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</si>
  <si>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</si>
  <si>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</si>
  <si>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</si>
  <si>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</si>
  <si>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</si>
  <si>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</si>
  <si>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</si>
  <si>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</si>
  <si>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</si>
  <si>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</si>
  <si>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</si>
  <si>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</si>
  <si>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</si>
  <si>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</si>
  <si>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</si>
  <si>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</si>
  <si>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</si>
  <si>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</si>
  <si>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</si>
  <si>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</si>
  <si>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</si>
  <si>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</si>
  <si>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</si>
  <si>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</si>
  <si>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</si>
  <si>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</si>
  <si>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</si>
  <si>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</si>
  <si>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</si>
  <si>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</si>
  <si>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</si>
  <si>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</si>
  <si>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</si>
  <si>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</si>
  <si>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</si>
  <si>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</si>
  <si>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</si>
  <si>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</si>
  <si>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</si>
  <si>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</si>
  <si>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</si>
  <si>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</si>
  <si>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</si>
  <si>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</si>
  <si>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</si>
  <si>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</si>
  <si>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</si>
  <si>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</si>
  <si>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</si>
  <si>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</si>
  <si>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</si>
  <si>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</si>
  <si>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</si>
  <si>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</si>
  <si>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</si>
  <si>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</si>
  <si>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</si>
  <si>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</si>
  <si>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</si>
  <si>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</si>
  <si>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</si>
  <si>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</si>
  <si>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</si>
  <si>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</si>
  <si>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</si>
  <si>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</si>
  <si>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</si>
  <si>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</si>
  <si>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</si>
  <si>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</si>
  <si>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</si>
  <si>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</si>
  <si>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</si>
  <si>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</si>
  <si>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</si>
  <si>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</si>
  <si>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</si>
  <si>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</si>
  <si>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</si>
  <si>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</si>
  <si>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</si>
  <si>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</si>
  <si>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</si>
  <si>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</si>
  <si>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</si>
  <si>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</si>
  <si>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</si>
  <si>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</si>
  <si>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</si>
  <si>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</si>
  <si>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</si>
  <si>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</si>
  <si>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</si>
  <si>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</si>
  <si>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</si>
  <si>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</si>
  <si>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</si>
  <si>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</si>
  <si>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</si>
  <si>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</si>
  <si>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</si>
  <si>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</si>
  <si>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</si>
  <si>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</si>
  <si>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</si>
  <si>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</si>
  <si>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</si>
  <si>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</si>
  <si>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</si>
  <si>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</si>
  <si>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</si>
  <si>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</si>
  <si>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</si>
  <si>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</si>
  <si>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</si>
  <si>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</si>
  <si>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</si>
  <si>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</si>
  <si>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</si>
  <si>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</si>
  <si>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</si>
  <si>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</si>
  <si>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</si>
  <si>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</si>
  <si>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</si>
  <si>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</si>
  <si>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</si>
  <si>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</si>
  <si>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</si>
  <si>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</si>
  <si>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</si>
  <si>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</si>
  <si>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</si>
  <si>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</si>
  <si>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</si>
  <si>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</si>
  <si>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</si>
  <si>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</si>
  <si>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</si>
  <si>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</si>
  <si>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</si>
  <si>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</si>
  <si>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</si>
  <si>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</si>
  <si>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</si>
  <si>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</si>
  <si>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</si>
  <si>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</si>
  <si>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</si>
  <si>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</si>
  <si>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</si>
  <si>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</si>
  <si>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</si>
  <si>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</si>
  <si>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</si>
  <si>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</si>
  <si>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</si>
  <si>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</si>
  <si>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</si>
  <si>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</si>
  <si>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</si>
  <si>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</si>
  <si>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</si>
  <si>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</si>
  <si>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</si>
  <si>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</si>
  <si>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</si>
  <si>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</si>
  <si>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</si>
  <si>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</si>
  <si>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</si>
  <si>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</si>
  <si>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</si>
  <si>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</si>
  <si>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</si>
  <si>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</si>
  <si>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</si>
  <si>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</si>
  <si>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</si>
  <si>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</si>
  <si>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</si>
  <si>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</si>
  <si>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</si>
  <si>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</si>
  <si>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</si>
  <si>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</si>
  <si>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</si>
  <si>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</si>
  <si>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</si>
  <si>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</si>
  <si>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</si>
  <si>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</si>
  <si>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</si>
  <si>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</si>
  <si>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</si>
  <si>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</si>
  <si>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</si>
  <si>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</si>
  <si>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</si>
  <si>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</si>
  <si>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</si>
  <si>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</si>
  <si>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</si>
  <si>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</si>
  <si>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</si>
  <si>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</si>
  <si>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</si>
  <si>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</si>
  <si>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</si>
  <si>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</si>
  <si>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</si>
  <si>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</si>
  <si>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</si>
  <si>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</si>
  <si>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</si>
  <si>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</si>
  <si>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</si>
  <si>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</si>
  <si>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</si>
  <si>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</si>
  <si>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</si>
  <si>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</si>
  <si>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</si>
  <si>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</si>
  <si>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</si>
  <si>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</si>
  <si>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</si>
  <si>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</si>
  <si>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</si>
  <si>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</si>
  <si>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</si>
  <si>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</si>
  <si>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</si>
  <si>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</si>
  <si>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</si>
  <si>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</si>
  <si>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</si>
  <si>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</si>
  <si>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</si>
  <si>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</si>
  <si>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</si>
  <si>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</si>
  <si>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</si>
  <si>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</si>
  <si>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</si>
  <si>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</si>
  <si>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</si>
  <si>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</si>
  <si>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</si>
  <si>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</si>
  <si>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</si>
  <si>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</si>
  <si>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</si>
  <si>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</si>
  <si>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</si>
  <si>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</si>
  <si>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</si>
  <si>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</si>
  <si>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</si>
  <si>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</si>
  <si>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</si>
  <si>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</si>
  <si>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</si>
  <si>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</si>
  <si>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</si>
  <si>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</si>
  <si>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</si>
  <si>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</si>
  <si>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</si>
  <si>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</si>
  <si>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</si>
  <si>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</si>
  <si>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</si>
  <si>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</si>
  <si>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</si>
  <si>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</si>
  <si>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</si>
  <si>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</si>
  <si>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</si>
  <si>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</si>
  <si>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</si>
  <si>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</si>
  <si>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</si>
  <si>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</si>
  <si>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</si>
  <si>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</si>
  <si>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</si>
  <si>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</si>
  <si>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</si>
  <si>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</si>
  <si>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</si>
  <si>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</si>
  <si>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</si>
  <si>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</si>
  <si>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</si>
  <si>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</si>
  <si>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</si>
  <si>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</si>
  <si>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</si>
  <si>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</si>
  <si>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</si>
  <si>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</si>
  <si>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</si>
  <si>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</si>
  <si>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</si>
  <si>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</si>
  <si>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</si>
  <si>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</si>
  <si>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</si>
  <si>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</si>
  <si>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</si>
  <si>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</si>
  <si>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</si>
  <si>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</si>
  <si>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</si>
  <si>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</si>
  <si>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</si>
  <si>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</si>
  <si>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</si>
  <si>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</si>
  <si>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</si>
  <si>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</si>
  <si>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</si>
  <si>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</si>
  <si>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</si>
  <si>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</si>
  <si>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</si>
  <si>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</si>
  <si>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</si>
  <si>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</si>
  <si>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</si>
  <si>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</si>
  <si>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</si>
  <si>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</si>
  <si>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</si>
  <si>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</si>
  <si>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</si>
  <si>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</si>
  <si>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</si>
  <si>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</si>
  <si>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</si>
  <si>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</si>
  <si>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</si>
  <si>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</si>
  <si>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</si>
  <si>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</si>
  <si>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</si>
  <si>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</si>
  <si>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</si>
  <si>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</si>
  <si>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</si>
  <si>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</si>
  <si>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</si>
  <si>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</si>
  <si>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</si>
  <si>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</si>
  <si>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</si>
  <si>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</si>
  <si>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</si>
  <si>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</si>
  <si>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</si>
  <si>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</si>
  <si>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</si>
  <si>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</si>
  <si>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</si>
  <si>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</si>
  <si>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</si>
  <si>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</si>
  <si>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</si>
  <si>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</si>
  <si>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</si>
  <si>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</si>
  <si>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</si>
  <si>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</si>
  <si>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</si>
  <si>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</si>
  <si>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</si>
  <si>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</si>
  <si>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</si>
  <si>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</si>
  <si>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</si>
  <si>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</si>
  <si>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</si>
  <si>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</si>
  <si>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</si>
  <si>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</si>
  <si>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</si>
  <si>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</si>
  <si>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</si>
  <si>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</si>
  <si>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</si>
  <si>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</si>
  <si>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</si>
  <si>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</si>
  <si>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</si>
  <si>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</si>
  <si>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</si>
  <si>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</si>
  <si>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</si>
  <si>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</si>
  <si>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</si>
  <si>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</si>
  <si>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</si>
  <si>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</si>
  <si>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</si>
  <si>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</si>
  <si>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</si>
  <si>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</si>
  <si>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</si>
  <si>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</si>
  <si>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</si>
  <si>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</si>
  <si>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</si>
  <si>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</si>
  <si>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</si>
  <si>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</si>
  <si>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</si>
  <si>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</si>
  <si>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</si>
  <si>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</si>
  <si>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</si>
  <si>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</si>
  <si>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</si>
  <si>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</si>
  <si>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</si>
  <si>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</si>
  <si>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</si>
  <si>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</si>
  <si>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</si>
  <si>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</si>
  <si>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</si>
  <si>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</si>
  <si>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</si>
  <si>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</si>
  <si>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</si>
  <si>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</si>
  <si>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</si>
  <si>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</si>
  <si>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</si>
  <si>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</si>
  <si>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</si>
  <si>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</si>
  <si>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</si>
  <si>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</si>
  <si>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</si>
  <si>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</si>
  <si>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</si>
  <si>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</si>
  <si>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</si>
  <si>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</si>
  <si>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</si>
  <si>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</si>
  <si>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</si>
  <si>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</si>
  <si>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</si>
  <si>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</si>
  <si>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</si>
  <si>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</si>
  <si>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</si>
  <si>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</si>
  <si>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</si>
  <si>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</si>
  <si>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</si>
  <si>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</si>
  <si>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</si>
  <si>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</si>
  <si>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</si>
  <si>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</si>
  <si>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</si>
  <si>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</si>
  <si>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</si>
  <si>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</si>
  <si>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</si>
  <si>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</si>
  <si>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</si>
  <si>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</si>
  <si>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</si>
  <si>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</si>
  <si>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</si>
  <si>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</si>
  <si>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</si>
  <si>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</si>
  <si>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</si>
  <si>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</si>
  <si>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</si>
  <si>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</si>
  <si>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</si>
  <si>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</si>
  <si>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</si>
  <si>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</si>
  <si>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</si>
  <si>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</si>
  <si>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</si>
  <si>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</si>
  <si>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</si>
  <si>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</si>
  <si>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</si>
  <si>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</si>
  <si>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</si>
  <si>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</si>
  <si>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</si>
  <si>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</si>
  <si>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</si>
  <si>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</si>
  <si>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</si>
  <si>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</si>
  <si>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</si>
  <si>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</si>
  <si>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</si>
  <si>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</si>
  <si>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</si>
  <si>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</si>
  <si>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</si>
  <si>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</si>
  <si>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</si>
  <si>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</si>
  <si>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</si>
  <si>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</si>
  <si>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</si>
  <si>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</si>
  <si>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</si>
  <si>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</si>
  <si>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</si>
  <si>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</si>
  <si>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</si>
  <si>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</si>
  <si>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</si>
  <si>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</si>
  <si>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</si>
  <si>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</si>
  <si>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</si>
  <si>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</si>
  <si>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</si>
  <si>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</si>
  <si>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</si>
  <si>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</si>
  <si>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</si>
  <si>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</si>
  <si>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</si>
  <si>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</si>
  <si>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</si>
  <si>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</si>
  <si>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</si>
  <si>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</si>
  <si>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</si>
  <si>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</si>
  <si>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</si>
  <si>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</si>
  <si>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</si>
  <si>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</si>
  <si>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</si>
  <si>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</si>
  <si>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</si>
  <si>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</si>
  <si>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</si>
  <si>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</si>
  <si>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</si>
  <si>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</si>
  <si>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</si>
  <si>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</si>
  <si>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</si>
  <si>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</si>
  <si>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</si>
  <si>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</si>
  <si>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</si>
  <si>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</si>
  <si>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</si>
  <si>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</si>
  <si>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</si>
  <si>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</si>
  <si>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</si>
  <si>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</si>
  <si>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</si>
  <si>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</si>
  <si>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</si>
  <si>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</si>
  <si>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</si>
  <si>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</si>
  <si>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</si>
  <si>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</si>
  <si>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</si>
  <si>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</si>
  <si>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</si>
  <si>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</si>
  <si>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</si>
  <si>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</si>
  <si>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</si>
  <si>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</si>
  <si>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</si>
  <si>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</si>
  <si>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</si>
  <si>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</si>
  <si>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</si>
  <si>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</si>
  <si>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</si>
  <si>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</si>
  <si>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</si>
  <si>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</si>
  <si>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</si>
  <si>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</si>
  <si>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</si>
  <si>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</si>
  <si>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</si>
  <si>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</si>
  <si>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</si>
  <si>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</si>
  <si>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</si>
  <si>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</si>
  <si>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</si>
  <si>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</si>
  <si>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</si>
  <si>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</si>
  <si>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</si>
  <si>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</si>
  <si>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</si>
  <si>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</si>
  <si>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</si>
  <si>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</si>
  <si>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</si>
  <si>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</si>
  <si>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</si>
  <si>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</si>
  <si>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</si>
  <si>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</si>
  <si>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</si>
  <si>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</si>
  <si>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</si>
  <si>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</si>
  <si>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</si>
  <si>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</si>
  <si>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</si>
  <si>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</si>
  <si>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</si>
  <si>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</si>
  <si>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</si>
  <si>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</si>
  <si>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</si>
  <si>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</si>
  <si>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</si>
  <si>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</si>
  <si>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</si>
  <si>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</si>
  <si>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</si>
  <si>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</si>
  <si>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</si>
  <si>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</si>
  <si>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</si>
  <si>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</si>
  <si>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</si>
  <si>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</si>
  <si>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</si>
  <si>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</si>
  <si>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</si>
  <si>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</si>
  <si>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</si>
  <si>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</si>
  <si>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</si>
  <si>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</si>
  <si>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</si>
  <si>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</si>
  <si>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</si>
  <si>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</si>
  <si>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</si>
  <si>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</si>
  <si>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</si>
  <si>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</si>
  <si>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</si>
  <si>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</si>
  <si>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</si>
  <si>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</si>
  <si>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</si>
  <si>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</si>
  <si>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</si>
  <si>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</si>
  <si>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</si>
  <si>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</si>
  <si>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</si>
  <si>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</si>
  <si>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</si>
  <si>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</si>
  <si>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</si>
  <si>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</si>
  <si>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</si>
  <si>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</si>
  <si>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</si>
  <si>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</si>
  <si>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</si>
  <si>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</si>
  <si>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</si>
  <si>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</si>
  <si>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</si>
  <si>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</si>
  <si>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</si>
  <si>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</si>
  <si>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</si>
  <si>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</si>
  <si>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</si>
  <si>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</si>
  <si>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</si>
  <si>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</si>
  <si>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</si>
  <si>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</si>
  <si>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</si>
  <si>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</si>
  <si>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</si>
  <si>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</si>
  <si>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</si>
  <si>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</si>
  <si>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</si>
  <si>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</si>
  <si>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</si>
  <si>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</si>
  <si>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</si>
  <si>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</si>
  <si>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</si>
  <si>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</si>
  <si>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</si>
  <si>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</si>
  <si>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</si>
  <si>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</si>
  <si>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</si>
  <si>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</si>
  <si>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</si>
  <si>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</si>
  <si>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</si>
  <si>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</si>
  <si>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</si>
  <si>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</si>
  <si>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</si>
  <si>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</si>
  <si>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</si>
  <si>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</si>
  <si>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</si>
  <si>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</si>
  <si>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</si>
  <si>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</si>
  <si>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</si>
  <si>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</si>
  <si>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</si>
  <si>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</si>
  <si>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</si>
  <si>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</si>
  <si>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</si>
  <si>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</si>
  <si>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</si>
  <si>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</si>
  <si>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</si>
  <si>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</si>
  <si>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</si>
  <si>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</si>
  <si>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</si>
  <si>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</si>
  <si>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</si>
  <si>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</si>
  <si>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</si>
  <si>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</si>
  <si>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</si>
  <si>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</si>
  <si>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</si>
  <si>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</si>
  <si>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</si>
  <si>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</si>
  <si>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</si>
  <si>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</si>
  <si>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</si>
  <si>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</si>
  <si>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</si>
  <si>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</si>
  <si>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</si>
  <si>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</si>
  <si>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</si>
  <si>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</si>
  <si>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</si>
  <si>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</si>
  <si>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</si>
  <si>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</si>
  <si>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</si>
  <si>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</si>
  <si>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</si>
  <si>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</si>
  <si>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</si>
  <si>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</si>
  <si>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</si>
  <si>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</si>
  <si>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</si>
  <si>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</si>
  <si>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</si>
  <si>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</si>
  <si>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</si>
  <si>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</si>
  <si>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</si>
  <si>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</si>
  <si>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</si>
  <si>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</si>
  <si>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</si>
  <si>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</si>
  <si>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</si>
  <si>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</si>
  <si>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</si>
  <si>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</si>
  <si>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</si>
  <si>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</si>
  <si>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</si>
  <si>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</si>
  <si>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</si>
  <si>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</si>
  <si>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</si>
  <si>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</si>
  <si>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</si>
  <si>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</si>
  <si>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</si>
  <si>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</si>
  <si>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</si>
  <si>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</si>
  <si>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</si>
  <si>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</si>
  <si>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</si>
  <si>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</si>
  <si>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</si>
  <si>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</si>
  <si>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</si>
  <si>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</si>
  <si>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</si>
  <si>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</si>
  <si>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</si>
  <si>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</si>
  <si>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</si>
  <si>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</si>
  <si>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</si>
  <si>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</si>
  <si>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</si>
  <si>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</si>
  <si>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</si>
  <si>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</si>
  <si>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</si>
  <si>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</si>
  <si>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</si>
  <si>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</si>
  <si>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</si>
  <si>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</si>
  <si>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</si>
  <si>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</si>
  <si>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</si>
  <si>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</si>
  <si>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</si>
  <si>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</si>
  <si>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</si>
  <si>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</si>
  <si>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</si>
  <si>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</si>
  <si>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</si>
  <si>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</si>
  <si>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</si>
  <si>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</si>
  <si>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</si>
  <si>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</si>
  <si>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</si>
  <si>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</si>
  <si>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</si>
  <si>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</si>
  <si>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</si>
  <si>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</si>
  <si>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</si>
  <si>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</si>
  <si>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</si>
  <si>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</si>
  <si>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</si>
  <si>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</si>
  <si>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</si>
  <si>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</si>
  <si>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</si>
  <si>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</si>
  <si>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</si>
  <si>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</si>
  <si>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</si>
  <si>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</si>
  <si>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</si>
  <si>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</si>
  <si>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</si>
  <si>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</si>
  <si>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</si>
  <si>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</si>
  <si>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</si>
  <si>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</si>
  <si>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</si>
  <si>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</si>
  <si>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</si>
  <si>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</si>
  <si>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</si>
  <si>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</si>
  <si>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</si>
  <si>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</si>
  <si>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</si>
  <si>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</si>
  <si>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</si>
  <si>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</si>
  <si>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</si>
  <si>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</si>
  <si>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</si>
  <si>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</si>
  <si>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</si>
  <si>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</si>
  <si>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</si>
  <si>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</si>
  <si>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</si>
  <si>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</si>
  <si>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</si>
  <si>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</si>
  <si>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</si>
  <si>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</si>
  <si>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</si>
  <si>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</si>
  <si>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</si>
  <si>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</si>
  <si>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</si>
  <si>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</si>
  <si>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</si>
  <si>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</si>
  <si>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</si>
  <si>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</si>
  <si>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</si>
  <si>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</si>
  <si>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</si>
  <si>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</si>
  <si>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</si>
  <si>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</si>
  <si>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</si>
  <si>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</si>
  <si>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</si>
  <si>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</si>
  <si>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</si>
  <si>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</si>
  <si>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</si>
  <si>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</si>
  <si>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</si>
  <si>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</si>
  <si>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</si>
  <si>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</si>
  <si>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</si>
  <si>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</si>
  <si>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</si>
  <si>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</si>
  <si>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</si>
  <si>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</si>
  <si>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</si>
  <si>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</si>
  <si>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</si>
  <si>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</si>
  <si>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</si>
  <si>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</si>
  <si>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</si>
  <si>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</si>
  <si>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</si>
  <si>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</si>
  <si>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</si>
  <si>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</si>
  <si>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</si>
  <si>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</si>
  <si>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</si>
  <si>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</si>
  <si>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</si>
  <si>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</si>
  <si>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</si>
  <si>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</si>
  <si>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</si>
  <si>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</si>
  <si>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</si>
  <si>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</si>
  <si>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</si>
  <si>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</si>
  <si>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</si>
  <si>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</si>
  <si>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</si>
  <si>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</si>
  <si>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</si>
  <si>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</si>
  <si>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</si>
  <si>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</si>
  <si>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</si>
  <si>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</si>
  <si>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</si>
  <si>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</si>
  <si>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</si>
  <si>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</si>
  <si>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</si>
  <si>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</si>
  <si>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</si>
  <si>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</si>
  <si>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</si>
  <si>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</si>
  <si>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</si>
  <si>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</si>
  <si>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</si>
  <si>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</si>
  <si>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</si>
  <si>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</si>
  <si>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</si>
  <si>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</si>
  <si>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</si>
  <si>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</si>
  <si>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</si>
  <si>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</si>
  <si>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</si>
  <si>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</si>
  <si>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</si>
  <si>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</si>
  <si>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</si>
  <si>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</si>
  <si>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</si>
  <si>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</si>
  <si>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</si>
  <si>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</si>
  <si>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</si>
  <si>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</si>
  <si>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</si>
  <si>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</si>
  <si>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</si>
  <si>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</si>
  <si>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</si>
  <si>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</si>
  <si>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</si>
  <si>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</si>
  <si>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</si>
  <si>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</si>
  <si>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</si>
  <si>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</si>
  <si>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</si>
  <si>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</si>
  <si>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</si>
  <si>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</si>
  <si>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</si>
  <si>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</si>
  <si>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</si>
  <si>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</si>
  <si>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</si>
  <si>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</si>
  <si>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</si>
  <si>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</si>
  <si>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</si>
  <si>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</si>
  <si>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</si>
  <si>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</si>
  <si>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</si>
  <si>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</si>
  <si>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</si>
  <si>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</si>
  <si>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</si>
  <si>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</si>
  <si>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</si>
  <si>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</si>
  <si>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</si>
  <si>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</si>
  <si>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</si>
  <si>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</si>
  <si>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</si>
  <si>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</si>
  <si>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</si>
  <si>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</si>
  <si>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</si>
  <si>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</si>
  <si>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</si>
  <si>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</si>
  <si>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</si>
  <si>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</si>
  <si>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</si>
  <si>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</si>
  <si>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</si>
  <si>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</si>
  <si>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</si>
  <si>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</si>
  <si>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</si>
  <si>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</si>
  <si>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</si>
  <si>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</si>
  <si>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</si>
  <si>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</si>
  <si>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</si>
  <si>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</si>
  <si>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</si>
  <si>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</si>
  <si>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</si>
  <si>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</si>
  <si>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</si>
  <si>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</si>
  <si>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</si>
  <si>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</si>
  <si>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</si>
  <si>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</si>
  <si>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</si>
  <si>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</si>
  <si>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</si>
  <si>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</si>
  <si>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</si>
  <si>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</si>
  <si>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</si>
  <si>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</si>
  <si>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</si>
  <si>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</si>
  <si>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</si>
  <si>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</si>
  <si>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</si>
  <si>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</si>
  <si>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</si>
  <si>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</si>
  <si>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</si>
  <si>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</si>
  <si>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</si>
  <si>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</si>
  <si>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</si>
  <si>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</si>
  <si>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</si>
  <si>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</si>
  <si>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</si>
  <si>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</si>
  <si>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</si>
  <si>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</si>
  <si>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</si>
  <si>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</si>
  <si>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</si>
  <si>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</si>
  <si>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</si>
  <si>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</si>
  <si>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</si>
  <si>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</si>
  <si>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</si>
  <si>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</si>
  <si>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</si>
  <si>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</si>
  <si>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</si>
  <si>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</si>
  <si>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</si>
  <si>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</si>
  <si>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</si>
  <si>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</si>
  <si>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</si>
  <si>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</si>
  <si>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</si>
  <si>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</si>
  <si>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</si>
  <si>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</si>
  <si>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</si>
  <si>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</si>
  <si>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</si>
  <si>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</si>
  <si>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</si>
  <si>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</si>
  <si>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</si>
  <si>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</si>
  <si>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</si>
  <si>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</si>
  <si>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</si>
  <si>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</si>
  <si>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</si>
  <si>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</si>
  <si>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</si>
  <si>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</si>
  <si>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</si>
  <si>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</si>
  <si>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</si>
  <si>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</si>
  <si>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</si>
  <si>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</si>
  <si>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</si>
  <si>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</si>
  <si>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</si>
  <si>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</si>
  <si>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</si>
  <si>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</si>
  <si>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</si>
  <si>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</si>
  <si>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</si>
  <si>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</si>
  <si>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</si>
  <si>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</si>
  <si>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</si>
  <si>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</si>
  <si>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</si>
  <si>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</si>
  <si>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</si>
  <si>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</si>
  <si>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</si>
  <si>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</si>
  <si>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</si>
  <si>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</si>
  <si>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</si>
  <si>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</si>
  <si>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</si>
  <si>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</si>
  <si>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</si>
  <si>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</si>
  <si>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</si>
  <si>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</si>
  <si>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</si>
  <si>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</si>
  <si>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</si>
  <si>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</si>
  <si>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</si>
  <si>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</si>
  <si>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</si>
  <si>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</si>
  <si>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</si>
  <si>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</si>
  <si>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</si>
  <si>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</si>
  <si>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</si>
  <si>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</si>
  <si>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</si>
  <si>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</si>
  <si>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</si>
  <si>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</si>
  <si>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</si>
  <si>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</si>
  <si>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</si>
  <si>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</si>
  <si>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</si>
  <si>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</si>
  <si>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</si>
  <si>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</si>
  <si>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</si>
  <si>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</si>
  <si>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</si>
  <si>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</si>
  <si>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</si>
  <si>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</si>
  <si>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</si>
  <si>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</si>
  <si>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</si>
  <si>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</si>
  <si>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</si>
  <si>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</si>
  <si>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</si>
  <si>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</si>
  <si>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</si>
  <si>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</si>
  <si>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</si>
  <si>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</si>
  <si>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</si>
  <si>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</si>
  <si>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</si>
  <si>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</si>
  <si>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</si>
  <si>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</si>
  <si>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</si>
  <si>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</si>
  <si>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</si>
  <si>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</si>
  <si>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</si>
  <si>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</si>
  <si>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</si>
  <si>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</si>
  <si>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</si>
  <si>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</si>
  <si>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</si>
  <si>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</si>
  <si>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</si>
  <si>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</si>
  <si>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</si>
  <si>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</si>
  <si>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</si>
  <si>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</si>
  <si>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</si>
  <si>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</si>
  <si>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</si>
  <si>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</si>
  <si>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</si>
  <si>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</si>
  <si>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</si>
  <si>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</si>
  <si>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</si>
  <si>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</si>
  <si>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</si>
  <si>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</si>
  <si>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</si>
  <si>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</si>
  <si>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</si>
  <si>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</si>
  <si>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</si>
  <si>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</si>
  <si>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</si>
  <si>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</si>
  <si>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</si>
  <si>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</si>
  <si>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</si>
  <si>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</si>
  <si>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</si>
  <si>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</si>
  <si>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</si>
  <si>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</si>
  <si>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</si>
  <si>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</si>
  <si>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</si>
  <si>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</si>
  <si>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</si>
  <si>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</si>
  <si>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</si>
  <si>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</si>
  <si>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</si>
  <si>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</si>
  <si>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</si>
  <si>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</si>
  <si>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</si>
  <si>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</si>
  <si>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</si>
  <si>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</si>
  <si>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</si>
  <si>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</si>
  <si>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</si>
  <si>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</si>
  <si>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</si>
  <si>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</si>
  <si>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</si>
  <si>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</si>
  <si>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</si>
  <si>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</si>
  <si>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</si>
  <si>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</si>
  <si>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</si>
  <si>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</si>
  <si>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</si>
  <si>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</si>
  <si>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</si>
  <si>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</si>
  <si>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</si>
  <si>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</si>
  <si>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</si>
  <si>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</si>
  <si>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</si>
  <si>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</si>
  <si>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</si>
  <si>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</si>
  <si>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</si>
  <si>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</si>
  <si>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</si>
  <si>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</si>
  <si>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</si>
  <si>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</si>
  <si>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</si>
  <si>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</si>
  <si>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</si>
  <si>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</si>
  <si>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</si>
  <si>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</si>
  <si>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</si>
  <si>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</si>
  <si>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</si>
  <si>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</si>
  <si>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</si>
  <si>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</si>
  <si>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</si>
  <si>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</si>
  <si>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</si>
  <si>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</si>
  <si>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</si>
  <si>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</si>
  <si>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</si>
  <si>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</si>
  <si>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</si>
  <si>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</si>
  <si>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</si>
  <si>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</si>
  <si>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</si>
  <si>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</si>
  <si>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</si>
  <si>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</si>
  <si>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</si>
  <si>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</si>
  <si>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</si>
  <si>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</si>
  <si>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</si>
  <si>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</si>
  <si>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</si>
  <si>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</si>
  <si>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</si>
  <si>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</si>
  <si>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</si>
  <si>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</si>
  <si>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</si>
  <si>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</si>
  <si>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</si>
  <si>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</si>
  <si>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</si>
  <si>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</si>
  <si>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</si>
  <si>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</si>
  <si>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</si>
  <si>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</si>
  <si>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</si>
  <si>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</si>
  <si>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</si>
  <si>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</si>
  <si>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</si>
  <si>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</si>
  <si>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</si>
  <si>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</si>
  <si>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</si>
  <si>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</si>
  <si>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</si>
  <si>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</si>
  <si>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</si>
  <si>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</si>
  <si>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</si>
  <si>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</si>
  <si>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</si>
  <si>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</si>
  <si>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</si>
  <si>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</si>
  <si>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</si>
  <si>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</si>
  <si>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</si>
  <si>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</si>
  <si>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</si>
  <si>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</si>
  <si>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</si>
  <si>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</si>
  <si>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</si>
  <si>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</si>
  <si>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</si>
  <si>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</si>
  <si>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</si>
  <si>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</si>
  <si>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</si>
  <si>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</si>
  <si>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</si>
  <si>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</si>
  <si>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</si>
  <si>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</si>
  <si>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</si>
  <si>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</si>
  <si>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</si>
  <si>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</si>
  <si>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</si>
  <si>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</si>
  <si>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</si>
  <si>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</si>
  <si>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</si>
  <si>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</si>
  <si>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</si>
  <si>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</si>
  <si>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</si>
  <si>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</si>
  <si>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</si>
  <si>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</si>
  <si>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</si>
  <si>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</si>
  <si>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</si>
  <si>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</si>
  <si>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</si>
  <si>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</si>
  <si>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</si>
  <si>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</si>
  <si>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</si>
  <si>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</si>
  <si>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</si>
  <si>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</si>
  <si>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</si>
  <si>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</si>
  <si>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</si>
  <si>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</si>
  <si>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</si>
  <si>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</si>
  <si>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</si>
  <si>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</si>
  <si>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</si>
  <si>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</si>
  <si>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</si>
  <si>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</si>
  <si>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</si>
  <si>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</si>
  <si>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</si>
  <si>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</si>
  <si>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</si>
  <si>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</si>
  <si>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</si>
  <si>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</si>
  <si>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</si>
  <si>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</si>
  <si>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</si>
  <si>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</si>
  <si>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</si>
  <si>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</si>
  <si>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</si>
  <si>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</si>
  <si>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</si>
  <si>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</si>
  <si>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</si>
  <si>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</si>
  <si>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</si>
  <si>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</si>
  <si>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</si>
  <si>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</si>
  <si>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</si>
  <si>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</si>
  <si>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</si>
  <si>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</si>
  <si>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</si>
  <si>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</si>
  <si>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</si>
  <si>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</si>
  <si>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</si>
  <si>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</si>
  <si>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</si>
  <si>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</si>
  <si>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</si>
  <si>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</si>
  <si>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</si>
  <si>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</si>
  <si>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</si>
  <si>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</si>
  <si>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</si>
  <si>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</si>
  <si>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</si>
  <si>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</si>
  <si>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</si>
  <si>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</si>
  <si>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</si>
  <si>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</si>
  <si>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</si>
  <si>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</si>
  <si>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</si>
  <si>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</si>
  <si>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</si>
  <si>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</si>
  <si>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</si>
  <si>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</si>
  <si>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</si>
  <si>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</si>
  <si>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</si>
  <si>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</si>
  <si>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</si>
  <si>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</si>
  <si>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</si>
  <si>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</si>
  <si>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</si>
  <si>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</si>
  <si>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</si>
  <si>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</si>
  <si>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</si>
  <si>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</si>
  <si>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</si>
  <si>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</si>
  <si>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</si>
  <si>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</si>
  <si>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</si>
  <si>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</si>
  <si>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</si>
  <si>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</si>
  <si>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</si>
  <si>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</si>
  <si>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</si>
  <si>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</si>
  <si>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</si>
  <si>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</si>
  <si>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</si>
  <si>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</si>
  <si>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</si>
  <si>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</si>
  <si>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</si>
  <si>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</si>
  <si>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</si>
  <si>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</si>
  <si>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</si>
  <si>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</si>
  <si>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</si>
  <si>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</si>
  <si>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</si>
  <si>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</si>
  <si>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</si>
  <si>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</si>
  <si>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</si>
  <si>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</si>
  <si>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</si>
  <si>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</si>
  <si>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</si>
  <si>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</si>
  <si>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</si>
  <si>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</si>
  <si>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</si>
  <si>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</si>
  <si>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</si>
  <si>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</si>
  <si>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</si>
  <si>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</si>
  <si>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</si>
  <si>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</si>
  <si>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</si>
  <si>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</si>
  <si>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</si>
  <si>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</si>
  <si>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</si>
  <si>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</si>
  <si>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</si>
  <si>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</si>
  <si>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</si>
  <si>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</si>
  <si>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</si>
  <si>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</si>
  <si>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</si>
  <si>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</si>
  <si>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</si>
  <si>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</si>
  <si>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</si>
  <si>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</si>
  <si>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</si>
  <si>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</si>
  <si>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</si>
  <si>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</si>
  <si>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</si>
  <si>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</si>
  <si>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</si>
  <si>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</si>
  <si>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</si>
  <si>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</si>
  <si>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</si>
  <si>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</si>
  <si>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</si>
  <si>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</si>
  <si>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</si>
  <si>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</si>
  <si>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</si>
  <si>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</si>
  <si>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</si>
  <si>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</si>
  <si>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</si>
  <si>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</si>
  <si>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</si>
  <si>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</si>
  <si>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</si>
  <si>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</si>
  <si>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</si>
  <si>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</si>
  <si>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</si>
  <si>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</si>
  <si>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</si>
  <si>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</si>
  <si>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</si>
  <si>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</si>
  <si>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</si>
  <si>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</si>
  <si>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</si>
  <si>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</si>
  <si>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</si>
  <si>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</si>
  <si>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</si>
  <si>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</si>
  <si>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</si>
  <si>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</si>
  <si>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</si>
  <si>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</si>
  <si>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</si>
  <si>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</si>
  <si>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</si>
  <si>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</si>
  <si>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</si>
  <si>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</si>
  <si>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</si>
  <si>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</si>
  <si>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</si>
  <si>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</si>
  <si>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</si>
  <si>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</si>
  <si>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</si>
  <si>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</si>
  <si>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</si>
  <si>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</si>
  <si>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</si>
  <si>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</si>
  <si>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</si>
  <si>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</si>
  <si>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</si>
  <si>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</si>
  <si>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</si>
  <si>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</si>
  <si>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</si>
  <si>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</si>
  <si>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</si>
  <si>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</si>
  <si>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</si>
  <si>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</si>
  <si>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</si>
  <si>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</si>
  <si>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</si>
  <si>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</si>
  <si>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</si>
  <si>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</si>
  <si>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</si>
  <si>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</si>
  <si>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</si>
  <si>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</si>
  <si>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</si>
  <si>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</si>
  <si>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</si>
  <si>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</si>
  <si>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</si>
  <si>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</si>
  <si>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</si>
  <si>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</si>
  <si>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</si>
  <si>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</si>
  <si>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</si>
  <si>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</si>
  <si>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</si>
  <si>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</si>
  <si>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</si>
  <si>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</si>
  <si>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</si>
  <si>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</si>
  <si>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</si>
  <si>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</si>
  <si>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</si>
  <si>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</si>
  <si>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</si>
  <si>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</si>
  <si>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</si>
  <si>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</si>
  <si>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</si>
  <si>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</si>
  <si>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</si>
  <si>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</si>
  <si>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</si>
  <si>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</si>
  <si>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</si>
  <si>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</si>
  <si>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</si>
  <si>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</si>
  <si>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</si>
  <si>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</si>
  <si>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</si>
  <si>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</si>
  <si>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</si>
  <si>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</si>
  <si>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</si>
  <si>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</si>
  <si>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</si>
  <si>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</si>
  <si>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</si>
  <si>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</si>
  <si>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</si>
  <si>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</si>
  <si>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</si>
  <si>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</si>
  <si>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</si>
  <si>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</si>
  <si>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</si>
  <si>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</si>
  <si>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</si>
  <si>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</si>
  <si>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</si>
  <si>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</si>
  <si>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</si>
  <si>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</si>
  <si>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</si>
  <si>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</si>
  <si>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</si>
  <si>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</si>
  <si>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</si>
  <si>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</si>
  <si>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</si>
  <si>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</si>
  <si>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</si>
  <si>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</si>
  <si>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</si>
  <si>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</si>
  <si>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</si>
  <si>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</si>
  <si>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</si>
  <si>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</si>
  <si>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</si>
  <si>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</si>
  <si>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</si>
  <si>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</si>
  <si>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</si>
  <si>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</si>
  <si>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</si>
  <si>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</si>
  <si>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</si>
  <si>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</si>
  <si>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</si>
  <si>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</si>
  <si>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</si>
  <si>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</si>
  <si>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</si>
  <si>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</si>
  <si>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</si>
  <si>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</si>
  <si>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</si>
  <si>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</si>
  <si>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</si>
  <si>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</si>
  <si>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</si>
  <si>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</si>
  <si>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</si>
  <si>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</si>
  <si>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</si>
  <si>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</si>
  <si>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</si>
  <si>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</si>
  <si>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</si>
  <si>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</si>
  <si>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</si>
  <si>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</si>
  <si>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</si>
  <si>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</si>
  <si>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</si>
  <si>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</si>
  <si>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</si>
  <si>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</si>
  <si>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</si>
  <si>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</si>
  <si>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</si>
  <si>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</si>
  <si>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</si>
  <si>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</si>
  <si>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</si>
  <si>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</si>
  <si>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</si>
  <si>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</si>
  <si>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</si>
  <si>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</si>
  <si>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</si>
  <si>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</si>
  <si>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</si>
  <si>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</si>
  <si>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</si>
  <si>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</si>
  <si>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</si>
  <si>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</si>
  <si>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</si>
  <si>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</si>
  <si>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</si>
  <si>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</si>
  <si>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</si>
  <si>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</si>
  <si>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</si>
  <si>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</si>
  <si>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</si>
  <si>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</si>
  <si>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</si>
  <si>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</si>
  <si>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</si>
  <si>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</si>
  <si>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</si>
  <si>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</si>
  <si>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</si>
  <si>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</si>
  <si>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</si>
  <si>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</si>
  <si>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</si>
  <si>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</si>
  <si>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</si>
  <si>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</si>
  <si>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</si>
  <si>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</si>
  <si>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</si>
  <si>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</si>
  <si>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</si>
  <si>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</si>
  <si>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</si>
  <si>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</si>
  <si>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</si>
  <si>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</si>
  <si>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</si>
  <si>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</si>
  <si>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</si>
  <si>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</si>
  <si>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</si>
  <si>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</si>
  <si>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</si>
  <si>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</si>
  <si>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</si>
  <si>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</si>
  <si>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</si>
  <si>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</si>
  <si>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</si>
  <si>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</si>
  <si>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</si>
  <si>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</si>
  <si>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</si>
  <si>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</si>
  <si>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</si>
  <si>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</si>
  <si>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</si>
  <si>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</si>
  <si>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</si>
  <si>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</si>
  <si>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</si>
  <si>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</si>
  <si>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</si>
  <si>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</si>
  <si>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</si>
  <si>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</si>
  <si>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</si>
  <si>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</si>
  <si>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</si>
  <si>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</si>
  <si>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</si>
  <si>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</si>
  <si>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</si>
  <si>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</si>
  <si>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</si>
  <si>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</si>
  <si>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</si>
  <si>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</si>
  <si>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</si>
  <si>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</si>
  <si>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</si>
  <si>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</si>
  <si>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</si>
  <si>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</si>
  <si>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</si>
  <si>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</si>
  <si>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</si>
  <si>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</si>
  <si>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</si>
  <si>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</si>
  <si>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</si>
  <si>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</si>
  <si>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</si>
  <si>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</si>
  <si>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</si>
  <si>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</si>
  <si>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</si>
  <si>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</si>
  <si>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</si>
  <si>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</si>
  <si>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</si>
  <si>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</si>
  <si>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</si>
  <si>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</si>
  <si>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</si>
  <si>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</si>
  <si>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</si>
  <si>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</si>
  <si>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</si>
  <si>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</si>
  <si>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</si>
  <si>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</si>
  <si>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</si>
  <si>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</si>
  <si>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</si>
  <si>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</si>
  <si>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</si>
  <si>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</si>
  <si>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</si>
  <si>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</si>
  <si>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</si>
  <si>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</si>
  <si>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</si>
  <si>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</si>
  <si>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</si>
  <si>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</si>
  <si>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</si>
  <si>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</si>
  <si>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</si>
  <si>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</si>
  <si>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</si>
  <si>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</si>
  <si>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</si>
  <si>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</si>
  <si>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</si>
  <si>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</si>
  <si>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</si>
  <si>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</si>
  <si>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</si>
  <si>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</si>
  <si>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</si>
  <si>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</si>
  <si>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</si>
  <si>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</si>
  <si>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</si>
  <si>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</si>
  <si>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</si>
  <si>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</si>
  <si>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</si>
  <si>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</si>
  <si>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</si>
  <si>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</si>
  <si>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</si>
  <si>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</si>
  <si>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</si>
  <si>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</si>
  <si>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</si>
  <si>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</si>
  <si>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</si>
  <si>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</si>
  <si>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</si>
  <si>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</si>
  <si>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</si>
  <si>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</si>
  <si>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</si>
  <si>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</si>
  <si>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</si>
  <si>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</si>
  <si>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</si>
  <si>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</si>
  <si>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</si>
  <si>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</si>
  <si>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</si>
  <si>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</si>
  <si>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</si>
  <si>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</si>
  <si>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</si>
  <si>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</si>
  <si>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</si>
  <si>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</si>
  <si>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</si>
  <si>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</si>
  <si>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</si>
  <si>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</si>
  <si>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</si>
  <si>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</si>
  <si>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</si>
  <si>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</si>
  <si>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</si>
  <si>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</si>
  <si>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</si>
  <si>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</si>
  <si>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</si>
  <si>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</si>
  <si>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</si>
  <si>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</si>
  <si>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</si>
  <si>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</si>
  <si>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</si>
  <si>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</si>
  <si>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</si>
  <si>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</si>
  <si>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</si>
  <si>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</si>
  <si>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</si>
  <si>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</si>
  <si>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</si>
  <si>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</si>
  <si>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</si>
  <si>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</si>
  <si>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</si>
  <si>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</si>
  <si>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</si>
  <si>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</si>
  <si>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</si>
  <si>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</si>
  <si>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</si>
  <si>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</si>
  <si>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</si>
  <si>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</si>
  <si>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</si>
  <si>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</si>
  <si>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</si>
  <si>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</si>
  <si>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</si>
  <si>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</si>
  <si>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</si>
  <si>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</si>
  <si>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</si>
  <si>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</si>
  <si>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</si>
  <si>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</si>
  <si>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</si>
  <si>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</si>
  <si>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</si>
  <si>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</si>
  <si>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</si>
  <si>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</si>
  <si>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</si>
  <si>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</si>
  <si>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</si>
  <si>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</si>
  <si>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</si>
  <si>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</si>
  <si>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</si>
  <si>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</si>
  <si>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</si>
  <si>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</si>
  <si>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</si>
  <si>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</si>
  <si>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</si>
  <si>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</si>
  <si>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</si>
  <si>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</si>
  <si>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</si>
  <si>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</si>
  <si>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</si>
  <si>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</si>
  <si>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</si>
  <si>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</si>
  <si>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</si>
  <si>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</si>
  <si>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</si>
  <si>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</si>
  <si>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</si>
  <si>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</si>
  <si>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</si>
  <si>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</si>
  <si>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</si>
  <si>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</si>
  <si>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</si>
  <si>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</si>
  <si>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</si>
  <si>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</si>
  <si>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</si>
  <si>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</si>
  <si>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</si>
  <si>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</si>
  <si>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</si>
  <si>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</si>
  <si>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</si>
  <si>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</si>
  <si>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</si>
  <si>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</si>
  <si>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</si>
  <si>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</si>
  <si>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</si>
  <si>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</si>
  <si>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</si>
  <si>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</si>
  <si>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</si>
  <si>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</si>
  <si>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</si>
  <si>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</si>
  <si>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</si>
  <si>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</si>
  <si>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</si>
  <si>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</si>
  <si>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</si>
  <si>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</si>
  <si>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</si>
  <si>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</si>
  <si>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</si>
  <si>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</si>
  <si>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</si>
  <si>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</si>
  <si>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</si>
  <si>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</si>
  <si>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</si>
  <si>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</si>
  <si>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</si>
  <si>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</si>
  <si>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</si>
  <si>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</si>
  <si>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</si>
  <si>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</si>
  <si>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</si>
  <si>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</si>
  <si>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</si>
  <si>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</si>
  <si>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</si>
  <si>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</si>
  <si>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</si>
  <si>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</si>
  <si>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</si>
  <si>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</si>
  <si>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</si>
  <si>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</si>
  <si>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</si>
  <si>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</si>
  <si>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</si>
  <si>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</si>
  <si>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</si>
  <si>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</si>
  <si>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</si>
  <si>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</si>
  <si>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</si>
  <si>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</si>
  <si>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</si>
  <si>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</si>
  <si>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</si>
  <si>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</si>
  <si>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</si>
  <si>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</si>
  <si>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</si>
  <si>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</si>
  <si>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</si>
  <si>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</si>
  <si>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</si>
  <si>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</si>
  <si>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</si>
  <si>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</si>
  <si>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</si>
  <si>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</si>
  <si>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</si>
  <si>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</si>
  <si>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</si>
  <si>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</si>
  <si>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</si>
  <si>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</si>
  <si>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</si>
  <si>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</si>
  <si>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</si>
  <si>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</si>
  <si>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</si>
  <si>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</si>
  <si>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</si>
  <si>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</si>
  <si>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</si>
  <si>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</si>
  <si>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</si>
  <si>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</si>
  <si>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</si>
  <si>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</si>
  <si>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</si>
  <si>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</si>
  <si>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</si>
  <si>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</si>
  <si>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</si>
  <si>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</si>
  <si>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</si>
  <si>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</si>
  <si>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</si>
  <si>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</si>
  <si>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</si>
  <si>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</si>
  <si>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</si>
  <si>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</si>
  <si>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</si>
  <si>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</si>
  <si>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</si>
  <si>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</si>
  <si>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</si>
  <si>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</si>
  <si>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</si>
  <si>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</si>
  <si>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</si>
  <si>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</si>
  <si>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</si>
  <si>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</si>
  <si>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</si>
  <si>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</si>
  <si>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</si>
  <si>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</si>
  <si>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</si>
  <si>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</si>
  <si>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</si>
  <si>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</si>
  <si>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</si>
  <si>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</si>
  <si>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</si>
  <si>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</si>
  <si>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</si>
  <si>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</si>
  <si>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</si>
  <si>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</si>
  <si>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</si>
  <si>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</si>
  <si>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</si>
  <si>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</si>
  <si>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</si>
  <si>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</si>
  <si>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</si>
  <si>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</si>
  <si>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</si>
  <si>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</si>
  <si>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</si>
  <si>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</si>
  <si>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</si>
  <si>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</si>
  <si>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</si>
  <si>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</si>
  <si>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</si>
  <si>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</si>
  <si>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</si>
  <si>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</si>
  <si>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</si>
  <si>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</si>
  <si>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</si>
  <si>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</si>
  <si>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</si>
  <si>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地上</t>
  </si>
  <si>
    <t>是</t>
  </si>
  <si>
    <t>商业</t>
    <phoneticPr fontId="3" type="noConversion"/>
  </si>
  <si>
    <t>含税</t>
  </si>
  <si>
    <t>单套模式</t>
  </si>
  <si>
    <t>龙湖西宸广场</t>
    <phoneticPr fontId="3" type="noConversion"/>
  </si>
  <si>
    <t>正常</t>
  </si>
  <si>
    <t>商业</t>
    <phoneticPr fontId="30" type="noConversion"/>
  </si>
  <si>
    <t>挂牌</t>
  </si>
  <si>
    <t>挂牌</t>
    <phoneticPr fontId="30" type="noConversion"/>
  </si>
  <si>
    <t>中区</t>
  </si>
  <si>
    <t>钢混</t>
  </si>
  <si>
    <t>精装修</t>
  </si>
  <si>
    <t>超高层高</t>
  </si>
  <si>
    <t>普装</t>
  </si>
  <si>
    <t>成新度</t>
  </si>
  <si>
    <t>收益法 (元)</t>
  </si>
  <si>
    <t>未包含在土地购买价格中</t>
  </si>
  <si>
    <t>全部缴纳</t>
  </si>
  <si>
    <t>已包含在土地取得成本中</t>
  </si>
  <si>
    <t>押一</t>
  </si>
  <si>
    <t>按不含税租金收入（有效毛租金收入）计税</t>
  </si>
  <si>
    <t>非生产用房</t>
  </si>
  <si>
    <t>否</t>
  </si>
  <si>
    <t>比较法-商业</t>
  </si>
  <si>
    <t>高区</t>
  </si>
  <si>
    <t>低区</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</si>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</sst>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49" fontId="128" fillId="2" borderId="26" xfId="0" applyNumberFormat="1" applyFont="1" applyFill="1" applyBorder="1" applyAlignment="1" applyProtection="1">
      <alignment horizontal="left" vertical="center" wrapText="1"/>
      <protection locked="0"/>
    </xf>
    <xf numFmtId="49" fontId="128" fillId="2" borderId="30" xfId="0" applyNumberFormat="1" applyFont="1" applyFill="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81" fontId="47" fillId="16" borderId="24" xfId="0" applyNumberFormat="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370057</xdr:colOff>
      <xdr:row>33</xdr:row>
      <xdr:rowOff>170721</xdr:rowOff>
    </xdr:to>
    <xdr:pic>
      <xdr:nvPicPr>
        <xdr:cNvPr id="2" name="图片 1">
          <a:extLst>
            <a:ext uri="{FF2B5EF4-FFF2-40B4-BE49-F238E27FC236}">
              <a16:creationId xmlns:a16="http://schemas.microsoft.com/office/drawing/2014/main" id="{EF10F7AD-0B68-75E8-D44B-D86A35BAE042}"/>
            </a:ext>
          </a:extLst>
        </xdr:cNvPr>
        <xdr:cNvPicPr>
          <a:picLocks noChangeAspect="1"/>
        </xdr:cNvPicPr>
      </xdr:nvPicPr>
      <xdr:blipFill>
        <a:blip xmlns:r="http://schemas.openxmlformats.org/officeDocument/2006/relationships" r:embed="rId1"/>
        <a:stretch>
          <a:fillRect/>
        </a:stretch>
      </xdr:blipFill>
      <xdr:spPr>
        <a:xfrm>
          <a:off x="0" y="0"/>
          <a:ext cx="11342857" cy="5828571"/>
        </a:xfrm>
        <a:prstGeom prst="rect">
          <a:avLst/>
        </a:prstGeom>
      </xdr:spPr>
    </xdr:pic>
    <xdr:clientData/>
  </xdr:twoCellAnchor>
  <xdr:twoCellAnchor editAs="oneCell">
    <xdr:from>
      <xdr:col>0</xdr:col>
      <xdr:colOff>0</xdr:colOff>
      <xdr:row>35</xdr:row>
      <xdr:rowOff>0</xdr:rowOff>
    </xdr:from>
    <xdr:to>
      <xdr:col>16</xdr:col>
      <xdr:colOff>74819</xdr:colOff>
      <xdr:row>68</xdr:row>
      <xdr:rowOff>18340</xdr:rowOff>
    </xdr:to>
    <xdr:pic>
      <xdr:nvPicPr>
        <xdr:cNvPr id="3" name="图片 2">
          <a:extLst>
            <a:ext uri="{FF2B5EF4-FFF2-40B4-BE49-F238E27FC236}">
              <a16:creationId xmlns:a16="http://schemas.microsoft.com/office/drawing/2014/main" id="{78D9792C-BBAE-D83C-A1CB-85299D6C7C45}"/>
            </a:ext>
          </a:extLst>
        </xdr:cNvPr>
        <xdr:cNvPicPr>
          <a:picLocks noChangeAspect="1"/>
        </xdr:cNvPicPr>
      </xdr:nvPicPr>
      <xdr:blipFill>
        <a:blip xmlns:r="http://schemas.openxmlformats.org/officeDocument/2006/relationships" r:embed="rId2"/>
        <a:stretch>
          <a:fillRect/>
        </a:stretch>
      </xdr:blipFill>
      <xdr:spPr>
        <a:xfrm>
          <a:off x="0" y="6000750"/>
          <a:ext cx="11047619" cy="5676190"/>
        </a:xfrm>
        <a:prstGeom prst="rect">
          <a:avLst/>
        </a:prstGeom>
      </xdr:spPr>
    </xdr:pic>
    <xdr:clientData/>
  </xdr:twoCellAnchor>
  <xdr:twoCellAnchor editAs="oneCell">
    <xdr:from>
      <xdr:col>0</xdr:col>
      <xdr:colOff>0</xdr:colOff>
      <xdr:row>69</xdr:row>
      <xdr:rowOff>0</xdr:rowOff>
    </xdr:from>
    <xdr:to>
      <xdr:col>16</xdr:col>
      <xdr:colOff>215440</xdr:colOff>
      <xdr:row>102</xdr:row>
      <xdr:rowOff>91183</xdr:rowOff>
    </xdr:to>
    <xdr:pic>
      <xdr:nvPicPr>
        <xdr:cNvPr id="4" name="图片 3">
          <a:extLst>
            <a:ext uri="{FF2B5EF4-FFF2-40B4-BE49-F238E27FC236}">
              <a16:creationId xmlns:a16="http://schemas.microsoft.com/office/drawing/2014/main" id="{79BE6B46-CF18-C9AF-9819-C3F9D5F60BEB}"/>
            </a:ext>
          </a:extLst>
        </xdr:cNvPr>
        <xdr:cNvPicPr>
          <a:picLocks noChangeAspect="1"/>
        </xdr:cNvPicPr>
      </xdr:nvPicPr>
      <xdr:blipFill>
        <a:blip xmlns:r="http://schemas.openxmlformats.org/officeDocument/2006/relationships" r:embed="rId3"/>
        <a:stretch>
          <a:fillRect/>
        </a:stretch>
      </xdr:blipFill>
      <xdr:spPr>
        <a:xfrm>
          <a:off x="0" y="11598088"/>
          <a:ext cx="11152381" cy="5638095"/>
        </a:xfrm>
        <a:prstGeom prst="rect">
          <a:avLst/>
        </a:prstGeom>
      </xdr:spPr>
    </xdr:pic>
    <xdr:clientData/>
  </xdr:twoCellAnchor>
  <xdr:twoCellAnchor editAs="oneCell">
    <xdr:from>
      <xdr:col>17</xdr:col>
      <xdr:colOff>11206</xdr:colOff>
      <xdr:row>0</xdr:row>
      <xdr:rowOff>0</xdr:rowOff>
    </xdr:from>
    <xdr:to>
      <xdr:col>22</xdr:col>
      <xdr:colOff>660079</xdr:colOff>
      <xdr:row>40</xdr:row>
      <xdr:rowOff>124090</xdr:rowOff>
    </xdr:to>
    <xdr:pic>
      <xdr:nvPicPr>
        <xdr:cNvPr id="5" name="图片 4">
          <a:extLst>
            <a:ext uri="{FF2B5EF4-FFF2-40B4-BE49-F238E27FC236}">
              <a16:creationId xmlns:a16="http://schemas.microsoft.com/office/drawing/2014/main" id="{51045136-BB2D-2578-16FE-9BA08A491F44}"/>
            </a:ext>
          </a:extLst>
        </xdr:cNvPr>
        <xdr:cNvPicPr>
          <a:picLocks noChangeAspect="1"/>
        </xdr:cNvPicPr>
      </xdr:nvPicPr>
      <xdr:blipFill>
        <a:blip xmlns:r="http://schemas.openxmlformats.org/officeDocument/2006/relationships" r:embed="rId4"/>
        <a:stretch>
          <a:fillRect/>
        </a:stretch>
      </xdr:blipFill>
      <xdr:spPr>
        <a:xfrm>
          <a:off x="11631706" y="0"/>
          <a:ext cx="4066667" cy="6847619"/>
        </a:xfrm>
        <a:prstGeom prst="rect">
          <a:avLst/>
        </a:prstGeom>
      </xdr:spPr>
    </xdr:pic>
    <xdr:clientData/>
  </xdr:twoCellAnchor>
  <xdr:twoCellAnchor editAs="oneCell">
    <xdr:from>
      <xdr:col>23</xdr:col>
      <xdr:colOff>0</xdr:colOff>
      <xdr:row>0</xdr:row>
      <xdr:rowOff>0</xdr:rowOff>
    </xdr:from>
    <xdr:to>
      <xdr:col>28</xdr:col>
      <xdr:colOff>544111</xdr:colOff>
      <xdr:row>42</xdr:row>
      <xdr:rowOff>121246</xdr:rowOff>
    </xdr:to>
    <xdr:pic>
      <xdr:nvPicPr>
        <xdr:cNvPr id="6" name="图片 5">
          <a:extLst>
            <a:ext uri="{FF2B5EF4-FFF2-40B4-BE49-F238E27FC236}">
              <a16:creationId xmlns:a16="http://schemas.microsoft.com/office/drawing/2014/main" id="{9C1F51F6-4660-76D7-B99D-C16E2CC63C40}"/>
            </a:ext>
          </a:extLst>
        </xdr:cNvPr>
        <xdr:cNvPicPr>
          <a:picLocks noChangeAspect="1"/>
        </xdr:cNvPicPr>
      </xdr:nvPicPr>
      <xdr:blipFill>
        <a:blip xmlns:r="http://schemas.openxmlformats.org/officeDocument/2006/relationships" r:embed="rId5"/>
        <a:stretch>
          <a:fillRect/>
        </a:stretch>
      </xdr:blipFill>
      <xdr:spPr>
        <a:xfrm>
          <a:off x="15721853" y="0"/>
          <a:ext cx="3961905" cy="7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估价对象为北京市房地产，为所有。根据《国有土地使用证》[]，估价对象（分摊）出让国有建设用地使用权面积为0平方米，建筑面积为73.4平方米。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估价对象为北京市房地产,属开发建设的，该项目尚在开发建设中。根据《国有土地使用证》[]，估价对象（分摊）出让国有建设用地使用权面积为0平方米，规划建筑面积为73.4平方米。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2026年1月24日（评估专业人员实地查勘之日）</v>
      </c>
    </row>
    <row r="13" spans="1:2">
      <c r="A13" s="826" t="s">
        <v>523</v>
      </c>
      <c r="B13" s="827" t="str">
        <f>'预评函-1'!A18</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203.8245</v>
      </c>
    </row>
    <row r="21" spans="1:2">
      <c r="A21" s="826" t="s">
        <v>531</v>
      </c>
      <c r="B21" s="827">
        <f ca="1">'预评函-2'!D7</f>
        <v>27769</v>
      </c>
    </row>
    <row r="22" spans="1:2">
      <c r="A22" s="826" t="s">
        <v>532</v>
      </c>
      <c r="B22" s="827" t="str">
        <f ca="1">'预评函-2'!D6</f>
        <v>贰佰零叁万捌仟贰佰肆拾伍元整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203.8245</v>
      </c>
    </row>
    <row r="31" spans="1:2">
      <c r="A31" s="826" t="s">
        <v>570</v>
      </c>
      <c r="B31" s="827">
        <f ca="1">'预评函-2'!D15</f>
        <v>27769</v>
      </c>
    </row>
    <row r="32" spans="1:2">
      <c r="A32" s="826" t="s">
        <v>537</v>
      </c>
      <c r="B32" s="827" t="str">
        <f ca="1">'预评函-2'!D14</f>
        <v>贰佰零叁万捌仟贰佰肆拾伍元整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73.400000000000006</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192</v>
      </c>
    </row>
    <row r="48" spans="1:2">
      <c r="A48" s="826" t="s">
        <v>543</v>
      </c>
      <c r="B48" s="827">
        <f ca="1">'预评函-3'!E4</f>
        <v>27769</v>
      </c>
    </row>
    <row r="49" spans="1:2">
      <c r="A49" s="826" t="s">
        <v>544</v>
      </c>
      <c r="B49" s="827" t="str">
        <f ca="1">'预评函-3'!D5</f>
        <v>壹佰玖拾贰万元整</v>
      </c>
    </row>
    <row r="50" spans="1:2">
      <c r="A50" s="826" t="s">
        <v>568</v>
      </c>
      <c r="B50" s="827">
        <f>'预评函-3'!F2</f>
        <v>0</v>
      </c>
    </row>
    <row r="51" spans="1:2">
      <c r="A51" s="826" t="s">
        <v>545</v>
      </c>
      <c r="B51" s="827">
        <f ca="1">'预评函-3'!F4</f>
        <v>12</v>
      </c>
    </row>
    <row r="52" spans="1:2">
      <c r="A52" s="826" t="s">
        <v>546</v>
      </c>
      <c r="B52" s="827">
        <f>'预评函-3'!G4</f>
        <v>0</v>
      </c>
    </row>
    <row r="53" spans="1:2">
      <c r="A53" s="826" t="s">
        <v>574</v>
      </c>
      <c r="B53" s="827" t="str">
        <f ca="1">'预评函-3'!F5</f>
        <v>壹拾贰万元整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2"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2"/>
      <c r="B54" s="1128" t="s">
        <v>379</v>
      </c>
      <c r="C54" s="1126" t="s">
        <v>577</v>
      </c>
    </row>
    <row r="55" spans="1:4">
      <c r="A55" s="4222"/>
      <c r="B55" s="1128" t="s">
        <v>380</v>
      </c>
      <c r="C55" s="1126" t="s">
        <v>578</v>
      </c>
    </row>
    <row r="56" spans="1:4">
      <c r="A56" s="4222"/>
      <c r="B56" s="1128" t="s">
        <v>381</v>
      </c>
      <c r="C56" s="1126" t="s">
        <v>582</v>
      </c>
    </row>
    <row r="57" spans="1:4">
      <c r="A57" s="4222"/>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topLeftCell="B1" zoomScaleNormal="100" workbookViewId="0">
      <selection activeCell="O20" sqref="O20"/>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23" t="s">
        <v>2469</v>
      </c>
      <c r="J2" s="4224"/>
      <c r="K2" s="4224"/>
      <c r="L2" s="4224"/>
      <c r="M2" s="4224"/>
      <c r="N2" s="4224"/>
      <c r="O2" s="4224"/>
      <c r="P2" s="4224"/>
      <c r="Q2" s="4224"/>
      <c r="R2" s="4225"/>
    </row>
    <row r="3" spans="1:18">
      <c r="A3" s="2238" t="s">
        <v>2390</v>
      </c>
      <c r="B3" s="2239">
        <f>项目基本情况!D3</f>
        <v>46046</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0.9</v>
      </c>
      <c r="D5" s="3671">
        <f>IF(ISERROR(ROUND(POWER(1+E5,A5-C5)*(POWER(1+E5,C5)-1)/(POWER(1+E5,A5)-1),3)),0,ROUND(POWER(1+E5,A5-C5)*(POWER(1+E5,C5)-1)/(POWER(1+E5,A5)-1),4))</f>
        <v>4.3799999999999999E-2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30.92</v>
      </c>
      <c r="D7" s="3671">
        <f>IF(ISERROR(ROUND(POWER(1+E7,A7-C7)*(POWER(1+E7,C7)-1)/(POWER(1+E7,A7)-1),3)),0,ROUND(POWER(1+E7,A7-C7)*(POWER(1+E7,C7)-1)/(POWER(1+E7,A7)-1),4))</f>
        <v>0.75080000000000002</v>
      </c>
      <c r="E7" s="3672">
        <v>0.04</v>
      </c>
      <c r="F7" s="2237"/>
      <c r="I7" s="3655" t="s">
        <v>3683</v>
      </c>
      <c r="J7" s="3656" t="s">
        <v>3685</v>
      </c>
      <c r="K7" s="3657">
        <v>2.5</v>
      </c>
      <c r="L7" s="3658"/>
      <c r="M7" s="3652"/>
      <c r="N7" s="2232"/>
      <c r="O7" s="2232"/>
      <c r="P7" s="2232"/>
      <c r="Q7" s="2232"/>
      <c r="R7" s="2233"/>
    </row>
    <row r="8" spans="1:18">
      <c r="A8" s="2235"/>
      <c r="B8" s="2236"/>
      <c r="C8" s="2236"/>
      <c r="D8" s="2236"/>
      <c r="E8" s="2236"/>
      <c r="F8" s="2237"/>
      <c r="I8" s="4223" t="s">
        <v>3684</v>
      </c>
      <c r="J8" s="4224"/>
      <c r="K8" s="4224"/>
      <c r="L8" s="4224"/>
      <c r="M8" s="4224"/>
      <c r="N8" s="4224"/>
      <c r="O8" s="4224"/>
      <c r="P8" s="4224"/>
      <c r="Q8" s="4224"/>
      <c r="R8" s="4225"/>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26" t="s">
        <v>3364</v>
      </c>
      <c r="J49" s="4226"/>
      <c r="K49" s="4226"/>
      <c r="L49" s="4226"/>
      <c r="M49" s="4226"/>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27" t="s">
        <v>3371</v>
      </c>
      <c r="J57" s="4227"/>
      <c r="K57" s="4227"/>
      <c r="L57" s="4227"/>
      <c r="M57" s="4227"/>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7" sqref="G27"/>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35" t="str">
        <f>IF(B10="北京市","北京市",C10)&amp;F10&amp;IF(结果表!G1="在建","出让国有建设用地使用权及在建建筑物",IF(结果表!G1="土地","出让国有建设用地使用权",))&amp;B9&amp;"预评估"</f>
        <v>北京市房地产抵押价值预评估</v>
      </c>
      <c r="C1" s="4236"/>
      <c r="D1" s="4236"/>
      <c r="E1" s="4236"/>
      <c r="F1" s="4236"/>
      <c r="G1" s="4236"/>
      <c r="H1" s="4236"/>
      <c r="I1" s="4237"/>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46046</v>
      </c>
      <c r="C3" s="1775" t="s">
        <v>2083</v>
      </c>
      <c r="D3" s="1774">
        <v>46046</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38" t="s">
        <v>2089</v>
      </c>
      <c r="E8" s="1791" t="s">
        <v>3899</v>
      </c>
      <c r="F8" s="1792"/>
      <c r="G8" s="1975"/>
      <c r="H8" s="1975"/>
      <c r="I8" s="1975"/>
      <c r="J8" s="1829"/>
      <c r="K8" s="1934"/>
      <c r="L8" s="1933"/>
      <c r="M8" s="1933"/>
      <c r="N8" s="1829"/>
      <c r="O8" s="1333"/>
      <c r="P8" s="1829"/>
      <c r="Q8" s="1829"/>
      <c r="R8" s="1829"/>
    </row>
    <row r="9" spans="1:30" ht="13.5" thickBot="1">
      <c r="A9" s="1793" t="s">
        <v>2090</v>
      </c>
      <c r="B9" s="1794" t="s">
        <v>3899</v>
      </c>
      <c r="C9" s="1795"/>
      <c r="D9" s="4239"/>
      <c r="E9" s="1794" t="s">
        <v>41</v>
      </c>
      <c r="F9" s="1796"/>
      <c r="G9" s="1976"/>
      <c r="H9" s="1976"/>
      <c r="I9" s="1976"/>
      <c r="J9" s="1829"/>
      <c r="K9" s="1936"/>
      <c r="L9" s="1933"/>
      <c r="M9" s="1933"/>
      <c r="N9" s="1829"/>
      <c r="O9" s="1333"/>
      <c r="P9" s="1829"/>
      <c r="Q9" s="1829"/>
      <c r="R9" s="1829"/>
    </row>
    <row r="10" spans="1:30" ht="13.5" thickTop="1">
      <c r="A10" s="1797" t="s">
        <v>2091</v>
      </c>
      <c r="B10" s="3561" t="s">
        <v>3900</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3901</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56625</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28.98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45"/>
      <c r="C16" s="4246"/>
      <c r="D16" s="4247"/>
      <c r="E16" s="1808" t="s">
        <v>2106</v>
      </c>
      <c r="F16" s="4248"/>
      <c r="G16" s="4249"/>
      <c r="H16" s="4249"/>
      <c r="I16" s="4250"/>
      <c r="J16" s="1829"/>
      <c r="K16" s="1937"/>
      <c r="L16" s="1333"/>
      <c r="M16" s="1333"/>
      <c r="N16" s="1829"/>
      <c r="O16" s="1333"/>
      <c r="P16" s="1829"/>
      <c r="Q16" s="1829"/>
      <c r="R16" s="1829"/>
    </row>
    <row r="17" spans="1:28">
      <c r="A17" s="198" t="s">
        <v>2107</v>
      </c>
      <c r="B17" s="187" t="s">
        <v>2108</v>
      </c>
      <c r="C17" s="9">
        <f>'数据-汇总表'!E3</f>
        <v>73.400000000000006</v>
      </c>
      <c r="D17" s="936" t="s">
        <v>2109</v>
      </c>
      <c r="E17" s="4251" t="s">
        <v>2110</v>
      </c>
      <c r="F17" s="4252"/>
      <c r="G17" s="4252"/>
      <c r="H17" s="4252"/>
      <c r="I17" s="4253"/>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54" t="s">
        <v>2114</v>
      </c>
      <c r="F18" s="4255"/>
      <c r="G18" s="4255"/>
      <c r="H18" s="4255"/>
      <c r="I18" s="4256"/>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41" t="s">
        <v>2118</v>
      </c>
      <c r="C20" s="4242"/>
      <c r="D20" s="4243" t="s">
        <v>2119</v>
      </c>
      <c r="E20" s="4244"/>
      <c r="F20" s="1964" t="s">
        <v>1042</v>
      </c>
      <c r="G20" s="1975"/>
      <c r="H20" s="1975"/>
      <c r="I20" s="1975"/>
      <c r="J20" s="1829"/>
      <c r="K20" s="4240"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40"/>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40"/>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9"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9"/>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9"/>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0"/>
      <c r="B30" s="187" t="s">
        <v>2130</v>
      </c>
      <c r="C30" s="4231"/>
      <c r="D30" s="4232"/>
      <c r="E30" s="1975"/>
      <c r="F30" s="1975"/>
      <c r="G30" s="1975"/>
      <c r="H30" s="1975"/>
      <c r="I30" s="1975"/>
      <c r="J30" s="1829"/>
      <c r="K30" s="1936"/>
      <c r="L30" s="1933"/>
      <c r="M30" s="1933"/>
      <c r="N30" s="1829"/>
      <c r="O30" s="1333"/>
      <c r="P30" s="1829"/>
      <c r="Q30" s="1829"/>
      <c r="R30" s="1829"/>
      <c r="S30" s="1829"/>
      <c r="T30" s="1829"/>
      <c r="U30" s="1829"/>
      <c r="V30" s="1829"/>
    </row>
    <row r="31" spans="1:28">
      <c r="A31" s="4233"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4"/>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4"/>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28" t="s">
        <v>2140</v>
      </c>
      <c r="T34" s="207" t="str">
        <f>NUMBERSTRING(7-K34,1)&amp;"通"</f>
        <v>七通</v>
      </c>
      <c r="U34" s="1829"/>
      <c r="V34" s="1829"/>
    </row>
    <row r="35" spans="1:30">
      <c r="A35" s="1820"/>
      <c r="B35" s="4228" t="s">
        <v>2141</v>
      </c>
      <c r="C35" s="4228"/>
      <c r="D35" s="4228"/>
      <c r="E35" s="4228"/>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8"/>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108</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201</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73.400000000000006</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73.400000000000006</v>
      </c>
      <c r="H5" s="6">
        <f t="shared" ref="H5:AT5" si="0">SUM(H13:H656)</f>
        <v>73.400000000000006</v>
      </c>
      <c r="I5" s="6">
        <f t="shared" si="0"/>
        <v>73.400000000000006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73.400000000000006</v>
      </c>
      <c r="BA5" s="466">
        <f t="shared" si="1"/>
        <v>73.400000000000006</v>
      </c>
      <c r="BB5" s="466">
        <f t="shared" si="1"/>
        <v>73.400000000000006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5" t="s">
        <v>3904</v>
      </c>
      <c r="D13" s="1190" t="s">
        <v>3903</v>
      </c>
      <c r="E13" s="6">
        <f>IF($C$3="是",ROUND($A$3*G13/$B$3,2),ROUND($A$3*(G13-AT13)/$B$3,2))</f>
        <v>0</v>
      </c>
      <c r="F13" s="607"/>
      <c r="G13" s="18">
        <f>H13+AC13+AT13</f>
        <v>73.400000000000006</v>
      </c>
      <c r="H13" s="11">
        <f>SUMIF(I$12:AB$12,"总值",I13:AB13)</f>
        <v>73.400000000000006</v>
      </c>
      <c r="I13" s="1142">
        <v>73.400000000000006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73.400000000000006</v>
      </c>
      <c r="BA13" s="9">
        <f>SUM(BB13:BK13)</f>
        <v>73.400000000000006</v>
      </c>
      <c r="BB13" s="9">
        <f>IF($D13="是",I13-J13,0)</f>
        <v>73.400000000000006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P12" sqref="P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66" t="s">
        <v>1116</v>
      </c>
      <c r="B2" s="4266"/>
      <c r="C2" s="4266"/>
      <c r="D2" s="548" t="s">
        <v>1092</v>
      </c>
      <c r="E2" s="1199" t="s">
        <v>1093</v>
      </c>
      <c r="F2" s="1972"/>
      <c r="G2" s="1966"/>
      <c r="H2" s="1967"/>
      <c r="I2" s="1738" t="s">
        <v>1117</v>
      </c>
      <c r="J2" s="1972"/>
      <c r="K2" s="1972"/>
      <c r="L2" s="1972"/>
      <c r="M2" s="1972"/>
      <c r="N2" s="1973"/>
      <c r="O2" s="1972"/>
      <c r="P2" s="1972"/>
    </row>
    <row r="3" spans="1:16" ht="15.75" thickBot="1">
      <c r="A3" s="4267" t="s">
        <v>1090</v>
      </c>
      <c r="B3" s="4267"/>
      <c r="C3" s="4267"/>
      <c r="D3" s="3965">
        <f>'数据-基础表'!AY6</f>
        <v>0</v>
      </c>
      <c r="E3" s="3965">
        <f>'数据-基础表'!AZ5</f>
        <v>73.400000000000006</v>
      </c>
      <c r="F3" s="1972"/>
      <c r="G3" s="24"/>
      <c r="H3" s="25" t="s">
        <v>1091</v>
      </c>
      <c r="I3" s="2673" t="e">
        <f>ROUND('数据-基础表'!B3/'数据-基础表'!A3,2)</f>
        <v>#DIV/0!</v>
      </c>
      <c r="J3" s="1972"/>
      <c r="K3" s="1972"/>
      <c r="L3" s="1972"/>
      <c r="M3" s="1972"/>
      <c r="N3" s="1973"/>
      <c r="O3" s="1972"/>
      <c r="P3" s="1972"/>
    </row>
    <row r="4" spans="1:16" ht="15">
      <c r="A4" s="4268"/>
      <c r="B4" s="4269"/>
      <c r="C4" s="4270"/>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71" t="s">
        <v>1095</v>
      </c>
      <c r="C5" s="4271"/>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71" t="s">
        <v>1096</v>
      </c>
      <c r="C6" s="4271"/>
      <c r="D6" s="3947">
        <f>ROUND($D$3*E6/$E$3,2)</f>
        <v>0</v>
      </c>
      <c r="E6" s="3838">
        <f>E3-E5</f>
        <v>73.400000000000006</v>
      </c>
      <c r="F6" s="1972"/>
      <c r="G6" s="1206" t="s">
        <v>1097</v>
      </c>
      <c r="H6" s="26" t="s">
        <v>1098</v>
      </c>
      <c r="I6" s="2674" t="e">
        <f>ROUND(F31/D31,2)</f>
        <v>#DIV/0!</v>
      </c>
      <c r="J6" s="1972"/>
      <c r="K6" s="1972"/>
      <c r="L6" s="1972"/>
      <c r="M6" s="1972"/>
      <c r="N6" s="1972"/>
      <c r="O6" s="1972"/>
      <c r="P6" s="1972"/>
    </row>
    <row r="7" spans="1:16" ht="15.75" thickBot="1">
      <c r="A7" s="4263"/>
      <c r="B7" s="4264"/>
      <c r="C7" s="4265"/>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73.400000000000006</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73.400000000000006</v>
      </c>
      <c r="F16" s="1972"/>
      <c r="G16" s="1972"/>
      <c r="H16" s="1208" t="s">
        <v>1120</v>
      </c>
      <c r="I16" s="1209"/>
      <c r="J16" s="796"/>
      <c r="K16" s="4260" t="s">
        <v>1120</v>
      </c>
      <c r="L16" s="4261"/>
      <c r="M16" s="4261"/>
      <c r="N16" s="4261"/>
      <c r="O16" s="4261"/>
      <c r="P16" s="4262"/>
    </row>
    <row r="17" spans="1:19" ht="15">
      <c r="A17" s="1210" t="s">
        <v>1121</v>
      </c>
      <c r="B17" s="1211" t="s">
        <v>1122</v>
      </c>
      <c r="C17" s="1212" t="s">
        <v>1123</v>
      </c>
      <c r="D17" s="1213" t="s">
        <v>1111</v>
      </c>
      <c r="E17" s="1214" t="s">
        <v>1112</v>
      </c>
      <c r="F17" s="1215"/>
      <c r="G17" s="1216"/>
      <c r="H17" s="1217" t="s">
        <v>1124</v>
      </c>
      <c r="I17" s="1218" t="s">
        <v>1109</v>
      </c>
      <c r="J17" s="796"/>
      <c r="K17" s="4257" t="s">
        <v>1125</v>
      </c>
      <c r="L17" s="4258"/>
      <c r="M17" s="4259"/>
      <c r="N17" s="4257" t="s">
        <v>1126</v>
      </c>
      <c r="O17" s="4258"/>
      <c r="P17" s="4259"/>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73.400000000000006</v>
      </c>
      <c r="F19" s="3948">
        <f>'数据-基础表'!I13</f>
        <v>73.400000000000006</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73.400000000000006</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73.400000000000006</v>
      </c>
      <c r="F27" s="173">
        <f>IF(SUM(F19:F26)=E8,SUM(F19:F26),"地上面积有误")</f>
        <v>73.400000000000006</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73.400000000000006</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73.400000000000006</v>
      </c>
      <c r="F31" s="3959">
        <f>F27+F30</f>
        <v>73.400000000000006</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18" activePane="bottomRight" state="frozen"/>
      <selection activeCell="C50" sqref="C50"/>
      <selection pane="topRight" activeCell="C50" sqref="C50"/>
      <selection pane="bottomLeft" activeCell="C50" sqref="C50"/>
      <selection pane="bottomRight" activeCell="B52" sqref="B5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46046</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3917</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56625</v>
      </c>
      <c r="F6" s="3443">
        <f>SUMIF(项目基本情况!C$12:I$12,C6,项目基本情况!C$15:I$15)</f>
        <v>28.98</v>
      </c>
      <c r="G6" s="3444">
        <f t="shared" ref="G6:G13" si="0">IF(ISERROR(ROUND(POWER(1+H6,D6-F6)*(POWER(1+H6,F6)-1)/(POWER(1+H6,D6)-1),4)),0,ROUND(POWER(1+H6,D6-F6)*(POWER(1+H6,F6)-1)/(POWER(1+H6,D6)-1),4))</f>
        <v>0.8821</v>
      </c>
      <c r="H6" s="3445">
        <v>0.05</v>
      </c>
      <c r="I6" s="3445">
        <v>5.5E-2</v>
      </c>
      <c r="J6" s="3446">
        <v>7.0000000000000007E-2</v>
      </c>
      <c r="K6" s="3967">
        <f>SUMIF('数据-汇总表'!C$19:C$33,A6,'数据-汇总表'!E$19:E$33)</f>
        <v>73.400000000000006</v>
      </c>
      <c r="L6" s="3968">
        <v>4500</v>
      </c>
      <c r="M6" s="3969">
        <f t="shared" ref="M6:M14" si="1">ROUND(K6*L6/10000,0)</f>
        <v>33</v>
      </c>
      <c r="N6" s="3433">
        <v>0.87</v>
      </c>
      <c r="O6" s="3969" t="str">
        <f>IF($N$5="成新度","——",ROUND(M6*N6,0))</f>
        <v>——</v>
      </c>
      <c r="P6" s="3796" t="str">
        <f>IF($N$5="成新度","——",M6-O6)</f>
        <v>——</v>
      </c>
      <c r="Q6" s="3434">
        <v>0.15</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v>4.2</v>
      </c>
      <c r="V6" s="36">
        <v>1.4999999999999999E-2</v>
      </c>
      <c r="W6" s="36">
        <v>0.1</v>
      </c>
      <c r="X6" s="712"/>
      <c r="Y6" s="37">
        <f>N6</f>
        <v>0.87</v>
      </c>
      <c r="Z6" s="3993"/>
      <c r="AA6" s="35"/>
      <c r="AB6" s="35"/>
      <c r="AC6" s="712"/>
      <c r="AD6" s="38"/>
      <c r="AE6" s="713">
        <f ca="1">IF(AN6="",0,SUMIF(INDIRECT("'"&amp;AN6&amp;"'"&amp;"!E:E"),$AE$5,INDIRECT("'"&amp;AN6&amp;"'"&amp;"!F:F")))</f>
        <v>28.98</v>
      </c>
      <c r="AF6" s="3995"/>
      <c r="AG6" s="52">
        <f>IF(AF6="",0,AE6-AF6)</f>
        <v>0</v>
      </c>
      <c r="AH6" s="3988"/>
      <c r="AI6" s="3996">
        <v>365</v>
      </c>
      <c r="AJ6" s="3995"/>
      <c r="AK6" s="39">
        <v>5.0000000000000001E-3</v>
      </c>
      <c r="AL6" s="40">
        <v>1E-3</v>
      </c>
      <c r="AM6" s="41">
        <v>0.02</v>
      </c>
      <c r="AN6" s="1261" t="s">
        <v>3918</v>
      </c>
      <c r="AO6" s="3947">
        <f ca="1">SUMIF(INDIRECT("'"&amp;AN6&amp;"'"&amp;"!A:A"),"总价",INDIRECT("'"&amp;AN6&amp;"'"&amp;"!B:B"))</f>
        <v>139.60890000000001</v>
      </c>
      <c r="AP6" s="3947">
        <f>IF(C6="住宅",K6*L6,0)</f>
        <v>0</v>
      </c>
      <c r="AQ6" s="3947">
        <f>ROUND($L$14*$N$14*S6/10000,0)</f>
        <v>0</v>
      </c>
      <c r="AR6" s="3947">
        <f>ROUND($L$14*(1-$N$14)*S6/10000,0)</f>
        <v>0</v>
      </c>
      <c r="AS6" s="3947">
        <f>ROUND(1-1/(1+H6)^F6,3)</f>
        <v>0.75700000000000001</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0.8821</v>
      </c>
      <c r="H16" s="3450">
        <f>ROUND(SUMPRODUCT(H6:H13,K6:K13)/SUMPRODUCT((H6:H13&gt;0)*(K6:K13)),3)</f>
        <v>0.05</v>
      </c>
      <c r="I16" s="3451"/>
      <c r="J16" s="3451"/>
      <c r="K16" s="3971">
        <f>SUM(K6:K15)</f>
        <v>73.400000000000006</v>
      </c>
      <c r="L16" s="3972">
        <f>ROUND(M16*10000/SUM(K6:K14),0)</f>
        <v>4496</v>
      </c>
      <c r="M16" s="3972">
        <f>SUM(M6:M14)</f>
        <v>33</v>
      </c>
      <c r="N16" s="3439">
        <f>ROUND(SUMPRODUCT(M6:M14,N6:N14)/M16,3)</f>
        <v>0.87</v>
      </c>
      <c r="O16" s="3972">
        <f>SUM(O6:O14)</f>
        <v>0</v>
      </c>
      <c r="P16" s="3972">
        <f>SUM(P6:P14)</f>
        <v>0</v>
      </c>
      <c r="Q16" s="3440">
        <f>ROUND(SUMPRODUCT(Q6:Q13,K6:K13)/SUMPRODUCT((Q6:Q13&gt;0)*(K6:K13)),2)</f>
        <v>0.15</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0.75700000000000001</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v>2018</v>
      </c>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f>1-(2026-N19)/60</f>
        <v>0.8666666666666667</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v>4.5999999999999996</v>
      </c>
      <c r="V21" s="1982"/>
      <c r="W21" s="1982"/>
      <c r="X21" s="1982"/>
      <c r="Y21" s="1982"/>
      <c r="Z21" s="1982"/>
      <c r="AA21" s="1982"/>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v>1.0900000000000001</v>
      </c>
      <c r="V22" s="1982"/>
      <c r="W22" s="1982"/>
      <c r="X22" s="1982"/>
      <c r="Y22" s="1982"/>
      <c r="Z22" s="1982"/>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f>U21/U22</f>
        <v>4.2201834862385317</v>
      </c>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f ca="1">'成本法 (元)'!C11/'成本法 (元)'!D16</f>
        <v>224.99999999999997</v>
      </c>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0.01</v>
      </c>
      <c r="C36" s="4145" t="s">
        <v>3868</v>
      </c>
      <c r="D36" s="4097"/>
      <c r="E36" s="4098"/>
      <c r="F36" s="4098"/>
      <c r="G36" s="1972"/>
      <c r="H36" s="1972"/>
      <c r="I36" s="1972">
        <f ca="1">'成本法 (元)'!C19/'成本法 (元)'!$D$18</f>
        <v>45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0</v>
      </c>
      <c r="C37" s="4096" t="s">
        <v>3866</v>
      </c>
      <c r="D37" s="4092"/>
      <c r="E37" s="4093"/>
      <c r="F37" s="4093"/>
      <c r="G37" s="1972"/>
      <c r="H37" s="1972"/>
      <c r="I37" s="1972">
        <f ca="1">'成本法 (元)'!C20/'成本法 (元)'!$D$18</f>
        <v>0</v>
      </c>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0.02</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v>7.0000000000000007E-2</v>
      </c>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v>0.03</v>
      </c>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v>0.02</v>
      </c>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v>0</v>
      </c>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v>0.03</v>
      </c>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v>5.0000000000000001E-4</v>
      </c>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8"/>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2" t="s">
        <v>2189</v>
      </c>
      <c r="B1" s="4273"/>
      <c r="C1" s="4273"/>
      <c r="D1" s="4273"/>
      <c r="E1" s="4273"/>
      <c r="F1" s="4273"/>
      <c r="G1" s="4273"/>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2" sqref="H12"/>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73.400000000000006</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46046</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204</v>
      </c>
      <c r="C5" s="1884">
        <f ca="1">ROUND(B5*10000/$B$1,0)</f>
        <v>27793</v>
      </c>
      <c r="D5" s="1884" t="e">
        <f ca="1">ROUND(B5*10000/$B$2,0)</f>
        <v>#DIV/0!</v>
      </c>
      <c r="E5" s="1993"/>
      <c r="F5" s="1994"/>
      <c r="G5" s="1994"/>
      <c r="H5" s="1994"/>
      <c r="I5" s="1994"/>
      <c r="J5" s="1994"/>
      <c r="K5" s="1994"/>
    </row>
    <row r="6" spans="1:11" ht="16.5">
      <c r="A6" s="1884" t="s">
        <v>644</v>
      </c>
      <c r="B6" s="1884">
        <f ca="1">SUM(G14:G23)</f>
        <v>204</v>
      </c>
      <c r="C6" s="1884">
        <f ca="1">ROUND(B6*10000/$B$1,0)</f>
        <v>27793</v>
      </c>
      <c r="D6" s="1884" t="e">
        <f ca="1">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f>'数据-汇总表'!E3</f>
        <v>73.400000000000006</v>
      </c>
      <c r="C14" s="3782"/>
      <c r="D14" s="3782">
        <f ca="1">结果表!G19</f>
        <v>204</v>
      </c>
      <c r="E14" s="3782">
        <f ca="1">ROUND(D14*10000/B14,0)</f>
        <v>27793</v>
      </c>
      <c r="F14" s="3782" t="e">
        <f ca="1">ROUND(D14*10000/C14,0)</f>
        <v>#DIV/0!</v>
      </c>
      <c r="G14" s="3782">
        <f ca="1">D14</f>
        <v>204</v>
      </c>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26" sqref="L26"/>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c r="D1" s="475"/>
      <c r="E1" s="475"/>
      <c r="F1" s="1289" t="s">
        <v>1244</v>
      </c>
      <c r="G1" s="1134"/>
      <c r="H1" s="1289" t="str">
        <f>IF(G1="现房","——","估价对象范围")</f>
        <v>估价对象范围</v>
      </c>
      <c r="I1" s="1290"/>
    </row>
    <row r="2" spans="1:12" ht="21.75" customHeight="1" thickBot="1">
      <c r="A2" s="4317" t="str">
        <f>项目基本情况!S2</f>
        <v>北京市房地产</v>
      </c>
      <c r="B2" s="4318"/>
      <c r="C2" s="4318"/>
      <c r="D2" s="4318"/>
      <c r="E2" s="4318"/>
      <c r="F2" s="4318"/>
      <c r="G2" s="4318"/>
      <c r="H2" s="4318"/>
      <c r="I2" s="4319"/>
    </row>
    <row r="3" spans="1:12" ht="12.75">
      <c r="A3" s="4321" t="s">
        <v>1245</v>
      </c>
      <c r="B3" s="4322"/>
      <c r="C3" s="4322"/>
      <c r="D3" s="4322"/>
      <c r="E3" s="4322"/>
      <c r="F3" s="4322"/>
      <c r="G3" s="4322"/>
      <c r="H3" s="4322"/>
      <c r="I3" s="4322"/>
    </row>
    <row r="4" spans="1:12" ht="14.25">
      <c r="A4" s="1292" t="s">
        <v>1246</v>
      </c>
      <c r="B4" s="1293" t="s">
        <v>1247</v>
      </c>
      <c r="C4" s="3703" t="s">
        <v>3926</v>
      </c>
      <c r="D4" s="3703" t="s">
        <v>3918</v>
      </c>
      <c r="E4" s="4323" t="s">
        <v>1248</v>
      </c>
      <c r="F4" s="4324"/>
      <c r="G4" s="4324"/>
      <c r="H4" s="4324"/>
      <c r="I4" s="43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10" t="s">
        <v>1249</v>
      </c>
      <c r="B5" s="4300">
        <v>25</v>
      </c>
      <c r="C5" s="4276"/>
      <c r="D5" s="4320"/>
      <c r="E5" s="49" t="s">
        <v>1250</v>
      </c>
      <c r="F5" s="1294"/>
      <c r="G5" s="1294"/>
      <c r="H5" s="1294"/>
      <c r="I5" s="961"/>
    </row>
    <row r="6" spans="1:12" ht="12.75">
      <c r="A6" s="4310"/>
      <c r="B6" s="4300"/>
      <c r="C6" s="4277"/>
      <c r="D6" s="4320"/>
      <c r="E6" s="49" t="s">
        <v>1251</v>
      </c>
      <c r="F6" s="1294"/>
      <c r="G6" s="1294"/>
      <c r="H6" s="1294"/>
      <c r="I6" s="961"/>
    </row>
    <row r="7" spans="1:12" ht="12.75">
      <c r="A7" s="4310"/>
      <c r="B7" s="4300"/>
      <c r="C7" s="4278"/>
      <c r="D7" s="4320"/>
      <c r="E7" s="49" t="s">
        <v>1252</v>
      </c>
      <c r="F7" s="1294"/>
      <c r="G7" s="1294"/>
      <c r="H7" s="1294"/>
      <c r="I7" s="961"/>
    </row>
    <row r="8" spans="1:12" ht="12.75">
      <c r="A8" s="4310" t="s">
        <v>1253</v>
      </c>
      <c r="B8" s="4300">
        <v>15</v>
      </c>
      <c r="C8" s="4276"/>
      <c r="D8" s="4320"/>
      <c r="E8" s="49" t="s">
        <v>1254</v>
      </c>
      <c r="F8" s="1294"/>
      <c r="G8" s="1294"/>
      <c r="H8" s="1294"/>
      <c r="I8" s="961"/>
    </row>
    <row r="9" spans="1:12" ht="12.75">
      <c r="A9" s="4310"/>
      <c r="B9" s="4300"/>
      <c r="C9" s="4278"/>
      <c r="D9" s="4320"/>
      <c r="E9" s="49" t="s">
        <v>1255</v>
      </c>
      <c r="F9" s="1294"/>
      <c r="G9" s="1294"/>
      <c r="H9" s="1294"/>
      <c r="I9" s="961"/>
    </row>
    <row r="10" spans="1:12" ht="12.75">
      <c r="A10" s="4310" t="s">
        <v>1256</v>
      </c>
      <c r="B10" s="4300">
        <v>15</v>
      </c>
      <c r="C10" s="4276"/>
      <c r="D10" s="4320"/>
      <c r="E10" s="49" t="s">
        <v>1257</v>
      </c>
      <c r="F10" s="1294"/>
      <c r="G10" s="1294"/>
      <c r="H10" s="1294"/>
      <c r="I10" s="961"/>
    </row>
    <row r="11" spans="1:12" ht="12.75">
      <c r="A11" s="4310"/>
      <c r="B11" s="4300"/>
      <c r="C11" s="4278"/>
      <c r="D11" s="4320"/>
      <c r="E11" s="49" t="s">
        <v>1258</v>
      </c>
      <c r="F11" s="1294"/>
      <c r="G11" s="1294"/>
      <c r="H11" s="1294"/>
      <c r="I11" s="961"/>
    </row>
    <row r="12" spans="1:12" ht="12.75">
      <c r="A12" s="4310" t="s">
        <v>1259</v>
      </c>
      <c r="B12" s="4300">
        <v>15</v>
      </c>
      <c r="C12" s="4276"/>
      <c r="D12" s="4320"/>
      <c r="E12" s="49" t="s">
        <v>1260</v>
      </c>
      <c r="F12" s="1294"/>
      <c r="G12" s="1294"/>
      <c r="H12" s="1294"/>
      <c r="I12" s="961"/>
    </row>
    <row r="13" spans="1:12" ht="12.75">
      <c r="A13" s="4310"/>
      <c r="B13" s="4300"/>
      <c r="C13" s="4278"/>
      <c r="D13" s="4320"/>
      <c r="E13" s="49" t="s">
        <v>1261</v>
      </c>
      <c r="F13" s="1294"/>
      <c r="G13" s="1294"/>
      <c r="H13" s="1294"/>
      <c r="I13" s="961"/>
    </row>
    <row r="14" spans="1:12" ht="12.75">
      <c r="A14" s="4310" t="s">
        <v>1262</v>
      </c>
      <c r="B14" s="4300">
        <v>30</v>
      </c>
      <c r="C14" s="4276">
        <v>6</v>
      </c>
      <c r="D14" s="4320">
        <v>4</v>
      </c>
      <c r="E14" s="49" t="s">
        <v>1263</v>
      </c>
      <c r="F14" s="1294"/>
      <c r="G14" s="1294"/>
      <c r="H14" s="1294"/>
      <c r="I14" s="961"/>
    </row>
    <row r="15" spans="1:12" ht="12.75">
      <c r="A15" s="4310"/>
      <c r="B15" s="4300"/>
      <c r="C15" s="4277"/>
      <c r="D15" s="4320"/>
      <c r="E15" s="49" t="s">
        <v>1264</v>
      </c>
      <c r="F15" s="1294"/>
      <c r="G15" s="1294"/>
      <c r="H15" s="1294"/>
      <c r="I15" s="961"/>
    </row>
    <row r="16" spans="1:12" ht="12.75">
      <c r="A16" s="4310"/>
      <c r="B16" s="4300"/>
      <c r="C16" s="4278"/>
      <c r="D16" s="4320"/>
      <c r="E16" s="49" t="s">
        <v>1265</v>
      </c>
      <c r="F16" s="1294"/>
      <c r="G16" s="1294"/>
      <c r="H16" s="1294"/>
      <c r="I16" s="961"/>
    </row>
    <row r="17" spans="1:36" ht="15">
      <c r="A17" s="1295" t="s">
        <v>1266</v>
      </c>
      <c r="B17" s="3702"/>
      <c r="C17" s="3787">
        <f>SUM(C5:C16)</f>
        <v>6</v>
      </c>
      <c r="D17" s="3787">
        <f>SUM(D5:D16)</f>
        <v>4</v>
      </c>
      <c r="E17" s="47"/>
      <c r="F17" s="47"/>
      <c r="G17" s="47"/>
      <c r="H17" s="47"/>
      <c r="I17" s="47"/>
      <c r="K17" s="187"/>
      <c r="L17" s="187" t="s">
        <v>1267</v>
      </c>
      <c r="M17" s="187" t="s">
        <v>1268</v>
      </c>
    </row>
    <row r="18" spans="1:36" ht="31.9" customHeight="1" thickBot="1">
      <c r="A18" s="1296" t="s">
        <v>1269</v>
      </c>
      <c r="B18" s="1219"/>
      <c r="C18" s="3788">
        <f>ROUND(C17/SUM(C17:D17),2)</f>
        <v>0.6</v>
      </c>
      <c r="D18" s="3788">
        <f>1-C18</f>
        <v>0.4</v>
      </c>
      <c r="E18" s="4285" t="s">
        <v>2043</v>
      </c>
      <c r="F18" s="4286"/>
      <c r="G18" s="4286"/>
      <c r="H18" s="4286"/>
      <c r="I18" s="4286"/>
      <c r="K18" s="187" t="s">
        <v>1270</v>
      </c>
      <c r="L18" s="2752">
        <f>IF(C1="",'数据-汇总表'!E3,SUMIF(项目类型,C1,'数据-汇总表'!E17:E26)+SUMIF(项目类型,C1,'数据-汇总表'!I17:I26))</f>
        <v>73.400000000000006</v>
      </c>
      <c r="M18" s="2752">
        <f>IF(C1="",'数据-汇总表'!E3,SUMIF(项目类型,C1,'数据-汇总表'!E17:E26))</f>
        <v>73.400000000000006</v>
      </c>
    </row>
    <row r="19" spans="1:36" ht="15">
      <c r="A19" s="1297" t="s">
        <v>1271</v>
      </c>
      <c r="B19" s="1298" t="s">
        <v>1272</v>
      </c>
      <c r="C19" s="3789">
        <f ca="1">SUMIF(INDIRECT("'"&amp;C4&amp;"'"&amp;"!A:A"),结果表!B19,INDIRECT("'"&amp;C4&amp;"'"&amp;"!B:B"))</f>
        <v>246.63130000000001</v>
      </c>
      <c r="D19" s="3790">
        <f ca="1">SUMIF(INDIRECT("'"&amp;D4&amp;"'"&amp;"!A:A"),结果表!B19,INDIRECT("'"&amp;D4&amp;"'"&amp;"!B:B"))</f>
        <v>139.60890000000001</v>
      </c>
      <c r="E19" s="1297" t="s">
        <v>1273</v>
      </c>
      <c r="F19" s="1298" t="s">
        <v>1272</v>
      </c>
      <c r="G19" s="3795">
        <f ca="1">ROUND(C19*$C$18+D19*$D$18,0)</f>
        <v>204</v>
      </c>
      <c r="H19" s="1299" t="s">
        <v>1274</v>
      </c>
      <c r="I19" s="47">
        <f ca="1">ROUND(C19*$C$18+D19*$D$18,4)</f>
        <v>203.82230000000001</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33601</v>
      </c>
      <c r="D20" s="3792">
        <f ca="1">SUMIF(INDIRECT("'"&amp;D4&amp;"'"&amp;"!A:A"),结果表!B20,INDIRECT("'"&amp;D4&amp;"'"&amp;"!B:B"))</f>
        <v>19020</v>
      </c>
      <c r="E20" s="1300"/>
      <c r="F20" s="25" t="s">
        <v>1276</v>
      </c>
      <c r="G20" s="3796">
        <f ca="1">ROUND(C20*$C$18+D20*$D$18,0)</f>
        <v>27769</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f ca="1">ROUND(G20*L18,0)</f>
        <v>2038245</v>
      </c>
    </row>
    <row r="22" spans="1:36" ht="15" thickBot="1">
      <c r="A22" s="1237" t="s">
        <v>1279</v>
      </c>
      <c r="B22" s="1301"/>
      <c r="C22" s="2668"/>
      <c r="D22" s="4059">
        <f ca="1">IF(C19&lt;D19,D19/C19-1,C19/D19-1)</f>
        <v>0.76658723047026367</v>
      </c>
      <c r="E22" s="3526"/>
      <c r="F22" s="3528"/>
      <c r="G22" s="3797" t="e">
        <f ca="1">ROUND(G19/('数据-汇总表'!D3/666.67),0)</f>
        <v>#DIV/0!</v>
      </c>
      <c r="H22" s="3527" t="s">
        <v>3640</v>
      </c>
      <c r="I22" s="47" t="str">
        <f ca="1">NUMBERSTRING(INT(I21),2)&amp;"元整"</f>
        <v>贰佰零叁万捌仟贰佰肆拾伍元整</v>
      </c>
    </row>
    <row r="23" spans="1:36" ht="13.5" thickBot="1">
      <c r="A23" s="475"/>
      <c r="B23" s="475"/>
      <c r="C23" s="475"/>
      <c r="D23" s="475"/>
      <c r="E23" s="47"/>
      <c r="F23" s="47"/>
      <c r="G23" s="47"/>
      <c r="H23" s="47"/>
      <c r="I23" s="47"/>
    </row>
    <row r="24" spans="1:36" ht="14.25">
      <c r="A24" s="4307" t="s">
        <v>1280</v>
      </c>
      <c r="B24" s="1298" t="s">
        <v>1272</v>
      </c>
      <c r="C24" s="3795">
        <f>IF(B30=0,0,D30)</f>
        <v>0</v>
      </c>
      <c r="D24" s="3798"/>
      <c r="E24" s="47"/>
      <c r="F24" s="47"/>
      <c r="G24" s="47"/>
      <c r="H24" s="47"/>
      <c r="I24" s="47"/>
    </row>
    <row r="25" spans="1:36" ht="14.25">
      <c r="A25" s="4308"/>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27769</v>
      </c>
      <c r="D32" s="1304" t="s">
        <v>3930</v>
      </c>
      <c r="E32" s="47"/>
      <c r="F32" s="47"/>
      <c r="G32" s="47"/>
      <c r="H32" s="47"/>
      <c r="I32" s="47"/>
    </row>
    <row r="33" spans="1:19" ht="15">
      <c r="A33" s="544" t="s">
        <v>1287</v>
      </c>
      <c r="B33" s="49"/>
      <c r="C33" s="1305" t="s">
        <v>3931</v>
      </c>
      <c r="D33" s="1306" t="s">
        <v>3918</v>
      </c>
      <c r="E33" s="1307" t="s">
        <v>1288</v>
      </c>
      <c r="F33" s="1308" t="str">
        <f>IF(D32="楼面单价","取值（单价）","取值（总价）")</f>
        <v>取值（单价）</v>
      </c>
      <c r="G33" s="47"/>
      <c r="H33" s="47"/>
      <c r="I33" s="47"/>
    </row>
    <row r="34" spans="1:19" ht="15">
      <c r="A34" s="1309"/>
      <c r="B34" s="1310" t="s">
        <v>1289</v>
      </c>
      <c r="C34" s="3804">
        <f ca="1">IF(C33="自定义",F34,C32-C35)</f>
        <v>26186</v>
      </c>
      <c r="D34" s="4060">
        <f ca="1">IF(C33="自定义",ROUND(C34/C32,3),IF(C33="收益比率",SUMIF(INDIRECT("'"&amp;D33&amp;"'"&amp;"!b:b"),"土地收益比率",INDIRECT("'"&amp;D33&amp;"'"&amp;"!c:c")),SUMIF(INDIRECT("'"&amp;D33&amp;"'"&amp;"!b:b"),"土地成本比率",INDIRECT("'"&amp;D33&amp;"'"&amp;"!c:c"))))</f>
        <v>0.94299999999999995</v>
      </c>
      <c r="E34" s="1311" t="s">
        <v>1290</v>
      </c>
      <c r="F34" s="3806"/>
      <c r="G34" s="47"/>
      <c r="H34" s="47"/>
      <c r="I34" s="47"/>
    </row>
    <row r="35" spans="1:19" ht="15.75" thickBot="1">
      <c r="A35" s="1312"/>
      <c r="B35" s="1313" t="s">
        <v>1291</v>
      </c>
      <c r="C35" s="3805">
        <f ca="1">IF(C33="自定义",F35,ROUND(C32*D35,0))</f>
        <v>1583</v>
      </c>
      <c r="D35" s="4061">
        <f ca="1">IF(C33="自定义",ROUND(C35/C32,3),IF(C33="收益比率",SUMIF(INDIRECT("'"&amp;D33&amp;"'"&amp;"!b:b"),"建筑物收益比率",INDIRECT("'"&amp;D33&amp;"'"&amp;"!c:c")),SUMIF(INDIRECT("'"&amp;D33&amp;"'"&amp;"!b:b"),"建筑物成本比率",INDIRECT("'"&amp;D33&amp;"'"&amp;"!c:c"))))</f>
        <v>5.7000000000000002E-2</v>
      </c>
      <c r="E35" s="1314" t="s">
        <v>1292</v>
      </c>
      <c r="F35" s="3807"/>
      <c r="G35" s="47"/>
      <c r="H35" s="47"/>
      <c r="I35" s="47"/>
    </row>
    <row r="36" spans="1:19" ht="15.75" thickBot="1">
      <c r="A36" s="4313" t="s">
        <v>1293</v>
      </c>
      <c r="B36" s="1315" t="s">
        <v>1294</v>
      </c>
      <c r="C36" s="3808"/>
      <c r="D36" s="1316"/>
      <c r="E36" s="1240"/>
      <c r="F36" s="1317"/>
      <c r="G36" s="47"/>
      <c r="H36" s="47"/>
      <c r="I36" s="47"/>
    </row>
    <row r="37" spans="1:19" ht="15.75" thickBot="1">
      <c r="A37" s="4314"/>
      <c r="B37" s="1228" t="s">
        <v>1295</v>
      </c>
      <c r="C37" s="3809"/>
      <c r="D37" s="796"/>
      <c r="E37" s="796"/>
      <c r="F37" s="1317"/>
      <c r="G37" s="47"/>
      <c r="H37" s="47"/>
      <c r="I37" s="47"/>
    </row>
    <row r="38" spans="1:19" ht="15.75" thickBot="1">
      <c r="A38" s="4315"/>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04" t="s">
        <v>1307</v>
      </c>
      <c r="B45" s="4305"/>
      <c r="C45" s="4306"/>
      <c r="D45" s="56">
        <f ca="1">ROUND(H101*F45,0)</f>
        <v>204</v>
      </c>
      <c r="E45" s="57" t="s">
        <v>1308</v>
      </c>
      <c r="F45" s="58">
        <v>1</v>
      </c>
      <c r="G45" s="59" t="s">
        <v>1309</v>
      </c>
      <c r="H45" s="47"/>
      <c r="I45" s="47"/>
      <c r="J45" s="4375" t="s">
        <v>1310</v>
      </c>
      <c r="K45" s="4375"/>
      <c r="L45" s="4375"/>
      <c r="M45" s="4375"/>
      <c r="N45" s="4375"/>
      <c r="O45" s="4375"/>
    </row>
    <row r="46" spans="1:19" ht="14.25" customHeight="1">
      <c r="A46" s="4301" t="s">
        <v>1311</v>
      </c>
      <c r="B46" s="4302"/>
      <c r="C46" s="4302"/>
      <c r="D46" s="4302"/>
      <c r="E46" s="4302"/>
      <c r="F46" s="4302"/>
      <c r="G46" s="4303"/>
      <c r="H46" s="1331"/>
      <c r="I46" s="60"/>
      <c r="J46" s="1892">
        <v>1</v>
      </c>
      <c r="K46" s="4352" t="s">
        <v>1312</v>
      </c>
      <c r="L46" s="4352"/>
      <c r="M46" s="4376"/>
      <c r="N46" s="4376"/>
      <c r="O46" s="4376"/>
    </row>
    <row r="47" spans="1:19" ht="12" customHeight="1">
      <c r="A47" s="61" t="s">
        <v>1313</v>
      </c>
      <c r="B47" s="62"/>
      <c r="C47" s="63"/>
      <c r="D47" s="756" t="s">
        <v>1314</v>
      </c>
      <c r="E47" s="187" t="s">
        <v>1315</v>
      </c>
      <c r="F47" s="64" t="s">
        <v>1316</v>
      </c>
      <c r="G47" s="1907" t="s">
        <v>1317</v>
      </c>
      <c r="H47" s="1908"/>
      <c r="I47" s="60"/>
      <c r="J47" s="1892">
        <v>2</v>
      </c>
      <c r="K47" s="4352" t="s">
        <v>1318</v>
      </c>
      <c r="L47" s="4352"/>
      <c r="M47" s="4377">
        <f>'数据-取费表'!B2</f>
        <v>46046</v>
      </c>
      <c r="N47" s="4377"/>
      <c r="O47" s="4377"/>
    </row>
    <row r="48" spans="1:19" ht="25.5">
      <c r="A48" s="4316" t="s">
        <v>1319</v>
      </c>
      <c r="B48" s="4275"/>
      <c r="C48" s="4275"/>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352" t="s">
        <v>1321</v>
      </c>
      <c r="L48" s="4352"/>
      <c r="M48" s="4378">
        <f ca="1">H101</f>
        <v>203.8245</v>
      </c>
      <c r="N48" s="4378"/>
      <c r="O48" s="4378"/>
      <c r="R48" s="3552" t="s">
        <v>3657</v>
      </c>
      <c r="S48" s="3553"/>
    </row>
    <row r="49" spans="1:35" ht="25.5" customHeight="1">
      <c r="A49" s="3696" t="s">
        <v>1322</v>
      </c>
      <c r="B49" s="4299" t="s">
        <v>1323</v>
      </c>
      <c r="C49" s="4299"/>
      <c r="D49" s="3816">
        <v>0</v>
      </c>
      <c r="E49" s="208" t="s">
        <v>1324</v>
      </c>
      <c r="F49" s="3690" t="s">
        <v>26</v>
      </c>
      <c r="G49" s="4359"/>
      <c r="H49" s="3547" t="s">
        <v>2046</v>
      </c>
      <c r="I49" s="3548"/>
      <c r="J49" s="1892">
        <v>4</v>
      </c>
      <c r="K49" s="4352" t="str">
        <f>IF(项目基本情况!E8="房地产抵押价值","房地产抵押价值","抵押担保权已注销时的房地产抵押价值")</f>
        <v>房地产抵押价值</v>
      </c>
      <c r="L49" s="4352"/>
      <c r="M49" s="4378">
        <f ca="1">IF(项目基本情况!E8="房地产抵押价值",H107,H109)</f>
        <v>203.8245</v>
      </c>
      <c r="N49" s="4378"/>
      <c r="O49" s="4378"/>
      <c r="R49" s="3554" t="s">
        <v>3658</v>
      </c>
      <c r="S49" s="3552" t="s">
        <v>3659</v>
      </c>
    </row>
    <row r="50" spans="1:35" ht="25.5" customHeight="1">
      <c r="A50" s="3697"/>
      <c r="B50" s="4299" t="s">
        <v>1325</v>
      </c>
      <c r="C50" s="4299"/>
      <c r="D50" s="3817"/>
      <c r="E50" s="215"/>
      <c r="F50" s="3690"/>
      <c r="G50" s="4360"/>
      <c r="H50" s="1339" t="s">
        <v>2047</v>
      </c>
      <c r="I50" s="3548"/>
      <c r="J50" s="4375" t="s">
        <v>1326</v>
      </c>
      <c r="K50" s="4375"/>
      <c r="L50" s="4375"/>
      <c r="M50" s="4375"/>
      <c r="N50" s="4375"/>
      <c r="O50" s="4375"/>
      <c r="R50" s="3554" t="s">
        <v>3660</v>
      </c>
      <c r="S50" s="3552" t="s">
        <v>3661</v>
      </c>
    </row>
    <row r="51" spans="1:35" ht="20.45" customHeight="1">
      <c r="A51" s="3698"/>
      <c r="B51" s="4299" t="s">
        <v>1327</v>
      </c>
      <c r="C51" s="4299"/>
      <c r="D51" s="741"/>
      <c r="E51" s="211"/>
      <c r="F51" s="3690"/>
      <c r="G51" s="4361"/>
      <c r="H51" s="1339" t="s">
        <v>2048</v>
      </c>
      <c r="I51" s="3548"/>
      <c r="J51" s="1893" t="s">
        <v>1328</v>
      </c>
      <c r="K51" s="4352" t="s">
        <v>1329</v>
      </c>
      <c r="L51" s="4352"/>
      <c r="M51" s="1893" t="s">
        <v>1330</v>
      </c>
      <c r="N51" s="1893" t="s">
        <v>1331</v>
      </c>
      <c r="O51" s="1893" t="s">
        <v>1332</v>
      </c>
      <c r="R51" s="3554" t="s">
        <v>3662</v>
      </c>
      <c r="S51" s="3553" t="s">
        <v>3663</v>
      </c>
    </row>
    <row r="52" spans="1:35" ht="24" customHeight="1">
      <c r="A52" s="1744" t="s">
        <v>1333</v>
      </c>
      <c r="B52" s="4299" t="s">
        <v>1334</v>
      </c>
      <c r="C52" s="4299"/>
      <c r="D52" s="741">
        <f ca="1">ROUND(D45*F52/(1+F52),0)</f>
        <v>6</v>
      </c>
      <c r="E52" s="936" t="s">
        <v>1335</v>
      </c>
      <c r="F52" s="1911">
        <v>0.03</v>
      </c>
      <c r="G52" s="931" t="s">
        <v>3705</v>
      </c>
      <c r="H52" s="1905"/>
      <c r="I52" s="1332"/>
      <c r="J52" s="1892">
        <v>1</v>
      </c>
      <c r="K52" s="4353" t="s">
        <v>1336</v>
      </c>
      <c r="L52" s="4353"/>
      <c r="M52" s="3819">
        <f>D48</f>
        <v>0</v>
      </c>
      <c r="N52" s="1892" t="str">
        <f>E48</f>
        <v>销售额×税（费）率</v>
      </c>
      <c r="O52" s="3726">
        <f>F48</f>
        <v>0</v>
      </c>
      <c r="R52" s="3552" t="s">
        <v>3664</v>
      </c>
      <c r="S52" s="3552" t="s">
        <v>3668</v>
      </c>
    </row>
    <row r="53" spans="1:35" ht="12" customHeight="1">
      <c r="A53" s="1744" t="s">
        <v>1337</v>
      </c>
      <c r="B53" s="4311" t="s">
        <v>2194</v>
      </c>
      <c r="C53" s="4312"/>
      <c r="D53" s="741">
        <f ca="1">IF(G53="2016年5月1日之前项目",ROUND(D45*F53/(1+F53),0),H63)</f>
        <v>17</v>
      </c>
      <c r="E53" s="936" t="str">
        <f>IF(G53="2016年5月1日之前项目","全额计税","进销项计算")</f>
        <v>进销项计算</v>
      </c>
      <c r="F53" s="1911">
        <f>IF(G53="2016年5月1日之前项目",5%,9%)</f>
        <v>0.09</v>
      </c>
      <c r="G53" s="3780"/>
      <c r="H53" s="1905"/>
      <c r="I53" s="1332"/>
      <c r="J53" s="1892">
        <v>2</v>
      </c>
      <c r="K53" s="4353" t="s">
        <v>1338</v>
      </c>
      <c r="L53" s="4353"/>
      <c r="M53" s="3819">
        <f t="shared" ref="M53:O54" ca="1" si="0">D55</f>
        <v>0</v>
      </c>
      <c r="N53" s="1892" t="str">
        <f t="shared" si="0"/>
        <v>销售额×税（费）率</v>
      </c>
      <c r="O53" s="3726" t="str">
        <f t="shared" si="0"/>
        <v>免征</v>
      </c>
      <c r="R53" s="3552" t="s">
        <v>3665</v>
      </c>
      <c r="S53" s="3553" t="s">
        <v>3672</v>
      </c>
    </row>
    <row r="54" spans="1:35" ht="12" customHeight="1">
      <c r="A54" s="1744" t="s">
        <v>1339</v>
      </c>
      <c r="B54" s="4311" t="s">
        <v>2195</v>
      </c>
      <c r="C54" s="4312"/>
      <c r="D54" s="741">
        <f ca="1">IF(G54="2016年5月1日之前项目",C68,H63)</f>
        <v>17</v>
      </c>
      <c r="E54" s="3710" t="str">
        <f>IF(G54="2016年5月1日之前项目","差额计税","进销项计算")</f>
        <v>进销项计算</v>
      </c>
      <c r="F54" s="1911">
        <f>IF(G54="2016年5月1日之前项目",5%,9%)</f>
        <v>0.09</v>
      </c>
      <c r="G54" s="3780"/>
      <c r="H54" s="1913"/>
      <c r="I54" s="1332"/>
      <c r="J54" s="1892">
        <v>3</v>
      </c>
      <c r="K54" s="4353" t="s">
        <v>1340</v>
      </c>
      <c r="L54" s="4353"/>
      <c r="M54" s="3819" t="e">
        <f t="shared" ca="1" si="0"/>
        <v>#VALUE!</v>
      </c>
      <c r="N54" s="1892" t="str">
        <f t="shared" si="0"/>
        <v>增值额×税（费）率</v>
      </c>
      <c r="O54" s="3727" t="str">
        <f t="shared" si="0"/>
        <v>免征</v>
      </c>
      <c r="P54" s="47"/>
      <c r="R54" s="3554" t="s">
        <v>3666</v>
      </c>
      <c r="S54" s="3553" t="s">
        <v>3669</v>
      </c>
    </row>
    <row r="55" spans="1:35" ht="24" customHeight="1">
      <c r="A55" s="4274" t="s">
        <v>1341</v>
      </c>
      <c r="B55" s="4275"/>
      <c r="C55" s="4275"/>
      <c r="D55" s="3815">
        <f ca="1">IF(H55="个人住宅",0,ROUND(D45*I55,0))</f>
        <v>0</v>
      </c>
      <c r="E55" s="936" t="s">
        <v>1342</v>
      </c>
      <c r="F55" s="1911" t="str">
        <f>IF(H55="正常",I55,"免征")</f>
        <v>免征</v>
      </c>
      <c r="G55" s="1912"/>
      <c r="H55" s="1910"/>
      <c r="I55" s="65">
        <f>'数据-取费表'!B50</f>
        <v>5.0000000000000001E-4</v>
      </c>
      <c r="J55" s="1892">
        <f>IF(H59="非个人房产","",4)</f>
        <v>4</v>
      </c>
      <c r="K55" s="4353" t="str">
        <f>IF(H59="非个人房产","——","个人所得税")</f>
        <v>个人所得税</v>
      </c>
      <c r="L55" s="4353"/>
      <c r="M55" s="3820">
        <f ca="1">D59</f>
        <v>2</v>
      </c>
      <c r="N55" s="1515" t="str">
        <f>E59</f>
        <v>差额计税</v>
      </c>
      <c r="O55" s="3728">
        <f>F59</f>
        <v>0.01</v>
      </c>
      <c r="R55" s="3554" t="s">
        <v>3667</v>
      </c>
      <c r="S55" s="3553" t="s">
        <v>3670</v>
      </c>
    </row>
    <row r="56" spans="1:35" ht="24.75">
      <c r="A56" s="4274" t="s">
        <v>1343</v>
      </c>
      <c r="B56" s="4275"/>
      <c r="C56" s="4275"/>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380" t="str">
        <f>IF(项目基本情况!K6="上海银行","其他处置费用","")</f>
        <v/>
      </c>
      <c r="L56" s="4381"/>
      <c r="M56" s="3819" t="str">
        <f>IF(项目基本情况!K6="上海银行",M69,"")</f>
        <v/>
      </c>
      <c r="N56" s="4380" t="str">
        <f>IF(项目基本情况!K6="上海银行","包含处置中涉及的律师、诉讼、拍卖、评估等费用","")</f>
        <v/>
      </c>
      <c r="O56" s="4384"/>
      <c r="R56" s="3553"/>
      <c r="S56" s="3553" t="s">
        <v>3671</v>
      </c>
    </row>
    <row r="57" spans="1:35" ht="12.75">
      <c r="A57" s="1744" t="s">
        <v>1322</v>
      </c>
      <c r="B57" s="4311" t="s">
        <v>1346</v>
      </c>
      <c r="C57" s="4312"/>
      <c r="D57" s="3816">
        <v>0</v>
      </c>
      <c r="E57" s="208" t="s">
        <v>1324</v>
      </c>
      <c r="F57" s="187"/>
      <c r="G57" s="1912"/>
      <c r="H57" s="1916"/>
      <c r="I57" s="1333"/>
      <c r="J57" s="4353">
        <f>IF(AND(J55="",J56=""),4,IF(项目基本情况!K6="上海银行",结果表!J56+1,结果表!J55+1))</f>
        <v>5</v>
      </c>
      <c r="K57" s="4353" t="s">
        <v>1347</v>
      </c>
      <c r="L57" s="1894" t="s">
        <v>1348</v>
      </c>
      <c r="M57" s="1895"/>
      <c r="N57" s="3821">
        <f ca="1">SUMIF(M52:M56,"&lt;9e307")</f>
        <v>2</v>
      </c>
      <c r="O57" s="1896"/>
      <c r="P57" s="1996">
        <f ca="1">N57/M49</f>
        <v>9.8123630868713028E-3</v>
      </c>
      <c r="R57" s="4290" t="s">
        <v>3717</v>
      </c>
      <c r="S57" s="4291"/>
    </row>
    <row r="58" spans="1:35" ht="24.75">
      <c r="A58" s="1744" t="s">
        <v>1333</v>
      </c>
      <c r="B58" s="4311" t="s">
        <v>1349</v>
      </c>
      <c r="C58" s="4299"/>
      <c r="D58" s="3815">
        <f ca="1">IF(H58="转让取得",C81,C97)</f>
        <v>91</v>
      </c>
      <c r="E58" s="936" t="s">
        <v>1344</v>
      </c>
      <c r="F58" s="187" t="s">
        <v>26</v>
      </c>
      <c r="G58" s="1912"/>
      <c r="H58" s="1915"/>
      <c r="I58" s="1333"/>
      <c r="J58" s="4353"/>
      <c r="K58" s="4353"/>
      <c r="L58" s="1894" t="s">
        <v>1350</v>
      </c>
      <c r="M58" s="1897"/>
      <c r="N58" s="1898" t="str">
        <f ca="1">NUMBERSTRING(INT(N57*10000),2)&amp;"元整"</f>
        <v>贰万元整</v>
      </c>
      <c r="O58" s="1899"/>
      <c r="R58" s="4292"/>
      <c r="S58" s="4293"/>
    </row>
    <row r="59" spans="1:35" ht="24.75" thickBot="1">
      <c r="A59" s="4357" t="s">
        <v>1351</v>
      </c>
      <c r="B59" s="4358"/>
      <c r="C59" s="4358"/>
      <c r="D59" s="3818">
        <f ca="1">IF(H59="非个人房产","——",IF(H59="个人住宅（满五唯一有凭证）",0,IF(H59="个人其他（无凭证）",ROUND(D45/(1+'数据-取费表'!C43)*F59,0),ROUND(C67*F59,0))))</f>
        <v>2</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55">
        <f>J57+1</f>
        <v>6</v>
      </c>
      <c r="K59" s="4353" t="s">
        <v>1352</v>
      </c>
      <c r="L59" s="1892" t="s">
        <v>1348</v>
      </c>
      <c r="M59" s="1900"/>
      <c r="N59" s="2669">
        <f ca="1">M49-N57</f>
        <v>201.8245</v>
      </c>
      <c r="O59" s="1901"/>
      <c r="R59" s="3552" t="s">
        <v>3673</v>
      </c>
      <c r="S59" s="3552" t="s">
        <v>3674</v>
      </c>
    </row>
    <row r="60" spans="1:35" ht="12" customHeight="1" thickBot="1">
      <c r="A60" s="1334"/>
      <c r="B60" s="475"/>
      <c r="C60" s="475"/>
      <c r="D60" s="475"/>
      <c r="E60" s="1147"/>
      <c r="F60" s="1333"/>
      <c r="G60" s="1333"/>
      <c r="H60" s="60"/>
      <c r="I60" s="47"/>
      <c r="J60" s="4356"/>
      <c r="K60" s="4353"/>
      <c r="L60" s="1894" t="s">
        <v>1350</v>
      </c>
      <c r="M60" s="1897"/>
      <c r="N60" s="1898" t="str">
        <f ca="1">NUMBERSTRING(INT(N59*10000),2)&amp;"元整"</f>
        <v>贰佰零壹万捌仟贰佰肆拾伍元整</v>
      </c>
      <c r="O60" s="1899"/>
      <c r="R60" s="3552" t="s">
        <v>3675</v>
      </c>
      <c r="S60" s="3552" t="s">
        <v>3716</v>
      </c>
    </row>
    <row r="61" spans="1:35" ht="14.25" thickBot="1">
      <c r="A61" s="4297" t="s">
        <v>3714</v>
      </c>
      <c r="B61" s="4298"/>
      <c r="C61" s="4298"/>
      <c r="D61" s="4298"/>
      <c r="E61" s="3717"/>
      <c r="F61" s="4287" t="s">
        <v>3715</v>
      </c>
      <c r="G61" s="4288"/>
      <c r="H61" s="4288"/>
      <c r="I61" s="4289"/>
      <c r="J61" s="3699">
        <f>J59+1</f>
        <v>7</v>
      </c>
      <c r="K61" s="4353" t="s">
        <v>1353</v>
      </c>
      <c r="L61" s="4353"/>
      <c r="M61" s="1902"/>
      <c r="N61" s="2670">
        <f ca="1">ROUND(N59*10000/'数据-汇总表'!E3,0)</f>
        <v>27497</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204</v>
      </c>
      <c r="D63" s="3712"/>
      <c r="E63" s="4294" t="s">
        <v>3719</v>
      </c>
      <c r="F63" s="1744">
        <v>1</v>
      </c>
      <c r="G63" s="2835" t="s">
        <v>3706</v>
      </c>
      <c r="H63" s="3317">
        <f ca="1">H64-H66</f>
        <v>17</v>
      </c>
      <c r="I63" s="2768"/>
      <c r="J63" s="4382" t="s">
        <v>1357</v>
      </c>
      <c r="K63" s="925" t="s">
        <v>1358</v>
      </c>
      <c r="L63" s="3841">
        <f ca="1">IF(M49&gt;10000,M49*0.5%,IF(AND(M49&gt;1000,M49&lt;=10000),M49*1%,IF(AND(M49&gt;100,M49&lt;=1000),M49*3%,IF(AND(M49&gt;10,M49&lt;=100),M49*5%,M49*8%))))</f>
        <v>6.1147349999999996</v>
      </c>
      <c r="M63" s="2752">
        <f ca="1">ROUND(L63,1)</f>
        <v>6.1</v>
      </c>
      <c r="N63" s="1904"/>
      <c r="Z63" s="1291"/>
      <c r="AI63" s="1234"/>
    </row>
    <row r="64" spans="1:35" ht="14.25" customHeight="1">
      <c r="A64" s="67" t="s">
        <v>323</v>
      </c>
      <c r="B64" s="3721" t="s">
        <v>3723</v>
      </c>
      <c r="C64" s="3701">
        <f ca="1">D45</f>
        <v>204</v>
      </c>
      <c r="D64" s="3713"/>
      <c r="E64" s="4295"/>
      <c r="F64" s="1744">
        <v>2</v>
      </c>
      <c r="G64" s="2835" t="s">
        <v>3707</v>
      </c>
      <c r="H64" s="3317">
        <f ca="1">ROUND(H65*I64/(1+I64),0)</f>
        <v>17</v>
      </c>
      <c r="I64" s="3734">
        <v>0.09</v>
      </c>
      <c r="J64" s="4382"/>
      <c r="K64" s="925" t="s">
        <v>1359</v>
      </c>
      <c r="L64" s="3841">
        <f ca="1">IF(M49&gt;2000,M49*0.5%,IF(AND(M49&gt;1000,M49&lt;=2000),M49*0.6%,IF(AND(M49&gt;500,M49&lt;=1000),M49*0.7%,IF(AND(M49&gt;200,M49&lt;=500),M49*0.8%,IF(AND(M49&gt;100,M49&lt;=200),M49*0.9%,IF(AND(M49&gt;50,M49&lt;=100),M49*1%,IF(AND(M49&gt;20,M49&lt;=50),M49*1.5%,IF(AND(M49&gt;10,M49&lt;=20),M49*2%,IF(AND(M49&gt;1,M49&lt;=10),M49*2.5%)))))))))</f>
        <v>1.6305959999999999</v>
      </c>
      <c r="M64" s="2752">
        <f t="shared" ref="M64:M65" ca="1" si="1">ROUND(L64,1)</f>
        <v>1.6</v>
      </c>
      <c r="N64" s="1905" t="s">
        <v>1360</v>
      </c>
      <c r="Z64" s="1291"/>
      <c r="AI64" s="1234"/>
    </row>
    <row r="65" spans="1:35" ht="14.25" customHeight="1">
      <c r="A65" s="67" t="s">
        <v>324</v>
      </c>
      <c r="B65" s="3721" t="s">
        <v>3724</v>
      </c>
      <c r="C65" s="3823"/>
      <c r="D65" s="3714"/>
      <c r="E65" s="4295"/>
      <c r="F65" s="67" t="s">
        <v>323</v>
      </c>
      <c r="G65" s="3735" t="s">
        <v>3710</v>
      </c>
      <c r="H65" s="3317">
        <f ca="1">D45</f>
        <v>204</v>
      </c>
      <c r="I65" s="2768"/>
      <c r="J65" s="4382"/>
      <c r="K65" s="925" t="s">
        <v>1361</v>
      </c>
      <c r="L65" s="3841">
        <f ca="1">IF(M49&gt;1000,M49*0.1%,IF(AND(M49&gt;500,M49&lt;=1000),M49*0.5%,IF(AND(M49&gt;50,M49&lt;=500),M49*1%,IF(AND(M49&gt;1,M49&lt;=50),M49*1.5%))))</f>
        <v>2.0382449999999999</v>
      </c>
      <c r="M65" s="2752">
        <f t="shared" ca="1" si="1"/>
        <v>2</v>
      </c>
      <c r="N65" s="1905" t="s">
        <v>1360</v>
      </c>
      <c r="Z65" s="1291"/>
      <c r="AI65" s="1234"/>
    </row>
    <row r="66" spans="1:35" ht="14.25" customHeight="1">
      <c r="A66" s="71" t="s">
        <v>325</v>
      </c>
      <c r="B66" s="3722" t="s">
        <v>3725</v>
      </c>
      <c r="C66" s="3823"/>
      <c r="D66" s="3715"/>
      <c r="E66" s="4295"/>
      <c r="F66" s="2505">
        <v>3</v>
      </c>
      <c r="G66" s="2835" t="s">
        <v>3708</v>
      </c>
      <c r="H66" s="2752">
        <f>ROUND(H67*I67,0)+ROUND(H68*I68,0)</f>
        <v>0</v>
      </c>
      <c r="I66" s="2768"/>
      <c r="J66" s="4382"/>
      <c r="K66" s="925" t="s">
        <v>1362</v>
      </c>
      <c r="L66" s="3841">
        <f ca="1">M49*0.5%</f>
        <v>1.0191224999999999</v>
      </c>
      <c r="M66" s="2752">
        <f ca="1">IF(L66&gt;0.5,0.5,ROUND(L66,0))</f>
        <v>0.5</v>
      </c>
      <c r="N66" s="1905" t="s">
        <v>1363</v>
      </c>
      <c r="Z66" s="1291"/>
      <c r="AI66" s="1234"/>
    </row>
    <row r="67" spans="1:35" ht="14.25" customHeight="1">
      <c r="A67" s="71" t="s">
        <v>326</v>
      </c>
      <c r="B67" s="3719" t="s">
        <v>3721</v>
      </c>
      <c r="C67" s="3701">
        <f ca="1">C63-C66</f>
        <v>204</v>
      </c>
      <c r="D67" s="3714"/>
      <c r="E67" s="4295"/>
      <c r="F67" s="67" t="s">
        <v>323</v>
      </c>
      <c r="G67" s="3735" t="s">
        <v>3712</v>
      </c>
      <c r="H67" s="3812"/>
      <c r="I67" s="3734">
        <v>0.09</v>
      </c>
      <c r="J67" s="4382"/>
      <c r="K67" s="925" t="s">
        <v>1364</v>
      </c>
      <c r="L67" s="3841">
        <f ca="1">IF(M49&gt;=10000,(8.25+(M49-10000)*0.01%),IF(AND(M49&gt;=8000,M49&lt;10000),(7.85+(M49-8000)*0.02%),IF(AND(M49&gt;=5000,M49&lt;8000),(6.65+(M49-5000)*0.04%),IF(AND(M49&gt;=2000,M49&lt;5000),(4.25+(PM49-2000)*0.08%),IF(AND(M49&gt;=1000,M49&lt;2000),(2.75+(M49-1000)*0.15%),IF(AND(M49&gt;=100,M49&lt;1000),(0.5+(M49-100)*0.25%),IF(AND(M49&gt;0,M49&lt;100),M49*0.5%)))))))</f>
        <v>0.75956124999999997</v>
      </c>
      <c r="M67" s="2752">
        <f ca="1">ROUND(L67*0.9,1)</f>
        <v>0.7</v>
      </c>
      <c r="N67" s="1904"/>
      <c r="Z67" s="1291"/>
      <c r="AI67" s="1234"/>
    </row>
    <row r="68" spans="1:35" ht="14.25" customHeight="1" thickBot="1">
      <c r="A68" s="73" t="s">
        <v>327</v>
      </c>
      <c r="B68" s="3723" t="s">
        <v>3726</v>
      </c>
      <c r="C68" s="3707">
        <f ca="1">IF(C67&lt;=0,0,ROUND(C67*D68,0))</f>
        <v>10</v>
      </c>
      <c r="D68" s="3716">
        <v>0.05</v>
      </c>
      <c r="E68" s="4296"/>
      <c r="F68" s="3729" t="s">
        <v>324</v>
      </c>
      <c r="G68" s="3736" t="s">
        <v>3713</v>
      </c>
      <c r="H68" s="3814"/>
      <c r="I68" s="3737">
        <v>0.06</v>
      </c>
      <c r="J68" s="4382"/>
      <c r="K68" s="925" t="s">
        <v>1365</v>
      </c>
      <c r="L68" s="3841">
        <f ca="1">IF(M49&gt;10000,M49*0.5%,IF(AND(M49&gt;5000,M49&lt;=10000),M49*1%,IF(AND(M49&gt;1000,M49&lt;=5000),M49*2%,IF(AND(M49&gt;200,M49&lt;=1000),M49*3%,M49*5%))))</f>
        <v>6.1147349999999996</v>
      </c>
      <c r="M68" s="2752">
        <f ca="1">ROUND(L68,1)</f>
        <v>6.1</v>
      </c>
      <c r="N68" s="1904"/>
      <c r="Z68" s="1291"/>
      <c r="AI68" s="1234"/>
    </row>
    <row r="69" spans="1:35" ht="16.5" customHeight="1">
      <c r="A69" s="1335"/>
      <c r="B69" s="1336"/>
      <c r="C69" s="1337"/>
      <c r="D69" s="1338"/>
      <c r="E69" s="1339"/>
      <c r="F69" s="1147"/>
      <c r="G69" s="1147"/>
      <c r="H69" s="1148"/>
      <c r="I69" s="475"/>
      <c r="J69" s="4383"/>
      <c r="K69" s="925" t="s">
        <v>1366</v>
      </c>
      <c r="L69" s="3841"/>
      <c r="M69" s="2752">
        <f ca="1">ROUND(SUM(M63:M68),0)</f>
        <v>17</v>
      </c>
      <c r="N69" s="1906">
        <f ca="1">M69/M49</f>
        <v>8.3405086238406076E-2</v>
      </c>
      <c r="Z69" s="1291"/>
      <c r="AI69" s="1234"/>
    </row>
    <row r="70" spans="1:35" s="474" customFormat="1" ht="15" thickBot="1">
      <c r="A70" s="4337" t="s">
        <v>1367</v>
      </c>
      <c r="B70" s="4338"/>
      <c r="C70" s="4338"/>
      <c r="D70" s="4338"/>
      <c r="E70" s="4338"/>
      <c r="F70" s="4338"/>
      <c r="G70" s="4338"/>
      <c r="H70" s="4338"/>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28" t="s">
        <v>1354</v>
      </c>
      <c r="B71" s="4329"/>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187</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22</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11" t="s">
        <v>1375</v>
      </c>
      <c r="F76" s="4299"/>
      <c r="G76" s="4299"/>
      <c r="H76" s="4336"/>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22</v>
      </c>
      <c r="D78" s="3706">
        <f>'数据-取费表'!B44</f>
        <v>0.12000000000000001</v>
      </c>
      <c r="E78" s="4309" t="s">
        <v>1379</v>
      </c>
      <c r="F78" s="4280"/>
      <c r="G78" s="4280"/>
      <c r="H78" s="4281"/>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165</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f ca="1">IF(C79&lt;=0,0,C79/C73)</f>
        <v>7.5</v>
      </c>
      <c r="D80" s="370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f ca="1">ROUND(IF(C79&lt;=0,0,IF(C80&gt;=200%,C79*60%-C73*35%,IF(C80&gt;=100%,C79*50%-C73*15%,IF(C80&gt;=50%,C79*40%-C73*5%,IF(C80&lt;50%,C79*30%,0))))),0)</f>
        <v>91</v>
      </c>
      <c r="D81" s="370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37" t="s">
        <v>1383</v>
      </c>
      <c r="B83" s="4338"/>
      <c r="C83" s="4338"/>
      <c r="D83" s="4338"/>
      <c r="E83" s="4338"/>
      <c r="F83" s="4338"/>
      <c r="G83" s="4338"/>
      <c r="H83" s="4338"/>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28" t="s">
        <v>1354</v>
      </c>
      <c r="B84" s="4329"/>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187</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22</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385" t="s">
        <v>2041</v>
      </c>
      <c r="H90" s="4386"/>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09" t="s">
        <v>1392</v>
      </c>
      <c r="F91" s="4280"/>
      <c r="G91" s="4280"/>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09" t="s">
        <v>1395</v>
      </c>
      <c r="F92" s="4280"/>
      <c r="G92" s="4280"/>
      <c r="H92" s="4281"/>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22</v>
      </c>
      <c r="D93" s="3706">
        <f>'数据-取费表'!B44</f>
        <v>0.12000000000000001</v>
      </c>
      <c r="E93" s="4279" t="s">
        <v>3703</v>
      </c>
      <c r="F93" s="4280"/>
      <c r="G93" s="4280"/>
      <c r="H93" s="4281"/>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282" t="s">
        <v>1399</v>
      </c>
      <c r="F94" s="4283"/>
      <c r="G94" s="4283"/>
      <c r="H94" s="4284"/>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165</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f ca="1">IF(C95&lt;=0,0,C95/C86)</f>
        <v>7.5</v>
      </c>
      <c r="D96" s="370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f ca="1">ROUND(IF(C95&lt;=0,0,IF(C96&gt;=200%,C95*60%-C86*35%,IF(C96&gt;=100%,C95*50%-C86*15%,IF(C96&gt;=50%,C95*40%-C86*5%,IF(C96&lt;50%,C95*30%,0))))),0)</f>
        <v>91</v>
      </c>
      <c r="D97" s="370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68" t="s">
        <v>1401</v>
      </c>
      <c r="B100" s="4269"/>
      <c r="C100" s="4269"/>
      <c r="D100" s="4354"/>
      <c r="E100" s="4269" t="s">
        <v>1402</v>
      </c>
      <c r="F100" s="4269"/>
      <c r="G100" s="4269"/>
      <c r="H100" s="4354"/>
      <c r="I100" s="47"/>
    </row>
    <row r="101" spans="1:35" ht="18.75" customHeight="1">
      <c r="A101" s="4362" t="s">
        <v>1403</v>
      </c>
      <c r="B101" s="4363"/>
      <c r="C101" s="1921" t="str">
        <f>C4</f>
        <v>比较法-商业</v>
      </c>
      <c r="D101" s="1922" t="str">
        <f>D4</f>
        <v>收益法 (元)</v>
      </c>
      <c r="E101" s="4379" t="s">
        <v>1404</v>
      </c>
      <c r="F101" s="4327"/>
      <c r="G101" s="1348" t="s">
        <v>1405</v>
      </c>
      <c r="H101" s="3836">
        <f ca="1">H118</f>
        <v>203.8245</v>
      </c>
      <c r="I101" s="47"/>
    </row>
    <row r="102" spans="1:35" ht="18.75" customHeight="1">
      <c r="A102" s="4331" t="s">
        <v>1406</v>
      </c>
      <c r="B102" s="1920" t="s">
        <v>1405</v>
      </c>
      <c r="C102" s="3828">
        <f ca="1">C19</f>
        <v>246.63130000000001</v>
      </c>
      <c r="D102" s="3829">
        <f ca="1">D19</f>
        <v>139.60890000000001</v>
      </c>
      <c r="E102" s="4379"/>
      <c r="F102" s="4327"/>
      <c r="G102" s="1348" t="s">
        <v>1407</v>
      </c>
      <c r="H102" s="2865">
        <f ca="1">I118</f>
        <v>27769</v>
      </c>
      <c r="I102" s="47"/>
    </row>
    <row r="103" spans="1:35" ht="42.75" customHeight="1">
      <c r="A103" s="4331"/>
      <c r="B103" s="1920" t="s">
        <v>1407</v>
      </c>
      <c r="C103" s="3830">
        <f ca="1">C20</f>
        <v>33601</v>
      </c>
      <c r="D103" s="3831">
        <f ca="1">D20</f>
        <v>19020</v>
      </c>
      <c r="E103" s="4373" t="s">
        <v>1408</v>
      </c>
      <c r="F103" s="4374"/>
      <c r="G103" s="1349" t="s">
        <v>1409</v>
      </c>
      <c r="H103" s="3836">
        <f>IF(D36="正常操作",H104+H105+H106,H105+H106)</f>
        <v>0</v>
      </c>
      <c r="I103" s="47"/>
    </row>
    <row r="104" spans="1:35" ht="18.75" customHeight="1">
      <c r="A104" s="4331" t="s">
        <v>1410</v>
      </c>
      <c r="B104" s="1923" t="s">
        <v>1405</v>
      </c>
      <c r="C104" s="3832">
        <f ca="1">H118</f>
        <v>203.8245</v>
      </c>
      <c r="D104" s="3833"/>
      <c r="E104" s="1228" t="s">
        <v>1411</v>
      </c>
      <c r="F104" s="1225"/>
      <c r="G104" s="1349" t="s">
        <v>1409</v>
      </c>
      <c r="H104" s="3837">
        <f>IF(D36="同一抵押权人同一抵押物续贷",C36&amp;"（续贷，未扣减，详见特别提示）",C36)</f>
        <v>0</v>
      </c>
      <c r="I104" s="47"/>
    </row>
    <row r="105" spans="1:35" ht="18.75" customHeight="1" thickBot="1">
      <c r="A105" s="4332"/>
      <c r="B105" s="1924" t="s">
        <v>1407</v>
      </c>
      <c r="C105" s="3834">
        <f ca="1">I118</f>
        <v>27769</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26" t="str">
        <f>IF(项目基本情况!E8="已注销","——","3.房地产抵押价值")</f>
        <v>3.房地产抵押价值</v>
      </c>
      <c r="F107" s="4327"/>
      <c r="G107" s="1348" t="s">
        <v>1405</v>
      </c>
      <c r="H107" s="3836">
        <f ca="1">IF(E107="——","——",H101-H103)</f>
        <v>203.8245</v>
      </c>
      <c r="I107" s="47"/>
    </row>
    <row r="108" spans="1:35" ht="18.75" customHeight="1">
      <c r="A108" s="47"/>
      <c r="B108" s="47"/>
      <c r="C108" s="47"/>
      <c r="D108" s="47"/>
      <c r="E108" s="4326"/>
      <c r="F108" s="4327"/>
      <c r="G108" s="1348" t="s">
        <v>1407</v>
      </c>
      <c r="H108" s="2865">
        <f ca="1">IF(H107=H101,H102,ROUND(H107*10000/'数据-汇总表'!E3,0))</f>
        <v>27769</v>
      </c>
      <c r="I108" s="47"/>
    </row>
    <row r="109" spans="1:35" ht="18.75" customHeight="1">
      <c r="A109" s="47"/>
      <c r="B109" s="47"/>
      <c r="C109" s="47"/>
      <c r="D109" s="47"/>
      <c r="E109" s="4326" t="str">
        <f>IF(项目基本情况!E8="已注销及未注销","4.抵押担保权已注销时的房地产抵押价值",IF(项目基本情况!E8="已注销","3.抵押担保权已注销时的房地产抵押价值","——"))</f>
        <v>——</v>
      </c>
      <c r="F109" s="4327"/>
      <c r="G109" s="1348" t="s">
        <v>1405</v>
      </c>
      <c r="H109" s="2860" t="str">
        <f>IF(E109="——","——",H101-H105-H106)</f>
        <v>——</v>
      </c>
      <c r="I109" s="47"/>
    </row>
    <row r="110" spans="1:35" ht="18.75" customHeight="1">
      <c r="A110" s="47"/>
      <c r="B110" s="47"/>
      <c r="C110" s="47"/>
      <c r="D110" s="47"/>
      <c r="E110" s="4326"/>
      <c r="F110" s="4327"/>
      <c r="G110" s="1348" t="s">
        <v>1407</v>
      </c>
      <c r="H110" s="2865" t="str">
        <f>IF(H109="——","——",ROUND(H109*10000/'数据-汇总表'!E3,0))</f>
        <v>——</v>
      </c>
      <c r="I110" s="47"/>
    </row>
    <row r="111" spans="1:35" ht="18.75" customHeight="1">
      <c r="A111" s="47"/>
      <c r="B111" s="47"/>
      <c r="C111" s="47"/>
      <c r="D111" s="47"/>
      <c r="E111" s="4364" t="str">
        <f>IF(项目基本情况!E9="抵押净值",IF(OR(项目基本情况!E8="已注销",项目基本情况!E8="房地产抵押价值"),"4.抵押净值","5.抵押净值"),"——")</f>
        <v>——</v>
      </c>
      <c r="F111" s="4330"/>
      <c r="G111" s="1348" t="s">
        <v>1405</v>
      </c>
      <c r="H111" s="3836" t="str">
        <f>IF(E111="——","——",N59)</f>
        <v>——</v>
      </c>
      <c r="I111" s="47"/>
    </row>
    <row r="112" spans="1:35" ht="18.75" customHeight="1" thickBot="1">
      <c r="A112" s="47"/>
      <c r="B112" s="47"/>
      <c r="C112" s="47"/>
      <c r="D112" s="47"/>
      <c r="E112" s="4365"/>
      <c r="F112" s="4366"/>
      <c r="G112" s="1351" t="s">
        <v>1407</v>
      </c>
      <c r="H112" s="3794" t="str">
        <f>IF(E111="——","——",N61)</f>
        <v>——</v>
      </c>
      <c r="I112" s="47"/>
    </row>
    <row r="113" spans="1:27" ht="18.75" customHeight="1">
      <c r="A113" s="47"/>
      <c r="B113" s="47"/>
      <c r="C113" s="47"/>
      <c r="D113" s="47"/>
      <c r="E113" s="4333" t="s">
        <v>1413</v>
      </c>
      <c r="F113" s="4333"/>
      <c r="G113" s="4333"/>
      <c r="H113" s="4333"/>
      <c r="I113" s="47"/>
    </row>
    <row r="114" spans="1:27" ht="3.75" customHeight="1">
      <c r="A114" s="475"/>
      <c r="B114" s="475"/>
      <c r="C114" s="475"/>
      <c r="D114" s="475"/>
      <c r="E114" s="1334"/>
      <c r="F114" s="1334"/>
      <c r="G114" s="1334"/>
      <c r="H114" s="1334"/>
      <c r="I114" s="475"/>
    </row>
    <row r="115" spans="1:27" ht="18.75" customHeight="1">
      <c r="A115" s="4346" t="s">
        <v>1415</v>
      </c>
      <c r="B115" s="4347"/>
      <c r="C115" s="4347"/>
      <c r="D115" s="4347"/>
      <c r="E115" s="4347"/>
      <c r="F115" s="4347"/>
      <c r="G115" s="4347"/>
      <c r="H115" s="4347"/>
      <c r="I115" s="4348"/>
    </row>
    <row r="116" spans="1:27" ht="27" customHeight="1">
      <c r="A116" s="4310" t="s">
        <v>1416</v>
      </c>
      <c r="B116" s="4334" t="s">
        <v>1417</v>
      </c>
      <c r="C116" s="4334" t="s">
        <v>1418</v>
      </c>
      <c r="D116" s="4350" t="s">
        <v>1419</v>
      </c>
      <c r="E116" s="4351"/>
      <c r="F116" s="4342"/>
      <c r="G116" s="4342"/>
      <c r="H116" s="4310" t="s">
        <v>1420</v>
      </c>
      <c r="I116" s="4310"/>
      <c r="K116" s="3166"/>
      <c r="L116" s="3167" t="s">
        <v>3493</v>
      </c>
      <c r="M116" s="3167" t="s">
        <v>3494</v>
      </c>
      <c r="N116" s="3167" t="s">
        <v>3495</v>
      </c>
    </row>
    <row r="117" spans="1:27" ht="18.75" customHeight="1">
      <c r="A117" s="4310"/>
      <c r="B117" s="4335"/>
      <c r="C117" s="4335"/>
      <c r="D117" s="1742" t="s">
        <v>1421</v>
      </c>
      <c r="E117" s="1742" t="s">
        <v>1422</v>
      </c>
      <c r="F117" s="1742" t="s">
        <v>1421</v>
      </c>
      <c r="G117" s="1742" t="s">
        <v>1423</v>
      </c>
      <c r="H117" s="1742" t="s">
        <v>1421</v>
      </c>
      <c r="I117" s="1742" t="s">
        <v>1423</v>
      </c>
      <c r="K117" s="3167" t="s">
        <v>3491</v>
      </c>
      <c r="L117" s="3839">
        <f ca="1">C34</f>
        <v>26186</v>
      </c>
      <c r="M117" s="3840">
        <f ca="1">C35</f>
        <v>1583</v>
      </c>
      <c r="N117" s="3840">
        <f ca="1">C32</f>
        <v>27769</v>
      </c>
    </row>
    <row r="118" spans="1:27" ht="24.75" customHeight="1">
      <c r="A118" s="1925" t="str">
        <f>项目基本情况!S2</f>
        <v>北京市房地产</v>
      </c>
      <c r="B118" s="2677">
        <f>M18</f>
        <v>73.400000000000006</v>
      </c>
      <c r="C118" s="2677">
        <f>M19</f>
        <v>0</v>
      </c>
      <c r="D118" s="2677">
        <f ca="1">ROUND(IF(D32="总价",L117,L119*B118/10000),0)</f>
        <v>192</v>
      </c>
      <c r="E118" s="2677">
        <f ca="1">ROUND(IF(C33="自定义",IF(D32="楼面单价",L119,D118*10000/B118),I118-G118),0)</f>
        <v>27769</v>
      </c>
      <c r="F118" s="2677">
        <f ca="1">ROUND(IF(D32="总价",M117,M119*B118/10000),0)</f>
        <v>12</v>
      </c>
      <c r="G118" s="2677">
        <f>ROUND(IF(D32="楼面单价",,F118*10000/B118),0)</f>
        <v>0</v>
      </c>
      <c r="H118" s="2677">
        <f ca="1">ROUND(IF(D32="总价",C32,N119*B118/10000),4)</f>
        <v>203.8245</v>
      </c>
      <c r="I118" s="2677">
        <f ca="1">ROUND(IF(D32="楼面单价",C32,N117*10000/B118),0)</f>
        <v>27769</v>
      </c>
      <c r="K118" s="3166"/>
      <c r="L118" s="3166"/>
      <c r="M118" s="3166"/>
      <c r="N118" s="3166"/>
    </row>
    <row r="119" spans="1:27" ht="18.75" customHeight="1">
      <c r="A119" s="4310" t="s">
        <v>1424</v>
      </c>
      <c r="B119" s="4310"/>
      <c r="C119" s="4310"/>
      <c r="D119" s="4339" t="str">
        <f ca="1">NUMBERSTRING(INT(D118*10000),2)&amp;"元整"</f>
        <v>壹佰玖拾贰万元整</v>
      </c>
      <c r="E119" s="4341"/>
      <c r="F119" s="4339" t="str">
        <f ca="1">NUMBERSTRING(INT(F118*10000),2)&amp;"元整"</f>
        <v>壹拾贰万元整</v>
      </c>
      <c r="G119" s="4341"/>
      <c r="H119" s="4339" t="str">
        <f ca="1">NUMBERSTRING(INT(H118*10000),2)&amp;"元整"</f>
        <v>贰佰零叁万捌仟贰佰肆拾伍元整</v>
      </c>
      <c r="I119" s="4341"/>
      <c r="K119" s="3167" t="s">
        <v>3492</v>
      </c>
      <c r="L119" s="3840">
        <f ca="1">C34</f>
        <v>26186</v>
      </c>
      <c r="M119" s="3840">
        <f ca="1">C35</f>
        <v>1583</v>
      </c>
      <c r="N119" s="3840">
        <f ca="1">C32</f>
        <v>27769</v>
      </c>
    </row>
    <row r="120" spans="1:27" ht="18.75" customHeight="1">
      <c r="A120" s="4370" t="str">
        <f>IF(项目基本情况!B9="房地产市场价值","",MID(E103,3,LEN(E103)-2))</f>
        <v>估价师知悉的法定优先受偿款</v>
      </c>
      <c r="B120" s="4371"/>
      <c r="C120" s="4372"/>
      <c r="D120" s="4367">
        <f>H103</f>
        <v>0</v>
      </c>
      <c r="E120" s="4368"/>
      <c r="F120" s="4368"/>
      <c r="G120" s="4368"/>
      <c r="H120" s="4368"/>
      <c r="I120" s="4369"/>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43" t="s">
        <v>1424</v>
      </c>
      <c r="B121" s="4344"/>
      <c r="C121" s="4345"/>
      <c r="D121" s="4339" t="str">
        <f>IF(D120=0,"零元整",NUMBERSTRING(INT(D120*10000),2)&amp;"元整")</f>
        <v>零元整</v>
      </c>
      <c r="E121" s="4340"/>
      <c r="F121" s="4340"/>
      <c r="G121" s="4340"/>
      <c r="H121" s="4340"/>
      <c r="I121" s="4341"/>
      <c r="AA121" s="503"/>
    </row>
    <row r="122" spans="1:27" ht="18.75" customHeight="1">
      <c r="A122" s="4330" t="str">
        <f>IF(项目基本情况!B9="房地产市场价值","",MID(E107,3,LEN(E107)-2))</f>
        <v>房地产抵押价值</v>
      </c>
      <c r="B122" s="4330"/>
      <c r="C122" s="4330"/>
      <c r="D122" s="4367">
        <f ca="1">H107</f>
        <v>203.8245</v>
      </c>
      <c r="E122" s="4368"/>
      <c r="F122" s="4368"/>
      <c r="G122" s="4368"/>
      <c r="H122" s="4368"/>
      <c r="I122" s="4369"/>
      <c r="AA122" s="503"/>
    </row>
    <row r="123" spans="1:27" ht="18.75" customHeight="1">
      <c r="A123" s="4310" t="s">
        <v>1424</v>
      </c>
      <c r="B123" s="4310"/>
      <c r="C123" s="4310"/>
      <c r="D123" s="4339" t="str">
        <f ca="1">NUMBERSTRING(INT(D122*10000),2)&amp;"元整"</f>
        <v>贰佰零叁万捌仟贰佰肆拾伍元整</v>
      </c>
      <c r="E123" s="4340"/>
      <c r="F123" s="4340"/>
      <c r="G123" s="4340"/>
      <c r="H123" s="4340"/>
      <c r="I123" s="4341"/>
      <c r="AA123" s="503"/>
    </row>
    <row r="124" spans="1:27" ht="18.75" customHeight="1">
      <c r="A124" s="4330" t="str">
        <f>IF(项目基本情况!B9="房地产市场价值","",MID(E109,3,LEN(E109)-2))</f>
        <v/>
      </c>
      <c r="B124" s="4330"/>
      <c r="C124" s="4330"/>
      <c r="D124" s="4367" t="str">
        <f>H109</f>
        <v>——</v>
      </c>
      <c r="E124" s="4368"/>
      <c r="F124" s="4368"/>
      <c r="G124" s="4368"/>
      <c r="H124" s="4368"/>
      <c r="I124" s="4369"/>
      <c r="AA124" s="503"/>
    </row>
    <row r="125" spans="1:27" ht="18.75" customHeight="1">
      <c r="A125" s="4310" t="s">
        <v>1424</v>
      </c>
      <c r="B125" s="4310"/>
      <c r="C125" s="4310"/>
      <c r="D125" s="4339" t="e">
        <f>NUMBERSTRING(INT(D124*10000),2)&amp;"元整"</f>
        <v>#VALUE!</v>
      </c>
      <c r="E125" s="4340"/>
      <c r="F125" s="4340"/>
      <c r="G125" s="4340"/>
      <c r="H125" s="4340"/>
      <c r="I125" s="4341"/>
      <c r="AA125" s="503"/>
    </row>
    <row r="126" spans="1:27" ht="18.75" customHeight="1">
      <c r="A126" s="4330" t="str">
        <f>IF(项目基本情况!B9="房地产市场价值","",MID(E111,3,LEN(E111)-2))</f>
        <v/>
      </c>
      <c r="B126" s="4330"/>
      <c r="C126" s="4330"/>
      <c r="D126" s="4367" t="str">
        <f>H111</f>
        <v>——</v>
      </c>
      <c r="E126" s="4368"/>
      <c r="F126" s="4368"/>
      <c r="G126" s="4368"/>
      <c r="H126" s="4368"/>
      <c r="I126" s="4369"/>
      <c r="AA126" s="503"/>
    </row>
    <row r="127" spans="1:27" ht="18.75" customHeight="1">
      <c r="A127" s="4310" t="s">
        <v>1424</v>
      </c>
      <c r="B127" s="4310"/>
      <c r="C127" s="4310"/>
      <c r="D127" s="4339" t="e">
        <f>NUMBERSTRING(INT(D126*10000),2)&amp;"元整"</f>
        <v>#VALUE!</v>
      </c>
      <c r="E127" s="4340"/>
      <c r="F127" s="4340"/>
      <c r="G127" s="4340"/>
      <c r="H127" s="4340"/>
      <c r="I127" s="4341"/>
      <c r="AA127" s="503"/>
    </row>
    <row r="128" spans="1:27" ht="21.75" customHeight="1">
      <c r="A128" s="4349" t="s">
        <v>1425</v>
      </c>
      <c r="B128" s="4349"/>
      <c r="C128" s="4349"/>
      <c r="D128" s="4349"/>
      <c r="E128" s="4349"/>
      <c r="F128" s="4349"/>
      <c r="G128" s="4349"/>
      <c r="H128" s="4349"/>
      <c r="I128" s="4349"/>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42</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5722</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48</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3.0499999999999999E-2</v>
      </c>
      <c r="G8" s="157"/>
    </row>
    <row r="9" spans="1:9" s="2611" customFormat="1" ht="15">
      <c r="A9" s="2632" t="s">
        <v>336</v>
      </c>
      <c r="B9" s="2653" t="s">
        <v>3287</v>
      </c>
      <c r="C9" s="2612">
        <f ca="1">C10+C11+C12+C13+C19+C20</f>
        <v>39</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33</v>
      </c>
      <c r="D10" s="2629"/>
      <c r="E10" s="145"/>
      <c r="F10" s="2637">
        <f ca="1">IF('数据-取费表'!B24=0,1,IF(B1="",'数据-取费表'!N16,INDIRECT("'数据-取费表'!n"&amp;$G$1)))</f>
        <v>1</v>
      </c>
      <c r="G10" s="157" t="s">
        <v>1472</v>
      </c>
    </row>
    <row r="11" spans="1:9" s="110" customFormat="1">
      <c r="A11" s="2654" t="s">
        <v>349</v>
      </c>
      <c r="B11" s="2655" t="s">
        <v>3324</v>
      </c>
      <c r="C11" s="2599">
        <f ca="1">ROUND(C10*F11,0)</f>
        <v>2</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v>
      </c>
      <c r="D13" s="145"/>
      <c r="E13" s="2630"/>
      <c r="F13" s="2631"/>
      <c r="G13" s="157"/>
    </row>
    <row r="14" spans="1:9" s="119" customFormat="1">
      <c r="A14" s="2582" t="s">
        <v>3289</v>
      </c>
      <c r="B14" s="2656" t="s">
        <v>3322</v>
      </c>
      <c r="C14" s="2599">
        <f>IF(G14="已包含在土地购买价格中","0",IF(B1="",'数据-取费表'!B29,IF(G15="全部缴纳",C15+C16,H15)))</f>
        <v>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0</v>
      </c>
      <c r="F15" s="2631"/>
      <c r="G15" s="1376"/>
      <c r="H15" s="795"/>
      <c r="I15" s="1377" t="s">
        <v>1451</v>
      </c>
    </row>
    <row r="16" spans="1:9" s="110" customFormat="1">
      <c r="A16" s="2657" t="s">
        <v>354</v>
      </c>
      <c r="B16" s="2658" t="s">
        <v>1452</v>
      </c>
      <c r="C16" s="2639">
        <f ca="1">ROUND(D16*E16/10000,0)</f>
        <v>1</v>
      </c>
      <c r="D16" s="2639">
        <f ca="1">IF(B1="",'数据-汇总表'!E6,IF(INDIRECT("'数据-取费表'!c"&amp;$G$1)="住宅",INDIRECT("'数据-取费表'!s"&amp;$G$1),INDIRECT("'数据-取费表'!k"&amp;$G$1)+INDIRECT("'数据-取费表'!s"&amp;$G$1)))</f>
        <v>73.400000000000006</v>
      </c>
      <c r="E16" s="2639">
        <f>'数据-取费表'!B28</f>
        <v>200</v>
      </c>
      <c r="F16" s="2631"/>
      <c r="G16" s="122"/>
    </row>
    <row r="17" spans="1:7" s="110" customFormat="1">
      <c r="A17" s="2582" t="s">
        <v>3290</v>
      </c>
      <c r="B17" s="2659" t="s">
        <v>3295</v>
      </c>
      <c r="C17" s="2599">
        <f ca="1">IF(G17="已包含在土地取得成本中","0",ROUND(D17*E17/10000,0))</f>
        <v>1</v>
      </c>
      <c r="D17" s="2640">
        <f ca="1">D15+D16</f>
        <v>73.400000000000006</v>
      </c>
      <c r="E17" s="2640">
        <f>'数据-取费表'!B31</f>
        <v>130</v>
      </c>
      <c r="F17" s="2607"/>
      <c r="G17" s="1375"/>
    </row>
    <row r="18" spans="1:7" s="110" customFormat="1">
      <c r="A18" s="2660" t="s">
        <v>3291</v>
      </c>
      <c r="B18" s="2659" t="s">
        <v>1477</v>
      </c>
      <c r="C18" s="2599">
        <f ca="1">ROUND(E18*D18*F10/10000,0)</f>
        <v>3</v>
      </c>
      <c r="D18" s="2599">
        <f ca="1">D17</f>
        <v>73.400000000000006</v>
      </c>
      <c r="E18" s="2599">
        <f>'数据-取费表'!B35</f>
        <v>350</v>
      </c>
      <c r="F18" s="2610"/>
      <c r="G18" s="157" t="s">
        <v>1478</v>
      </c>
    </row>
    <row r="19" spans="1:7" s="110" customFormat="1">
      <c r="A19" s="2654" t="s">
        <v>352</v>
      </c>
      <c r="B19" s="2655" t="s">
        <v>3327</v>
      </c>
      <c r="C19" s="2599">
        <f ca="1">ROUND(C10*F19,0)</f>
        <v>0</v>
      </c>
      <c r="D19" s="145"/>
      <c r="E19" s="145"/>
      <c r="F19" s="2610">
        <f>'数据-取费表'!B36</f>
        <v>0.01</v>
      </c>
      <c r="G19" s="157" t="s">
        <v>1474</v>
      </c>
    </row>
    <row r="20" spans="1:7" s="110" customFormat="1">
      <c r="A20" s="2654" t="s">
        <v>3292</v>
      </c>
      <c r="B20" s="2655" t="s">
        <v>3328</v>
      </c>
      <c r="C20" s="2599">
        <f ca="1">ROUND(C10*F20,0)</f>
        <v>0</v>
      </c>
      <c r="D20" s="2641"/>
      <c r="E20" s="141"/>
      <c r="F20" s="2610">
        <f>'数据-取费表'!B37</f>
        <v>0</v>
      </c>
      <c r="G20" s="157" t="s">
        <v>1474</v>
      </c>
    </row>
    <row r="21" spans="1:7" s="2611" customFormat="1" ht="15">
      <c r="A21" s="2589" t="s">
        <v>3342</v>
      </c>
      <c r="B21" s="2651" t="s">
        <v>3343</v>
      </c>
      <c r="C21" s="2612">
        <f ca="1">ROUND((C6+C9)*F21,0)</f>
        <v>1</v>
      </c>
      <c r="D21" s="2613"/>
      <c r="E21" s="2613"/>
      <c r="F21" s="2617">
        <f>'数据-取费表'!B38</f>
        <v>0.02</v>
      </c>
      <c r="G21" s="2614" t="s">
        <v>3344</v>
      </c>
    </row>
    <row r="22" spans="1:7" s="2611" customFormat="1" ht="15">
      <c r="A22" s="2589" t="s">
        <v>3345</v>
      </c>
      <c r="B22" s="2651" t="s">
        <v>3346</v>
      </c>
      <c r="C22" s="2615" t="str">
        <f>F22&amp;"V"</f>
        <v>0.02V</v>
      </c>
      <c r="D22" s="297"/>
      <c r="E22" s="2613"/>
      <c r="F22" s="2617">
        <f>'数据-取费表'!B39</f>
        <v>0.02</v>
      </c>
      <c r="G22" s="3691" t="s">
        <v>3691</v>
      </c>
    </row>
    <row r="23" spans="1:7" s="2611" customFormat="1" ht="15">
      <c r="A23" s="2589" t="s">
        <v>3347</v>
      </c>
      <c r="B23" s="2653" t="s">
        <v>3296</v>
      </c>
      <c r="C23" s="2590" t="str">
        <f ca="1">SUM(C24:C25)&amp;"+"&amp;C26&amp;"V"</f>
        <v>1+0.0006V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v>
      </c>
      <c r="D25" s="134"/>
      <c r="E25" s="134"/>
      <c r="F25" s="2606"/>
      <c r="G25" s="136" t="s">
        <v>1458</v>
      </c>
    </row>
    <row r="26" spans="1:7" s="110" customFormat="1">
      <c r="A26" s="2661" t="s">
        <v>348</v>
      </c>
      <c r="B26" s="2659" t="s">
        <v>1459</v>
      </c>
      <c r="C26" s="2602">
        <f ca="1">ROUND(IF('数据-取费表'!B22&lt;=1,F22*F23*'数据-取费表'!B23/2,F22*(POWER((1+F23),'数据-取费表'!B23/2)-1)),4)</f>
        <v>5.9999999999999995E-4</v>
      </c>
      <c r="D26" s="134"/>
      <c r="E26" s="137"/>
      <c r="F26" s="2606"/>
      <c r="G26" s="139"/>
    </row>
    <row r="27" spans="1:7" s="2611" customFormat="1" ht="15">
      <c r="A27" s="2589" t="s">
        <v>3348</v>
      </c>
      <c r="B27" s="2653" t="s">
        <v>3298</v>
      </c>
      <c r="C27" s="2618" t="str">
        <f ca="1">C28&amp;"+"&amp;C29&amp;"V"</f>
        <v>6+0.003V</v>
      </c>
      <c r="D27" s="2616"/>
      <c r="E27" s="297"/>
      <c r="F27" s="2619">
        <f ca="1">IF(B1="",'数据-取费表'!Q16,INDIRECT("'数据-取费表'!q"&amp;$G$1))</f>
        <v>0.15</v>
      </c>
      <c r="G27" s="2614" t="s">
        <v>3349</v>
      </c>
    </row>
    <row r="28" spans="1:7" s="110" customFormat="1">
      <c r="A28" s="2654" t="s">
        <v>344</v>
      </c>
      <c r="B28" s="2659" t="s">
        <v>1464</v>
      </c>
      <c r="C28" s="2583">
        <f ca="1">ROUND(C6*F27*'数据-取费表'!B23/'数据-取费表'!B22+(C9+C21)*F27,0)</f>
        <v>6</v>
      </c>
      <c r="D28" s="131"/>
      <c r="E28" s="132"/>
      <c r="F28" s="2607"/>
      <c r="G28" s="3165" t="s">
        <v>3490</v>
      </c>
    </row>
    <row r="29" spans="1:7" s="110" customFormat="1">
      <c r="A29" s="2654" t="s">
        <v>345</v>
      </c>
      <c r="B29" s="2659" t="s">
        <v>1465</v>
      </c>
      <c r="C29" s="2602">
        <f ca="1">ROUND(F22*F27,4)</f>
        <v>3.0000000000000001E-3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6</v>
      </c>
      <c r="D31" s="2593"/>
      <c r="E31" s="2593"/>
      <c r="F31" s="2608">
        <f>IF('数据-取费表'!B24=0,'数据-取费表'!N16,1)</f>
        <v>0.87</v>
      </c>
      <c r="G31" s="2594" t="s">
        <v>3830</v>
      </c>
    </row>
    <row r="32" spans="1:7" s="110" customFormat="1" ht="15.75">
      <c r="A32" s="2581" t="s">
        <v>3301</v>
      </c>
      <c r="B32" s="2580" t="s">
        <v>3302</v>
      </c>
      <c r="C32" s="2603">
        <f ca="1">C5-C31</f>
        <v>42</v>
      </c>
      <c r="D32" s="2593"/>
      <c r="E32" s="2593"/>
      <c r="F32" s="2592"/>
      <c r="G32" s="2595" t="s">
        <v>3335</v>
      </c>
    </row>
    <row r="33" spans="1:7" s="110" customFormat="1" ht="16.5" thickBot="1">
      <c r="A33" s="2664">
        <v>4</v>
      </c>
      <c r="B33" s="2665" t="s">
        <v>3336</v>
      </c>
      <c r="C33" s="2604">
        <f ca="1">ROUND(C32*(1+F33),0)</f>
        <v>46</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38</v>
      </c>
      <c r="D40" s="2879"/>
      <c r="E40" s="2879"/>
      <c r="F40" s="2879"/>
      <c r="G40" s="2879"/>
    </row>
    <row r="41" spans="1:7" ht="15.75">
      <c r="A41" s="2646" t="s">
        <v>3305</v>
      </c>
      <c r="B41" s="2710" t="str">
        <f t="shared" ref="B41:C43" si="0">B10</f>
        <v xml:space="preserve">  建安费用</v>
      </c>
      <c r="C41" s="2578">
        <f t="shared" ca="1" si="0"/>
        <v>33</v>
      </c>
      <c r="D41" s="2573"/>
      <c r="E41" s="2573"/>
      <c r="F41" s="2574"/>
      <c r="G41" s="2574"/>
    </row>
    <row r="42" spans="1:7" ht="15.75">
      <c r="A42" s="2646" t="s">
        <v>3306</v>
      </c>
      <c r="B42" s="2710" t="str">
        <f t="shared" si="0"/>
        <v xml:space="preserve">  前期费用</v>
      </c>
      <c r="C42" s="2578">
        <f t="shared" ca="1" si="0"/>
        <v>2</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3</v>
      </c>
      <c r="D44" s="2573"/>
      <c r="E44" s="2573"/>
      <c r="F44" s="2574"/>
      <c r="G44" s="2574"/>
    </row>
    <row r="45" spans="1:7" ht="15.75">
      <c r="A45" s="2661" t="s">
        <v>3307</v>
      </c>
      <c r="B45" s="2656" t="str">
        <f>B19</f>
        <v xml:space="preserve">  其他工程费</v>
      </c>
      <c r="C45" s="2583">
        <f ca="1">C19</f>
        <v>0</v>
      </c>
      <c r="D45" s="2709"/>
      <c r="E45" s="2709"/>
      <c r="F45" s="2586"/>
      <c r="G45" s="2586"/>
    </row>
    <row r="46" spans="1:7" ht="15.75">
      <c r="A46" s="2661" t="s">
        <v>3373</v>
      </c>
      <c r="B46" s="2656" t="s">
        <v>3308</v>
      </c>
      <c r="C46" s="2583">
        <f ca="1">C20</f>
        <v>0</v>
      </c>
      <c r="D46" s="2709"/>
      <c r="E46" s="2709"/>
      <c r="F46" s="2586"/>
      <c r="G46" s="2586"/>
    </row>
    <row r="47" spans="1:7" ht="15">
      <c r="A47" s="2711" t="s">
        <v>3464</v>
      </c>
      <c r="B47" s="2712" t="s">
        <v>3465</v>
      </c>
      <c r="C47" s="2713">
        <f ca="1">ROUND(C40*F47,0)</f>
        <v>1</v>
      </c>
      <c r="D47" s="2714"/>
      <c r="E47" s="2714"/>
      <c r="F47" s="2715">
        <f>F21</f>
        <v>0.02</v>
      </c>
      <c r="G47" s="2716" t="s">
        <v>3466</v>
      </c>
    </row>
    <row r="48" spans="1:7"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v>
      </c>
      <c r="D50" s="1048"/>
      <c r="E50" s="1048"/>
      <c r="F50" s="1031"/>
      <c r="G50" s="4387" t="s">
        <v>3321</v>
      </c>
    </row>
    <row r="51" spans="1:7">
      <c r="A51" s="2646" t="s">
        <v>3306</v>
      </c>
      <c r="B51" s="2650" t="s">
        <v>3311</v>
      </c>
      <c r="C51" s="2736">
        <f ca="1">ROUND(IF('数据-取费表'!B22&lt;=1,F48*F23*'数据-取费表'!B22/2,F48*(POWER((1+F23),'数据-取费表'!B22/2)-1)),4)</f>
        <v>5.9999999999999995E-4</v>
      </c>
      <c r="D51" s="1048"/>
      <c r="E51" s="1048"/>
      <c r="F51" s="1031"/>
      <c r="G51" s="4388"/>
    </row>
    <row r="52" spans="1:7" ht="15">
      <c r="A52" s="2711" t="s">
        <v>3471</v>
      </c>
      <c r="B52" s="2720" t="s">
        <v>3312</v>
      </c>
      <c r="C52" s="2721" t="str">
        <f ca="1">C53&amp;"+"&amp;C54&amp;"V建1"</f>
        <v>6+0.003V建1</v>
      </c>
      <c r="D52" s="2722"/>
      <c r="E52" s="2714"/>
      <c r="F52" s="2723">
        <f ca="1">F27</f>
        <v>0.15</v>
      </c>
      <c r="G52" s="2724" t="s">
        <v>3472</v>
      </c>
    </row>
    <row r="53" spans="1:7">
      <c r="A53" s="2646" t="s">
        <v>3309</v>
      </c>
      <c r="B53" s="2649" t="s">
        <v>3313</v>
      </c>
      <c r="C53" s="2578">
        <f ca="1">ROUND((C40+C47)*F27,0)</f>
        <v>6</v>
      </c>
      <c r="D53" s="2579"/>
      <c r="E53" s="2575"/>
      <c r="F53" s="2576"/>
      <c r="G53" s="2577"/>
    </row>
    <row r="54" spans="1:7">
      <c r="A54" s="2646" t="s">
        <v>3310</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47</v>
      </c>
      <c r="D56" s="297"/>
      <c r="E56" s="297"/>
      <c r="F56" s="2728"/>
      <c r="G56" s="2727" t="s">
        <v>3318</v>
      </c>
    </row>
    <row r="57" spans="1:7" ht="15">
      <c r="A57" s="2589" t="s">
        <v>3440</v>
      </c>
      <c r="B57" s="2729" t="s">
        <v>3315</v>
      </c>
      <c r="C57" s="2612">
        <f ca="1">ROUND(C56*(1-F57),0)</f>
        <v>6</v>
      </c>
      <c r="D57" s="297"/>
      <c r="E57" s="297"/>
      <c r="F57" s="2728">
        <f>F31</f>
        <v>0.87</v>
      </c>
      <c r="G57" s="2727" t="s">
        <v>3319</v>
      </c>
    </row>
    <row r="58" spans="1:7" ht="16.5">
      <c r="A58" s="2589" t="s">
        <v>3476</v>
      </c>
      <c r="B58" s="2725" t="s">
        <v>3477</v>
      </c>
      <c r="C58" s="2612">
        <f ca="1">C56-C57</f>
        <v>41</v>
      </c>
      <c r="D58" s="297"/>
      <c r="E58" s="297"/>
      <c r="F58" s="2728"/>
      <c r="G58" s="2727" t="s">
        <v>3320</v>
      </c>
    </row>
    <row r="59" spans="1:7" ht="15">
      <c r="A59" s="2730" t="s">
        <v>3375</v>
      </c>
      <c r="B59" s="2731" t="s">
        <v>3316</v>
      </c>
      <c r="C59" s="2732">
        <f ca="1">ROUND(C58*(1+F59),0)</f>
        <v>45</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2.4000000000000021E-2</v>
      </c>
    </row>
    <row r="64" spans="1:7" ht="21" customHeight="1">
      <c r="B64" s="55" t="s">
        <v>789</v>
      </c>
      <c r="C64" s="2644">
        <f ca="1">ROUND(C58/C32,3)</f>
        <v>0.97599999999999998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2" t="str">
        <f>项目基本情况!B1</f>
        <v>北京市房地产抵押价值预评估</v>
      </c>
      <c r="C37" s="4182"/>
      <c r="D37" s="4182"/>
      <c r="E37" s="4182"/>
      <c r="F37" s="4182"/>
      <c r="G37" s="4182"/>
      <c r="H37" s="4182"/>
      <c r="I37" s="4182"/>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9" zoomScaleNormal="70" zoomScaleSheetLayoutView="100" workbookViewId="0">
      <selection activeCell="G51" sqref="G51"/>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3906</v>
      </c>
      <c r="F1" s="1390" t="s">
        <v>3929</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246.63130000000001</v>
      </c>
      <c r="C2" s="2888" t="s">
        <v>3905</v>
      </c>
      <c r="D2" s="3903">
        <f>IF(E1="项目模式",IF(E2="——",ROUND(C49*D3/10000,0),ROUND(C49*D3/10000,0)-F2),IF(E1="单套模式",IF(E2="——",ROUND(C49*D3/10000,4),ROUND(C49*D3/10000,4)-F2)))</f>
        <v>246.63130000000001</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33601</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08" t="s">
        <v>1685</v>
      </c>
      <c r="D4" s="4409"/>
      <c r="E4" s="4410" t="s">
        <v>1686</v>
      </c>
      <c r="F4" s="4411"/>
      <c r="G4" s="4408" t="s">
        <v>1687</v>
      </c>
      <c r="H4" s="4409"/>
      <c r="I4" s="4408" t="s">
        <v>1688</v>
      </c>
      <c r="J4" s="4409"/>
      <c r="K4" s="2967" t="s">
        <v>1689</v>
      </c>
      <c r="L4" s="2018"/>
      <c r="M4" s="2019"/>
      <c r="N4" s="2019"/>
      <c r="O4" s="2019"/>
      <c r="P4" s="4412" t="s">
        <v>1690</v>
      </c>
      <c r="Q4" s="4413"/>
      <c r="R4" s="4418" t="s">
        <v>1686</v>
      </c>
      <c r="S4" s="4419"/>
      <c r="T4" s="4418" t="s">
        <v>1687</v>
      </c>
      <c r="U4" s="4419"/>
      <c r="V4" s="4424" t="s">
        <v>1688</v>
      </c>
      <c r="W4" s="4424"/>
      <c r="X4" s="946"/>
      <c r="Y4" s="4433" t="s">
        <v>1690</v>
      </c>
      <c r="Z4" s="4434"/>
      <c r="AA4" s="4405" t="s">
        <v>1686</v>
      </c>
      <c r="AB4" s="4443" t="s">
        <v>1687</v>
      </c>
      <c r="AC4" s="4405" t="s">
        <v>1688</v>
      </c>
    </row>
    <row r="5" spans="1:29" ht="15">
      <c r="A5" s="239"/>
      <c r="B5" s="240"/>
      <c r="C5" s="4440" t="s">
        <v>1588</v>
      </c>
      <c r="D5" s="4428"/>
      <c r="E5" s="4444" t="s">
        <v>3907</v>
      </c>
      <c r="F5" s="4445"/>
      <c r="G5" s="4427" t="s">
        <v>3907</v>
      </c>
      <c r="H5" s="4428"/>
      <c r="I5" s="4427" t="s">
        <v>3907</v>
      </c>
      <c r="J5" s="4428"/>
      <c r="K5" s="2967"/>
      <c r="L5" s="2018"/>
      <c r="M5" s="2019"/>
      <c r="N5" s="2019"/>
      <c r="O5" s="2019"/>
      <c r="P5" s="4414"/>
      <c r="Q5" s="4415"/>
      <c r="R5" s="4420"/>
      <c r="S5" s="4421"/>
      <c r="T5" s="4420"/>
      <c r="U5" s="4421"/>
      <c r="V5" s="4424"/>
      <c r="W5" s="4424"/>
      <c r="X5" s="946"/>
      <c r="Y5" s="4435"/>
      <c r="Z5" s="4436"/>
      <c r="AA5" s="4406"/>
      <c r="AB5" s="4443"/>
      <c r="AC5" s="4406"/>
    </row>
    <row r="6" spans="1:29" ht="15.75" thickBot="1">
      <c r="A6" s="241"/>
      <c r="B6" s="242"/>
      <c r="C6" s="4425" t="s">
        <v>1592</v>
      </c>
      <c r="D6" s="4426"/>
      <c r="E6" s="4441" t="s">
        <v>1592</v>
      </c>
      <c r="F6" s="4442"/>
      <c r="G6" s="4425" t="s">
        <v>1592</v>
      </c>
      <c r="H6" s="4426"/>
      <c r="I6" s="4425" t="s">
        <v>1592</v>
      </c>
      <c r="J6" s="4426"/>
      <c r="K6" s="2967" t="s">
        <v>1593</v>
      </c>
      <c r="L6" s="2018"/>
      <c r="M6" s="2019"/>
      <c r="N6" s="2019"/>
      <c r="O6" s="2019"/>
      <c r="P6" s="4416"/>
      <c r="Q6" s="4417"/>
      <c r="R6" s="4420"/>
      <c r="S6" s="4421"/>
      <c r="T6" s="4422"/>
      <c r="U6" s="4423"/>
      <c r="V6" s="4424"/>
      <c r="W6" s="4424"/>
      <c r="X6" s="946"/>
      <c r="Y6" s="4437"/>
      <c r="Z6" s="4438"/>
      <c r="AA6" s="4407"/>
      <c r="AB6" s="4443"/>
      <c r="AC6" s="4407"/>
    </row>
    <row r="7" spans="1:29" s="46" customFormat="1" ht="15.75" thickBot="1">
      <c r="A7" s="243" t="s">
        <v>1594</v>
      </c>
      <c r="B7" s="244"/>
      <c r="C7" s="245">
        <f>'数据-取费表'!B2</f>
        <v>46046</v>
      </c>
      <c r="D7" s="2989">
        <v>100</v>
      </c>
      <c r="E7" s="2944">
        <f>C7</f>
        <v>46046</v>
      </c>
      <c r="F7" s="3883">
        <f>SUMIF(58:58,YEAR(E7)&amp;"-"&amp;MONTH(E7),59:59)</f>
        <v>100</v>
      </c>
      <c r="G7" s="2944">
        <f>E7</f>
        <v>46046</v>
      </c>
      <c r="H7" s="3895">
        <f>SUMIF(58:58,YEAR(G7)&amp;"-"&amp;MONTH(G7),59:59)</f>
        <v>100</v>
      </c>
      <c r="I7" s="2944">
        <f>G7</f>
        <v>46046</v>
      </c>
      <c r="J7" s="3895">
        <f>SUMIF(58:58,YEAR(I7)&amp;"-"&amp;MONTH(I7),59:59)</f>
        <v>100</v>
      </c>
      <c r="K7" s="2960"/>
      <c r="L7" s="2020"/>
      <c r="M7" s="1973"/>
      <c r="N7" s="1973"/>
      <c r="O7" s="1973"/>
      <c r="P7" s="4429" t="s">
        <v>1595</v>
      </c>
      <c r="Q7" s="4439"/>
      <c r="R7" s="3796" t="s">
        <v>13</v>
      </c>
      <c r="S7" s="3295">
        <f t="shared" ref="S7:S15" si="0">F7</f>
        <v>100</v>
      </c>
      <c r="T7" s="3796" t="s">
        <v>13</v>
      </c>
      <c r="U7" s="3295">
        <f t="shared" ref="U7:U15" si="1">H7</f>
        <v>100</v>
      </c>
      <c r="V7" s="3796" t="s">
        <v>13</v>
      </c>
      <c r="W7" s="3295">
        <f t="shared" ref="W7:W15" si="2">J7</f>
        <v>100</v>
      </c>
      <c r="X7" s="493"/>
      <c r="Y7" s="4431" t="s">
        <v>1595</v>
      </c>
      <c r="Z7" s="4432"/>
      <c r="AA7" s="28">
        <f>D7/F7</f>
        <v>1</v>
      </c>
      <c r="AB7" s="28">
        <f>D7/H7</f>
        <v>1</v>
      </c>
      <c r="AC7" s="28">
        <f>D7/J7</f>
        <v>1</v>
      </c>
    </row>
    <row r="8" spans="1:29" s="46" customFormat="1" ht="15.75" thickBot="1">
      <c r="A8" s="243" t="s">
        <v>1596</v>
      </c>
      <c r="B8" s="244"/>
      <c r="C8" s="247" t="s">
        <v>3908</v>
      </c>
      <c r="D8" s="2989">
        <v>100</v>
      </c>
      <c r="E8" s="4177" t="s">
        <v>3911</v>
      </c>
      <c r="F8" s="3883">
        <f>SUMIF(61:61,E8,62:62)-SUMIF(61:61,C8,62:62)+100</f>
        <v>105</v>
      </c>
      <c r="G8" s="2916" t="s">
        <v>3910</v>
      </c>
      <c r="H8" s="3895">
        <f>SUMIF(61:61,G8,62:62)-SUMIF(61:61,C8,62:62)+100</f>
        <v>105</v>
      </c>
      <c r="I8" s="2916" t="s">
        <v>3910</v>
      </c>
      <c r="J8" s="3895">
        <f>SUMIF(61:61,I8,62:62)-SUMIF(61:61,C8,62:62)+100</f>
        <v>105</v>
      </c>
      <c r="K8" s="2960"/>
      <c r="L8" s="2020"/>
      <c r="M8" s="1973"/>
      <c r="N8" s="1973"/>
      <c r="O8" s="1973"/>
      <c r="P8" s="4429" t="s">
        <v>1598</v>
      </c>
      <c r="Q8" s="4430"/>
      <c r="R8" s="3796" t="s">
        <v>13</v>
      </c>
      <c r="S8" s="3295">
        <f t="shared" si="0"/>
        <v>105</v>
      </c>
      <c r="T8" s="3796" t="s">
        <v>13</v>
      </c>
      <c r="U8" s="3295">
        <f t="shared" si="1"/>
        <v>105</v>
      </c>
      <c r="V8" s="3796" t="s">
        <v>13</v>
      </c>
      <c r="W8" s="3295">
        <f t="shared" si="2"/>
        <v>105</v>
      </c>
      <c r="X8" s="493"/>
      <c r="Y8" s="4431" t="s">
        <v>1598</v>
      </c>
      <c r="Z8" s="4432"/>
      <c r="AA8" s="28">
        <f t="shared" ref="AA8:AA46" si="3">D8/F8</f>
        <v>0.95238095238095233</v>
      </c>
      <c r="AB8" s="28">
        <f t="shared" ref="AB8:AB46" si="4">D8/H8</f>
        <v>0.95238095238095233</v>
      </c>
      <c r="AC8" s="28">
        <f t="shared" ref="AC8:AC46" si="5">D8/J8</f>
        <v>0.95238095238095233</v>
      </c>
    </row>
    <row r="9" spans="1:29" s="46" customFormat="1">
      <c r="A9" s="248" t="s">
        <v>1599</v>
      </c>
      <c r="B9" s="2896" t="s">
        <v>1600</v>
      </c>
      <c r="C9" s="4176" t="s">
        <v>3909</v>
      </c>
      <c r="D9" s="2990">
        <v>100</v>
      </c>
      <c r="E9" s="4178" t="s">
        <v>3909</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403" t="s">
        <v>1601</v>
      </c>
      <c r="Q9" s="1742" t="str">
        <f t="shared" ref="Q9:Q15" si="6">B9</f>
        <v>用途</v>
      </c>
      <c r="R9" s="3796" t="s">
        <v>13</v>
      </c>
      <c r="S9" s="3295">
        <f t="shared" si="0"/>
        <v>100</v>
      </c>
      <c r="T9" s="3796" t="s">
        <v>13</v>
      </c>
      <c r="U9" s="3295">
        <f t="shared" si="1"/>
        <v>100</v>
      </c>
      <c r="V9" s="3796" t="s">
        <v>13</v>
      </c>
      <c r="W9" s="3295">
        <f t="shared" si="2"/>
        <v>100</v>
      </c>
      <c r="X9" s="493"/>
      <c r="Y9" s="4404"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60"/>
      <c r="L10" s="2021"/>
      <c r="M10" s="2022"/>
      <c r="N10" s="2022"/>
      <c r="O10" s="2022"/>
      <c r="P10" s="4403"/>
      <c r="Q10" s="1742" t="str">
        <f t="shared" si="6"/>
        <v>土地使用年限（年）</v>
      </c>
      <c r="R10" s="3796" t="s">
        <v>13</v>
      </c>
      <c r="S10" s="3295">
        <f t="shared" si="0"/>
        <v>100</v>
      </c>
      <c r="T10" s="3796" t="s">
        <v>13</v>
      </c>
      <c r="U10" s="3295">
        <f t="shared" si="1"/>
        <v>100</v>
      </c>
      <c r="V10" s="3796" t="s">
        <v>13</v>
      </c>
      <c r="W10" s="3295">
        <f t="shared" si="2"/>
        <v>100</v>
      </c>
      <c r="X10" s="493"/>
      <c r="Y10" s="4404"/>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403"/>
      <c r="Q11" s="1742" t="str">
        <f t="shared" si="6"/>
        <v>容积率</v>
      </c>
      <c r="R11" s="3796" t="s">
        <v>13</v>
      </c>
      <c r="S11" s="3295">
        <f t="shared" si="0"/>
        <v>100</v>
      </c>
      <c r="T11" s="3796" t="s">
        <v>13</v>
      </c>
      <c r="U11" s="3295">
        <f t="shared" si="1"/>
        <v>100</v>
      </c>
      <c r="V11" s="3796" t="s">
        <v>13</v>
      </c>
      <c r="W11" s="3295">
        <f t="shared" si="2"/>
        <v>100</v>
      </c>
      <c r="X11" s="493"/>
      <c r="Y11" s="4404"/>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03"/>
      <c r="Q12" s="1742">
        <f t="shared" si="6"/>
        <v>111</v>
      </c>
      <c r="R12" s="3796" t="s">
        <v>13</v>
      </c>
      <c r="S12" s="3295">
        <f t="shared" si="0"/>
        <v>100</v>
      </c>
      <c r="T12" s="3796" t="s">
        <v>13</v>
      </c>
      <c r="U12" s="3295">
        <f t="shared" si="1"/>
        <v>100</v>
      </c>
      <c r="V12" s="3796" t="s">
        <v>13</v>
      </c>
      <c r="W12" s="3295">
        <f t="shared" si="2"/>
        <v>100</v>
      </c>
      <c r="X12" s="493"/>
      <c r="Y12" s="4404"/>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03"/>
      <c r="Q13" s="1742">
        <f t="shared" si="6"/>
        <v>111</v>
      </c>
      <c r="R13" s="3796" t="s">
        <v>13</v>
      </c>
      <c r="S13" s="3295">
        <f t="shared" si="0"/>
        <v>100</v>
      </c>
      <c r="T13" s="3796" t="s">
        <v>13</v>
      </c>
      <c r="U13" s="3295">
        <f t="shared" si="1"/>
        <v>100</v>
      </c>
      <c r="V13" s="3796" t="s">
        <v>13</v>
      </c>
      <c r="W13" s="3295">
        <f t="shared" si="2"/>
        <v>100</v>
      </c>
      <c r="X13" s="493"/>
      <c r="Y13" s="4404"/>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03"/>
      <c r="Q14" s="1742">
        <f t="shared" si="6"/>
        <v>111</v>
      </c>
      <c r="R14" s="3796" t="s">
        <v>13</v>
      </c>
      <c r="S14" s="3295">
        <f t="shared" si="0"/>
        <v>100</v>
      </c>
      <c r="T14" s="3796" t="s">
        <v>13</v>
      </c>
      <c r="U14" s="3295">
        <f t="shared" si="1"/>
        <v>100</v>
      </c>
      <c r="V14" s="3796" t="s">
        <v>13</v>
      </c>
      <c r="W14" s="3295">
        <f t="shared" si="2"/>
        <v>100</v>
      </c>
      <c r="X14" s="493"/>
      <c r="Y14" s="4404"/>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100</v>
      </c>
      <c r="G15" s="2954"/>
      <c r="H15" s="3887">
        <f>SUMIF(76:76,G16,77:77)-SUMIF(76:76,C16,77:77)+100</f>
        <v>100</v>
      </c>
      <c r="I15" s="2948"/>
      <c r="J15" s="3887">
        <f>SUMIF(76:76,I16,77:77)-SUMIF(76:76,C16,77:77)+100</f>
        <v>100</v>
      </c>
      <c r="K15" s="2963"/>
      <c r="L15" s="2024"/>
      <c r="M15" s="2019"/>
      <c r="N15" s="2019"/>
      <c r="O15" s="2019"/>
      <c r="P15" s="4394" t="s">
        <v>1606</v>
      </c>
      <c r="Q15" s="1544" t="str">
        <f t="shared" si="6"/>
        <v>商业繁华度</v>
      </c>
      <c r="R15" s="3901" t="s">
        <v>13</v>
      </c>
      <c r="S15" s="3296">
        <f t="shared" si="0"/>
        <v>100</v>
      </c>
      <c r="T15" s="3901" t="s">
        <v>13</v>
      </c>
      <c r="U15" s="3296">
        <f t="shared" si="1"/>
        <v>100</v>
      </c>
      <c r="V15" s="3901" t="s">
        <v>13</v>
      </c>
      <c r="W15" s="3296">
        <f t="shared" si="2"/>
        <v>100</v>
      </c>
      <c r="X15" s="946"/>
      <c r="Y15" s="4396" t="s">
        <v>1606</v>
      </c>
      <c r="Z15" s="944" t="str">
        <f t="shared" si="7"/>
        <v>商业繁华度</v>
      </c>
      <c r="AA15" s="944">
        <f t="shared" si="3"/>
        <v>1</v>
      </c>
      <c r="AB15" s="944">
        <f t="shared" si="4"/>
        <v>1</v>
      </c>
      <c r="AC15" s="944">
        <f t="shared" si="5"/>
        <v>1</v>
      </c>
    </row>
    <row r="16" spans="1:29" ht="15">
      <c r="A16" s="255"/>
      <c r="B16" s="2900"/>
      <c r="C16" s="2924" t="s">
        <v>3626</v>
      </c>
      <c r="D16" s="2996"/>
      <c r="E16" s="2924" t="s">
        <v>3626</v>
      </c>
      <c r="F16" s="3906"/>
      <c r="G16" s="2924" t="s">
        <v>3626</v>
      </c>
      <c r="H16" s="3889"/>
      <c r="I16" s="2924" t="s">
        <v>3626</v>
      </c>
      <c r="J16" s="3888"/>
      <c r="K16" s="2964"/>
      <c r="L16" s="2024"/>
      <c r="M16" s="2019"/>
      <c r="N16" s="2019"/>
      <c r="O16" s="2019"/>
      <c r="P16" s="4395"/>
      <c r="Q16" s="1544"/>
      <c r="R16" s="3901"/>
      <c r="S16" s="3296"/>
      <c r="T16" s="3901"/>
      <c r="U16" s="3296"/>
      <c r="V16" s="3901"/>
      <c r="W16" s="3296"/>
      <c r="X16" s="946"/>
      <c r="Y16" s="4397"/>
      <c r="Z16" s="944"/>
      <c r="AA16" s="944">
        <v>1</v>
      </c>
      <c r="AB16" s="944">
        <v>1</v>
      </c>
      <c r="AC16" s="944">
        <v>1</v>
      </c>
    </row>
    <row r="17" spans="1:29" ht="15">
      <c r="A17" s="255"/>
      <c r="B17" s="2901" t="s">
        <v>1240</v>
      </c>
      <c r="C17" s="2925">
        <f>估价对象房地状况!C6</f>
        <v>0</v>
      </c>
      <c r="D17" s="2997">
        <v>100</v>
      </c>
      <c r="E17" s="2949"/>
      <c r="F17" s="3907">
        <f>SUMIF(78:78,E18,79:79)-SUMIF(78:78,C18,79:79)+100</f>
        <v>100</v>
      </c>
      <c r="G17" s="2955"/>
      <c r="H17" s="3890">
        <f>SUMIF(78:78,G18,79:79)-SUMIF(78:78,C18,79:79)+100</f>
        <v>100</v>
      </c>
      <c r="I17" s="2949"/>
      <c r="J17" s="3890">
        <f>SUMIF(78:78,I18,79:79)-SUMIF(78:78,C18,79:79)+100</f>
        <v>100</v>
      </c>
      <c r="K17" s="2963"/>
      <c r="L17" s="2024"/>
      <c r="M17" s="2019"/>
      <c r="N17" s="2019"/>
      <c r="O17" s="2019"/>
      <c r="P17" s="4395"/>
      <c r="Q17" s="1544" t="str">
        <f>B17</f>
        <v>交通便捷度</v>
      </c>
      <c r="R17" s="3901" t="s">
        <v>13</v>
      </c>
      <c r="S17" s="3296">
        <f>F17</f>
        <v>100</v>
      </c>
      <c r="T17" s="3901" t="s">
        <v>13</v>
      </c>
      <c r="U17" s="3296">
        <f>H17</f>
        <v>100</v>
      </c>
      <c r="V17" s="3901" t="s">
        <v>13</v>
      </c>
      <c r="W17" s="3296">
        <f>J17</f>
        <v>100</v>
      </c>
      <c r="X17" s="946"/>
      <c r="Y17" s="4397"/>
      <c r="Z17" s="944" t="str">
        <f>Q17</f>
        <v>交通便捷度</v>
      </c>
      <c r="AA17" s="944">
        <f t="shared" si="3"/>
        <v>1</v>
      </c>
      <c r="AB17" s="944">
        <f t="shared" si="4"/>
        <v>1</v>
      </c>
      <c r="AC17" s="944">
        <f t="shared" si="5"/>
        <v>1</v>
      </c>
    </row>
    <row r="18" spans="1:29" ht="15">
      <c r="A18" s="255"/>
      <c r="B18" s="2902"/>
      <c r="C18" s="2926" t="s">
        <v>3626</v>
      </c>
      <c r="D18" s="2997"/>
      <c r="E18" s="2950" t="s">
        <v>3626</v>
      </c>
      <c r="F18" s="3907"/>
      <c r="G18" s="2956" t="s">
        <v>3626</v>
      </c>
      <c r="H18" s="3888"/>
      <c r="I18" s="2950" t="s">
        <v>3626</v>
      </c>
      <c r="J18" s="3888"/>
      <c r="K18" s="2964"/>
      <c r="L18" s="2024"/>
      <c r="M18" s="2019"/>
      <c r="N18" s="2019"/>
      <c r="O18" s="2019"/>
      <c r="P18" s="4395"/>
      <c r="Q18" s="1544"/>
      <c r="R18" s="3901"/>
      <c r="S18" s="3296"/>
      <c r="T18" s="3901"/>
      <c r="U18" s="3296"/>
      <c r="V18" s="3901"/>
      <c r="W18" s="3296"/>
      <c r="X18" s="946"/>
      <c r="Y18" s="4397"/>
      <c r="Z18" s="944"/>
      <c r="AA18" s="944">
        <v>1</v>
      </c>
      <c r="AB18" s="944">
        <v>1</v>
      </c>
      <c r="AC18" s="944">
        <v>1</v>
      </c>
    </row>
    <row r="19" spans="1:29" ht="15">
      <c r="A19" s="255"/>
      <c r="B19" s="2901" t="s">
        <v>1693</v>
      </c>
      <c r="C19" s="2925">
        <f>估价对象房地状况!C7</f>
        <v>0</v>
      </c>
      <c r="D19" s="2998">
        <v>100</v>
      </c>
      <c r="E19" s="2951"/>
      <c r="F19" s="3908">
        <f>SUMIF(80:80,E20,81:81)-SUMIF(80:80,C20,81:81)+100</f>
        <v>100</v>
      </c>
      <c r="G19" s="2957"/>
      <c r="H19" s="3889">
        <f>SUMIF(80:80,G20,81:81)-SUMIF(80:80,C20,81:81)+100</f>
        <v>100</v>
      </c>
      <c r="I19" s="2951"/>
      <c r="J19" s="3889">
        <f>SUMIF(80:80,I20,81:81)-SUMIF(80:80,C20,81:81)+100</f>
        <v>100</v>
      </c>
      <c r="K19" s="2963"/>
      <c r="L19" s="2024"/>
      <c r="M19" s="2019"/>
      <c r="N19" s="2019"/>
      <c r="O19" s="2019"/>
      <c r="P19" s="4395"/>
      <c r="Q19" s="1544" t="str">
        <f>B19</f>
        <v>公共配套设施</v>
      </c>
      <c r="R19" s="3901" t="s">
        <v>13</v>
      </c>
      <c r="S19" s="3296">
        <f>F19</f>
        <v>100</v>
      </c>
      <c r="T19" s="3901" t="s">
        <v>13</v>
      </c>
      <c r="U19" s="3296">
        <f>H19</f>
        <v>100</v>
      </c>
      <c r="V19" s="3901" t="s">
        <v>13</v>
      </c>
      <c r="W19" s="3296">
        <f>J19</f>
        <v>100</v>
      </c>
      <c r="X19" s="946"/>
      <c r="Y19" s="4397"/>
      <c r="Z19" s="944" t="str">
        <f>Q19</f>
        <v>公共配套设施</v>
      </c>
      <c r="AA19" s="944">
        <f t="shared" si="3"/>
        <v>1</v>
      </c>
      <c r="AB19" s="944">
        <f t="shared" si="4"/>
        <v>1</v>
      </c>
      <c r="AC19" s="944">
        <f t="shared" si="5"/>
        <v>1</v>
      </c>
    </row>
    <row r="20" spans="1:29" ht="15">
      <c r="A20" s="255"/>
      <c r="B20" s="2902"/>
      <c r="C20" s="2924" t="s">
        <v>3626</v>
      </c>
      <c r="D20" s="2996"/>
      <c r="E20" s="2952" t="s">
        <v>3626</v>
      </c>
      <c r="F20" s="3906"/>
      <c r="G20" s="2958" t="s">
        <v>3626</v>
      </c>
      <c r="H20" s="3888"/>
      <c r="I20" s="2952" t="s">
        <v>3626</v>
      </c>
      <c r="J20" s="3888"/>
      <c r="K20" s="2964"/>
      <c r="L20" s="2024"/>
      <c r="M20" s="2019"/>
      <c r="N20" s="2019"/>
      <c r="O20" s="2019"/>
      <c r="P20" s="4395"/>
      <c r="Q20" s="1544"/>
      <c r="R20" s="3901"/>
      <c r="S20" s="3296"/>
      <c r="T20" s="3901"/>
      <c r="U20" s="3296"/>
      <c r="V20" s="3901"/>
      <c r="W20" s="3296"/>
      <c r="X20" s="946"/>
      <c r="Y20" s="4397"/>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c r="L21" s="2024"/>
      <c r="M21" s="2019"/>
      <c r="N21" s="2019"/>
      <c r="O21" s="2019"/>
      <c r="P21" s="4395"/>
      <c r="Q21" s="1544" t="str">
        <f>B21</f>
        <v>基础设施水平</v>
      </c>
      <c r="R21" s="3901" t="s">
        <v>13</v>
      </c>
      <c r="S21" s="3296">
        <f>F21</f>
        <v>100</v>
      </c>
      <c r="T21" s="3901" t="s">
        <v>13</v>
      </c>
      <c r="U21" s="3296">
        <f>H21</f>
        <v>100</v>
      </c>
      <c r="V21" s="3901" t="s">
        <v>13</v>
      </c>
      <c r="W21" s="3296">
        <f>J21</f>
        <v>100</v>
      </c>
      <c r="X21" s="946"/>
      <c r="Y21" s="4397"/>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395"/>
      <c r="Q22" s="1544"/>
      <c r="R22" s="3901"/>
      <c r="S22" s="3296"/>
      <c r="T22" s="3901"/>
      <c r="U22" s="3296"/>
      <c r="V22" s="3901"/>
      <c r="W22" s="3296"/>
      <c r="X22" s="946"/>
      <c r="Y22" s="4397"/>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c r="L23" s="2024"/>
      <c r="M23" s="2019"/>
      <c r="N23" s="2019"/>
      <c r="O23" s="2019"/>
      <c r="P23" s="4395"/>
      <c r="Q23" s="1544" t="str">
        <f>B23</f>
        <v>自然及人文环境</v>
      </c>
      <c r="R23" s="3901" t="s">
        <v>13</v>
      </c>
      <c r="S23" s="3296">
        <f>F23</f>
        <v>100</v>
      </c>
      <c r="T23" s="3901" t="s">
        <v>13</v>
      </c>
      <c r="U23" s="3296">
        <f>H23</f>
        <v>100</v>
      </c>
      <c r="V23" s="3901" t="s">
        <v>13</v>
      </c>
      <c r="W23" s="3296">
        <f>J23</f>
        <v>100</v>
      </c>
      <c r="X23" s="946"/>
      <c r="Y23" s="4397"/>
      <c r="Z23" s="944" t="str">
        <f>Q23</f>
        <v>自然及人文环境</v>
      </c>
      <c r="AA23" s="944">
        <f t="shared" si="3"/>
        <v>1</v>
      </c>
      <c r="AB23" s="944">
        <f t="shared" si="4"/>
        <v>1</v>
      </c>
      <c r="AC23" s="944">
        <f t="shared" si="5"/>
        <v>1</v>
      </c>
    </row>
    <row r="24" spans="1:29" ht="15">
      <c r="A24" s="255"/>
      <c r="B24" s="2902"/>
      <c r="C24" s="2924" t="s">
        <v>3626</v>
      </c>
      <c r="D24" s="2996"/>
      <c r="E24" s="2952" t="s">
        <v>3626</v>
      </c>
      <c r="F24" s="3906"/>
      <c r="G24" s="2958" t="s">
        <v>3626</v>
      </c>
      <c r="H24" s="3888"/>
      <c r="I24" s="2952" t="s">
        <v>3626</v>
      </c>
      <c r="J24" s="3888"/>
      <c r="K24" s="2964"/>
      <c r="L24" s="2024"/>
      <c r="M24" s="2019"/>
      <c r="N24" s="2019"/>
      <c r="O24" s="2019"/>
      <c r="P24" s="4395"/>
      <c r="Q24" s="1544"/>
      <c r="R24" s="3901"/>
      <c r="S24" s="3296"/>
      <c r="T24" s="3901"/>
      <c r="U24" s="3296"/>
      <c r="V24" s="3901"/>
      <c r="W24" s="3296"/>
      <c r="X24" s="946"/>
      <c r="Y24" s="4397"/>
      <c r="Z24" s="944"/>
      <c r="AA24" s="944">
        <v>1</v>
      </c>
      <c r="AB24" s="944">
        <v>1</v>
      </c>
      <c r="AC24" s="944">
        <v>1</v>
      </c>
    </row>
    <row r="25" spans="1:29" ht="15">
      <c r="A25" s="255"/>
      <c r="B25" s="2893" t="s">
        <v>1695</v>
      </c>
      <c r="C25" s="2940"/>
      <c r="D25" s="2993">
        <v>100</v>
      </c>
      <c r="E25" s="2940"/>
      <c r="F25" s="3894">
        <f>SUMIF(86:86,E25,87:87)-SUMIF(86:86,C25,87:87)+100</f>
        <v>100</v>
      </c>
      <c r="G25" s="2940"/>
      <c r="H25" s="3891">
        <f>SUMIF(86:86,G25,87:87)-SUMIF(86:86,C25,87:87)+100</f>
        <v>100</v>
      </c>
      <c r="I25" s="2940"/>
      <c r="J25" s="3891">
        <f>SUMIF(86:86,I25,87:87)-SUMIF(86:86,C25,87:87)+100</f>
        <v>100</v>
      </c>
      <c r="K25" s="2961"/>
      <c r="L25" s="2024"/>
      <c r="M25" s="2019"/>
      <c r="N25" s="2019"/>
      <c r="O25" s="2019"/>
      <c r="P25" s="4395"/>
      <c r="Q25" s="1544" t="str">
        <f t="shared" ref="Q25:Q46" si="11">B25</f>
        <v>临街状况</v>
      </c>
      <c r="R25" s="3901" t="s">
        <v>13</v>
      </c>
      <c r="S25" s="3296">
        <f>F25</f>
        <v>100</v>
      </c>
      <c r="T25" s="3901" t="s">
        <v>13</v>
      </c>
      <c r="U25" s="3296">
        <f>H25</f>
        <v>100</v>
      </c>
      <c r="V25" s="3901" t="s">
        <v>13</v>
      </c>
      <c r="W25" s="3296">
        <f>J25</f>
        <v>100</v>
      </c>
      <c r="X25" s="946"/>
      <c r="Y25" s="4397"/>
      <c r="Z25" s="944" t="str">
        <f>Q25</f>
        <v>临街状况</v>
      </c>
      <c r="AA25" s="944">
        <f t="shared" si="3"/>
        <v>1</v>
      </c>
      <c r="AB25" s="944">
        <f t="shared" si="4"/>
        <v>1</v>
      </c>
      <c r="AC25" s="944">
        <f t="shared" si="5"/>
        <v>1</v>
      </c>
    </row>
    <row r="26" spans="1:29" ht="15">
      <c r="A26" s="255"/>
      <c r="B26" s="2904" t="s">
        <v>1696</v>
      </c>
      <c r="C26" s="2921"/>
      <c r="D26" s="2993">
        <v>100</v>
      </c>
      <c r="E26" s="2921"/>
      <c r="F26" s="3894">
        <f>SUMIF(88:88,E26,89:89)-SUMIF(88:88,C26,89:89)+100</f>
        <v>100</v>
      </c>
      <c r="G26" s="2921"/>
      <c r="H26" s="3891">
        <f>SUMIF(88:88,G26,89:89)-SUMIF(88:88,C26,89:89)+100</f>
        <v>100</v>
      </c>
      <c r="I26" s="2921"/>
      <c r="J26" s="3891">
        <f>SUMIF(88:88,I26,89:89)-SUMIF(88:88,C26,89:89)+100</f>
        <v>100</v>
      </c>
      <c r="K26" s="2962"/>
      <c r="L26" s="2024"/>
      <c r="M26" s="2019"/>
      <c r="N26" s="2019"/>
      <c r="O26" s="2019"/>
      <c r="P26" s="4395"/>
      <c r="Q26" s="1544" t="str">
        <f t="shared" si="11"/>
        <v>平面位置/可视性</v>
      </c>
      <c r="R26" s="3901" t="s">
        <v>13</v>
      </c>
      <c r="S26" s="3296">
        <f>F26</f>
        <v>100</v>
      </c>
      <c r="T26" s="3901" t="s">
        <v>13</v>
      </c>
      <c r="U26" s="3296">
        <f>H26</f>
        <v>100</v>
      </c>
      <c r="V26" s="3901" t="s">
        <v>13</v>
      </c>
      <c r="W26" s="3296">
        <f>J26</f>
        <v>100</v>
      </c>
      <c r="X26" s="946"/>
      <c r="Y26" s="4397"/>
      <c r="Z26" s="944" t="str">
        <f>Q26</f>
        <v>平面位置/可视性</v>
      </c>
      <c r="AA26" s="944">
        <f t="shared" si="3"/>
        <v>1</v>
      </c>
      <c r="AB26" s="944">
        <f t="shared" si="4"/>
        <v>1</v>
      </c>
      <c r="AC26" s="944">
        <f t="shared" si="5"/>
        <v>1</v>
      </c>
    </row>
    <row r="27" spans="1:29" s="46" customFormat="1" ht="15">
      <c r="A27" s="258"/>
      <c r="B27" s="2901" t="s">
        <v>1697</v>
      </c>
      <c r="C27" s="2941"/>
      <c r="D27" s="2999">
        <v>100</v>
      </c>
      <c r="E27" s="2941"/>
      <c r="F27" s="3909">
        <f>SUMIF(90:90,E27,91:91)-SUMIF(90:90,C27,91:91)+100</f>
        <v>100</v>
      </c>
      <c r="G27" s="2941"/>
      <c r="H27" s="3892">
        <f>SUMIF(90:90,G27,91:91)-SUMIF(90:90,C27,91:91)+100</f>
        <v>100</v>
      </c>
      <c r="I27" s="2941"/>
      <c r="J27" s="3892">
        <f>SUMIF(90:90,I27,91:91)-SUMIF(90:90,C27,91:91)+100</f>
        <v>100</v>
      </c>
      <c r="K27" s="2961"/>
      <c r="L27" s="2020"/>
      <c r="M27" s="1973"/>
      <c r="N27" s="1973"/>
      <c r="O27" s="1973"/>
      <c r="P27" s="4395"/>
      <c r="Q27" s="1742" t="str">
        <f t="shared" si="11"/>
        <v>人流量</v>
      </c>
      <c r="R27" s="3796" t="s">
        <v>13</v>
      </c>
      <c r="S27" s="3295">
        <f>F27</f>
        <v>100</v>
      </c>
      <c r="T27" s="3796" t="s">
        <v>13</v>
      </c>
      <c r="U27" s="3295">
        <f>H27</f>
        <v>100</v>
      </c>
      <c r="V27" s="3796" t="s">
        <v>13</v>
      </c>
      <c r="W27" s="3295">
        <f>J27</f>
        <v>100</v>
      </c>
      <c r="X27" s="493"/>
      <c r="Y27" s="4397"/>
      <c r="Z27" s="28" t="str">
        <f>Q27</f>
        <v>人流量</v>
      </c>
      <c r="AA27" s="944">
        <f>D27/F27</f>
        <v>1</v>
      </c>
      <c r="AB27" s="944">
        <f>D27/H27</f>
        <v>1</v>
      </c>
      <c r="AC27" s="944">
        <f>D27/J27</f>
        <v>1</v>
      </c>
    </row>
    <row r="28" spans="1:29" ht="15">
      <c r="A28" s="255"/>
      <c r="B28" s="2893" t="s">
        <v>1698</v>
      </c>
      <c r="C28" s="2940" t="s">
        <v>3912</v>
      </c>
      <c r="D28" s="2993">
        <v>100</v>
      </c>
      <c r="E28" s="2940" t="s">
        <v>3927</v>
      </c>
      <c r="F28" s="3894">
        <f>SUMIF(92:92,E28,93:93)-SUMIF(92:92,C28,93:93)+100</f>
        <v>102</v>
      </c>
      <c r="G28" s="2940" t="s">
        <v>3927</v>
      </c>
      <c r="H28" s="3891">
        <f>SUMIF(92:92,G28,93:93)-SUMIF(92:92,C28,93:93)+100</f>
        <v>102</v>
      </c>
      <c r="I28" s="2940" t="s">
        <v>3912</v>
      </c>
      <c r="J28" s="3891">
        <f>SUMIF(92:92,I28,93:93)-SUMIF(92:92,C28,93:93)+100</f>
        <v>100</v>
      </c>
      <c r="K28" s="2962"/>
      <c r="L28" s="2024"/>
      <c r="M28" s="2019"/>
      <c r="N28" s="2019"/>
      <c r="O28" s="2019"/>
      <c r="P28" s="4395"/>
      <c r="Q28" s="1544" t="str">
        <f t="shared" si="11"/>
        <v>楼层</v>
      </c>
      <c r="R28" s="3901" t="s">
        <v>13</v>
      </c>
      <c r="S28" s="3296">
        <f t="shared" ref="S28:S46" si="12">F28</f>
        <v>102</v>
      </c>
      <c r="T28" s="3901" t="s">
        <v>13</v>
      </c>
      <c r="U28" s="3296">
        <f t="shared" ref="U28:U46" si="13">H28</f>
        <v>102</v>
      </c>
      <c r="V28" s="3901" t="s">
        <v>13</v>
      </c>
      <c r="W28" s="3296">
        <f t="shared" ref="W28:W46" si="14">J28</f>
        <v>100</v>
      </c>
      <c r="X28" s="946"/>
      <c r="Y28" s="4397"/>
      <c r="Z28" s="944" t="str">
        <f t="shared" ref="Z28:Z46" si="15">Q28</f>
        <v>楼层</v>
      </c>
      <c r="AA28" s="944">
        <f t="shared" si="3"/>
        <v>0.98039215686274506</v>
      </c>
      <c r="AB28" s="944">
        <f t="shared" si="4"/>
        <v>0.98039215686274506</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395"/>
      <c r="Q29" s="1544">
        <f t="shared" si="11"/>
        <v>111</v>
      </c>
      <c r="R29" s="3901" t="s">
        <v>13</v>
      </c>
      <c r="S29" s="3296">
        <f t="shared" si="12"/>
        <v>100</v>
      </c>
      <c r="T29" s="3901" t="s">
        <v>13</v>
      </c>
      <c r="U29" s="3296">
        <f t="shared" si="13"/>
        <v>100</v>
      </c>
      <c r="V29" s="3901" t="s">
        <v>13</v>
      </c>
      <c r="W29" s="3296">
        <f t="shared" si="14"/>
        <v>100</v>
      </c>
      <c r="X29" s="946"/>
      <c r="Y29" s="4397"/>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395"/>
      <c r="Q30" s="1544">
        <f t="shared" si="11"/>
        <v>111</v>
      </c>
      <c r="R30" s="3901" t="s">
        <v>13</v>
      </c>
      <c r="S30" s="3296">
        <f t="shared" si="12"/>
        <v>100</v>
      </c>
      <c r="T30" s="3901" t="s">
        <v>13</v>
      </c>
      <c r="U30" s="3296">
        <f t="shared" si="13"/>
        <v>100</v>
      </c>
      <c r="V30" s="3901" t="s">
        <v>13</v>
      </c>
      <c r="W30" s="3296">
        <f t="shared" si="14"/>
        <v>100</v>
      </c>
      <c r="X30" s="946"/>
      <c r="Y30" s="4397"/>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395"/>
      <c r="Q31" s="1544">
        <f t="shared" si="11"/>
        <v>111</v>
      </c>
      <c r="R31" s="3901" t="s">
        <v>13</v>
      </c>
      <c r="S31" s="3296">
        <f t="shared" si="12"/>
        <v>100</v>
      </c>
      <c r="T31" s="3901" t="s">
        <v>13</v>
      </c>
      <c r="U31" s="3296">
        <f t="shared" si="13"/>
        <v>100</v>
      </c>
      <c r="V31" s="3901" t="s">
        <v>13</v>
      </c>
      <c r="W31" s="3296">
        <f t="shared" si="14"/>
        <v>100</v>
      </c>
      <c r="X31" s="946"/>
      <c r="Y31" s="4397"/>
      <c r="Z31" s="944">
        <f t="shared" si="15"/>
        <v>111</v>
      </c>
      <c r="AA31" s="944">
        <f t="shared" si="3"/>
        <v>1</v>
      </c>
      <c r="AB31" s="944">
        <f t="shared" si="4"/>
        <v>1</v>
      </c>
      <c r="AC31" s="944">
        <f t="shared" si="5"/>
        <v>1</v>
      </c>
    </row>
    <row r="32" spans="1:29" ht="15">
      <c r="A32" s="263" t="s">
        <v>1609</v>
      </c>
      <c r="B32" s="2896" t="s">
        <v>1699</v>
      </c>
      <c r="C32" s="2928"/>
      <c r="D32" s="3000">
        <v>100</v>
      </c>
      <c r="E32" s="2928"/>
      <c r="F32" s="3894">
        <f>SUMIF(100:100,E32,101:101)-SUMIF(100:100,C32,101:101)+100</f>
        <v>100</v>
      </c>
      <c r="G32" s="2928"/>
      <c r="H32" s="3891">
        <f>SUMIF(100:100,G32,101:101)-SUMIF(100:100,C32,101:101)+100</f>
        <v>100</v>
      </c>
      <c r="I32" s="2928"/>
      <c r="J32" s="3898">
        <f>SUMIF(100:100,I32,101:101)-SUMIF(100:100,C32,101:101)+100</f>
        <v>100</v>
      </c>
      <c r="K32" s="2961"/>
      <c r="L32" s="2024"/>
      <c r="M32" s="2019"/>
      <c r="N32" s="2019"/>
      <c r="O32" s="2019"/>
      <c r="P32" s="4398" t="s">
        <v>1611</v>
      </c>
      <c r="Q32" s="1544" t="str">
        <f t="shared" si="11"/>
        <v>商业类型</v>
      </c>
      <c r="R32" s="3901" t="s">
        <v>13</v>
      </c>
      <c r="S32" s="3296">
        <f t="shared" si="12"/>
        <v>100</v>
      </c>
      <c r="T32" s="3901" t="s">
        <v>13</v>
      </c>
      <c r="U32" s="3296">
        <f t="shared" si="13"/>
        <v>100</v>
      </c>
      <c r="V32" s="3901" t="s">
        <v>13</v>
      </c>
      <c r="W32" s="3296">
        <f t="shared" si="14"/>
        <v>100</v>
      </c>
      <c r="X32" s="946"/>
      <c r="Y32" s="4401" t="s">
        <v>1611</v>
      </c>
      <c r="Z32" s="944" t="str">
        <f t="shared" si="15"/>
        <v>商业类型</v>
      </c>
      <c r="AA32" s="944">
        <f t="shared" si="3"/>
        <v>1</v>
      </c>
      <c r="AB32" s="944">
        <f t="shared" si="4"/>
        <v>1</v>
      </c>
      <c r="AC32" s="944">
        <f t="shared" si="5"/>
        <v>1</v>
      </c>
    </row>
    <row r="33" spans="1:29" s="280" customFormat="1" ht="15">
      <c r="A33" s="278"/>
      <c r="B33" s="2893" t="s">
        <v>1612</v>
      </c>
      <c r="C33" s="2929">
        <f>'数据-汇总表'!F19</f>
        <v>73.400000000000006</v>
      </c>
      <c r="D33" s="2991">
        <v>100</v>
      </c>
      <c r="E33" s="2947">
        <v>98.16</v>
      </c>
      <c r="F33" s="3885">
        <f>LOOKUP(E33,103:103,104:104)-LOOKUP(C33,103:103,104:104)+100</f>
        <v>100</v>
      </c>
      <c r="G33" s="2919">
        <v>96.75</v>
      </c>
      <c r="H33" s="3897">
        <f>LOOKUP(G33,103:103,104:104)-LOOKUP(C33,103:103,104:104)+100</f>
        <v>100</v>
      </c>
      <c r="I33" s="2919">
        <v>98.83</v>
      </c>
      <c r="J33" s="3897">
        <f>LOOKUP(I33,103:103,104:104)-LOOKUP(C33,103:103,104:104)+100</f>
        <v>100</v>
      </c>
      <c r="K33" s="2962"/>
      <c r="L33" s="2023"/>
      <c r="M33" s="2025"/>
      <c r="N33" s="2025"/>
      <c r="O33" s="2025"/>
      <c r="P33" s="4399"/>
      <c r="Q33" s="392" t="str">
        <f t="shared" si="11"/>
        <v>项目建筑规模</v>
      </c>
      <c r="R33" s="3902" t="s">
        <v>13</v>
      </c>
      <c r="S33" s="3297">
        <f t="shared" si="12"/>
        <v>100</v>
      </c>
      <c r="T33" s="3902" t="s">
        <v>13</v>
      </c>
      <c r="U33" s="3297">
        <f t="shared" si="13"/>
        <v>100</v>
      </c>
      <c r="V33" s="3902" t="s">
        <v>13</v>
      </c>
      <c r="W33" s="3297">
        <f t="shared" si="14"/>
        <v>100</v>
      </c>
      <c r="X33" s="494"/>
      <c r="Y33" s="4401"/>
      <c r="Z33" s="495" t="str">
        <f t="shared" si="15"/>
        <v>项目建筑规模</v>
      </c>
      <c r="AA33" s="944">
        <f t="shared" si="3"/>
        <v>1</v>
      </c>
      <c r="AB33" s="944">
        <f t="shared" si="4"/>
        <v>1</v>
      </c>
      <c r="AC33" s="944">
        <f t="shared" si="5"/>
        <v>1</v>
      </c>
    </row>
    <row r="34" spans="1:29" ht="15">
      <c r="A34" s="281"/>
      <c r="B34" s="2893" t="s">
        <v>1613</v>
      </c>
      <c r="C34" s="2927" t="s">
        <v>3913</v>
      </c>
      <c r="D34" s="2993">
        <v>100</v>
      </c>
      <c r="E34" s="2927" t="s">
        <v>3913</v>
      </c>
      <c r="F34" s="3894">
        <f>SUMIF(105:105,E34,106:106)-SUMIF(105:105,C34,106:106)+100</f>
        <v>100</v>
      </c>
      <c r="G34" s="2927" t="s">
        <v>3913</v>
      </c>
      <c r="H34" s="3891">
        <f>SUMIF(105:105,G34,106:106)-SUMIF(105:105,C34,106:106)+100</f>
        <v>100</v>
      </c>
      <c r="I34" s="2927" t="s">
        <v>3913</v>
      </c>
      <c r="J34" s="3891">
        <f>SUMIF(105:105,I34,106:106)-SUMIF(105:105,C34,106:106)+100</f>
        <v>100</v>
      </c>
      <c r="K34" s="2961"/>
      <c r="L34" s="2024"/>
      <c r="M34" s="2019"/>
      <c r="N34" s="2019"/>
      <c r="O34" s="2019"/>
      <c r="P34" s="4399"/>
      <c r="Q34" s="1544" t="str">
        <f t="shared" si="11"/>
        <v>建筑结构</v>
      </c>
      <c r="R34" s="3901" t="s">
        <v>13</v>
      </c>
      <c r="S34" s="3296">
        <f t="shared" si="12"/>
        <v>100</v>
      </c>
      <c r="T34" s="3901" t="s">
        <v>13</v>
      </c>
      <c r="U34" s="3296">
        <f t="shared" si="13"/>
        <v>100</v>
      </c>
      <c r="V34" s="3901" t="s">
        <v>13</v>
      </c>
      <c r="W34" s="3296">
        <f t="shared" si="14"/>
        <v>100</v>
      </c>
      <c r="X34" s="946"/>
      <c r="Y34" s="4401"/>
      <c r="Z34" s="944" t="str">
        <f t="shared" si="15"/>
        <v>建筑结构</v>
      </c>
      <c r="AA34" s="944">
        <f t="shared" si="3"/>
        <v>1</v>
      </c>
      <c r="AB34" s="944">
        <f t="shared" si="4"/>
        <v>1</v>
      </c>
      <c r="AC34" s="944">
        <f t="shared" si="5"/>
        <v>1</v>
      </c>
    </row>
    <row r="35" spans="1:29" ht="15">
      <c r="A35" s="281"/>
      <c r="B35" s="2893" t="s">
        <v>1700</v>
      </c>
      <c r="C35" s="2930" t="s">
        <v>3914</v>
      </c>
      <c r="D35" s="2993">
        <v>100</v>
      </c>
      <c r="E35" s="2930" t="s">
        <v>3914</v>
      </c>
      <c r="F35" s="3894">
        <f>SUMIF(107:107,E35,108:108)-SUMIF(107:107,C35,108:108)+100</f>
        <v>100</v>
      </c>
      <c r="G35" s="2930" t="s">
        <v>3914</v>
      </c>
      <c r="H35" s="3891">
        <f>SUMIF(107:107,G35,108:108)-SUMIF(107:107,C35,108:108)+100</f>
        <v>100</v>
      </c>
      <c r="I35" s="2930" t="s">
        <v>3914</v>
      </c>
      <c r="J35" s="3891">
        <f>SUMIF(107:107,I35,108:108)-SUMIF(107:107,C35,108:108)+100</f>
        <v>100</v>
      </c>
      <c r="K35" s="2961"/>
      <c r="L35" s="2024"/>
      <c r="M35" s="2019"/>
      <c r="N35" s="2019"/>
      <c r="O35" s="2019"/>
      <c r="P35" s="4399"/>
      <c r="Q35" s="1544" t="str">
        <f t="shared" si="11"/>
        <v>公共部分装修</v>
      </c>
      <c r="R35" s="3901" t="s">
        <v>13</v>
      </c>
      <c r="S35" s="3296">
        <f t="shared" si="12"/>
        <v>100</v>
      </c>
      <c r="T35" s="3901" t="s">
        <v>13</v>
      </c>
      <c r="U35" s="3296">
        <f t="shared" si="13"/>
        <v>100</v>
      </c>
      <c r="V35" s="3901" t="s">
        <v>13</v>
      </c>
      <c r="W35" s="3296">
        <f t="shared" si="14"/>
        <v>100</v>
      </c>
      <c r="X35" s="946"/>
      <c r="Y35" s="4401"/>
      <c r="Z35" s="944" t="str">
        <f t="shared" si="15"/>
        <v>公共部分装修</v>
      </c>
      <c r="AA35" s="944">
        <f t="shared" si="3"/>
        <v>1</v>
      </c>
      <c r="AB35" s="944">
        <f t="shared" si="4"/>
        <v>1</v>
      </c>
      <c r="AC35" s="944">
        <f t="shared" si="5"/>
        <v>1</v>
      </c>
    </row>
    <row r="36" spans="1:29" ht="15">
      <c r="A36" s="281"/>
      <c r="B36" s="2893" t="s">
        <v>1701</v>
      </c>
      <c r="C36" s="2931">
        <v>0.87</v>
      </c>
      <c r="D36" s="2993">
        <v>100</v>
      </c>
      <c r="E36" s="2931">
        <f>C36</f>
        <v>0.87</v>
      </c>
      <c r="F36" s="3894">
        <f>LOOKUP(E36,110:110,111:111)-LOOKUP(C36,110:110,111:111)+100</f>
        <v>100</v>
      </c>
      <c r="G36" s="2931">
        <f>E36</f>
        <v>0.87</v>
      </c>
      <c r="H36" s="3894">
        <f>LOOKUP(G36,110:110,111:111)-LOOKUP(C36,110:110,111:111)+100</f>
        <v>100</v>
      </c>
      <c r="I36" s="2931">
        <f>G36</f>
        <v>0.87</v>
      </c>
      <c r="J36" s="3891">
        <f>LOOKUP(I36,110:110,111:111)-LOOKUP(C36,110:110,111:111)+100</f>
        <v>100</v>
      </c>
      <c r="K36" s="2961"/>
      <c r="L36" s="2024"/>
      <c r="M36" s="2019"/>
      <c r="N36" s="2019"/>
      <c r="O36" s="2019"/>
      <c r="P36" s="4399"/>
      <c r="Q36" s="1544" t="str">
        <f t="shared" si="11"/>
        <v>成新度</v>
      </c>
      <c r="R36" s="3901" t="s">
        <v>13</v>
      </c>
      <c r="S36" s="3296">
        <f t="shared" si="12"/>
        <v>100</v>
      </c>
      <c r="T36" s="3901" t="s">
        <v>13</v>
      </c>
      <c r="U36" s="3296">
        <f t="shared" si="13"/>
        <v>100</v>
      </c>
      <c r="V36" s="3901" t="s">
        <v>13</v>
      </c>
      <c r="W36" s="3296">
        <f t="shared" si="14"/>
        <v>100</v>
      </c>
      <c r="X36" s="946"/>
      <c r="Y36" s="4401"/>
      <c r="Z36" s="944" t="str">
        <f t="shared" si="15"/>
        <v>成新度</v>
      </c>
      <c r="AA36" s="944">
        <f t="shared" si="3"/>
        <v>1</v>
      </c>
      <c r="AB36" s="944">
        <f t="shared" si="4"/>
        <v>1</v>
      </c>
      <c r="AC36" s="944">
        <f t="shared" si="5"/>
        <v>1</v>
      </c>
    </row>
    <row r="37" spans="1:29" s="46" customFormat="1" ht="15">
      <c r="A37" s="282"/>
      <c r="B37" s="2893" t="s">
        <v>1702</v>
      </c>
      <c r="C37" s="2930"/>
      <c r="D37" s="2991">
        <v>100</v>
      </c>
      <c r="E37" s="2930"/>
      <c r="F37" s="3894">
        <f>SUMIF(112:112,E37,113:113)-SUMIF(112:112,C37,113:113)+100</f>
        <v>100</v>
      </c>
      <c r="G37" s="2930"/>
      <c r="H37" s="3891">
        <f>SUMIF(112:112,G37,113:113)-SUMIF(112:112,C37,113:113)+100</f>
        <v>100</v>
      </c>
      <c r="I37" s="2930"/>
      <c r="J37" s="3891">
        <f>SUMIF(112:112,I37,113:113)-SUMIF(112:112,C37,113:113)+100</f>
        <v>100</v>
      </c>
      <c r="K37" s="2961"/>
      <c r="L37" s="2020"/>
      <c r="M37" s="1973"/>
      <c r="N37" s="1973"/>
      <c r="O37" s="1973"/>
      <c r="P37" s="4399"/>
      <c r="Q37" s="1742" t="str">
        <f t="shared" si="11"/>
        <v>市政基础设施</v>
      </c>
      <c r="R37" s="3796" t="s">
        <v>13</v>
      </c>
      <c r="S37" s="3295">
        <f t="shared" si="12"/>
        <v>100</v>
      </c>
      <c r="T37" s="3796" t="s">
        <v>13</v>
      </c>
      <c r="U37" s="3295">
        <f t="shared" si="13"/>
        <v>100</v>
      </c>
      <c r="V37" s="3796" t="s">
        <v>13</v>
      </c>
      <c r="W37" s="3295">
        <f t="shared" si="14"/>
        <v>100</v>
      </c>
      <c r="X37" s="493"/>
      <c r="Y37" s="4401"/>
      <c r="Z37" s="28" t="str">
        <f t="shared" si="15"/>
        <v>市政基础设施</v>
      </c>
      <c r="AA37" s="28">
        <f t="shared" si="3"/>
        <v>1</v>
      </c>
      <c r="AB37" s="28">
        <f t="shared" si="4"/>
        <v>1</v>
      </c>
      <c r="AC37" s="28">
        <f t="shared" si="5"/>
        <v>1</v>
      </c>
    </row>
    <row r="38" spans="1:29" ht="15">
      <c r="A38" s="281"/>
      <c r="B38" s="2893" t="s">
        <v>1703</v>
      </c>
      <c r="C38" s="2930"/>
      <c r="D38" s="2993">
        <v>100</v>
      </c>
      <c r="E38" s="2930"/>
      <c r="F38" s="3894">
        <f>SUMIF(114:114,E38,115:115)-SUMIF(114:114,C38,115:115)+100</f>
        <v>100</v>
      </c>
      <c r="G38" s="2930"/>
      <c r="H38" s="3891">
        <f>SUMIF(114:114,G38,115:115)-SUMIF(114:114,C38,115:115)+100</f>
        <v>100</v>
      </c>
      <c r="I38" s="2930"/>
      <c r="J38" s="3891">
        <f>SUMIF(114:114,I38,115:115)-SUMIF(114:114,C38,115:115)+100</f>
        <v>100</v>
      </c>
      <c r="K38" s="2961"/>
      <c r="L38" s="2024"/>
      <c r="M38" s="2019"/>
      <c r="N38" s="2019"/>
      <c r="O38" s="2019"/>
      <c r="P38" s="4399" t="s">
        <v>1611</v>
      </c>
      <c r="Q38" s="1544" t="str">
        <f t="shared" si="11"/>
        <v>业态</v>
      </c>
      <c r="R38" s="3901" t="s">
        <v>13</v>
      </c>
      <c r="S38" s="3296">
        <f t="shared" si="12"/>
        <v>100</v>
      </c>
      <c r="T38" s="3901" t="s">
        <v>13</v>
      </c>
      <c r="U38" s="3296">
        <f t="shared" si="13"/>
        <v>100</v>
      </c>
      <c r="V38" s="3901" t="s">
        <v>13</v>
      </c>
      <c r="W38" s="3296">
        <f t="shared" si="14"/>
        <v>100</v>
      </c>
      <c r="X38" s="946"/>
      <c r="Y38" s="4401" t="s">
        <v>1611</v>
      </c>
      <c r="Z38" s="944" t="str">
        <f t="shared" si="15"/>
        <v>业态</v>
      </c>
      <c r="AA38" s="944">
        <f t="shared" si="3"/>
        <v>1</v>
      </c>
      <c r="AB38" s="944">
        <f t="shared" si="4"/>
        <v>1</v>
      </c>
      <c r="AC38" s="944">
        <f t="shared" si="5"/>
        <v>1</v>
      </c>
    </row>
    <row r="39" spans="1:29" ht="15">
      <c r="A39" s="281"/>
      <c r="B39" s="2893" t="s">
        <v>1704</v>
      </c>
      <c r="C39" s="2930" t="s">
        <v>3915</v>
      </c>
      <c r="D39" s="2993">
        <v>100</v>
      </c>
      <c r="E39" s="2930" t="s">
        <v>3915</v>
      </c>
      <c r="F39" s="3894">
        <f>SUMIF(116:116,E39,117:117)-SUMIF(116:116,C39,117:117)+100</f>
        <v>100</v>
      </c>
      <c r="G39" s="2930" t="s">
        <v>3915</v>
      </c>
      <c r="H39" s="3891">
        <f>SUMIF(116:116,G39,117:117)-SUMIF(116:116,C39,117:117)+100</f>
        <v>100</v>
      </c>
      <c r="I39" s="2930" t="s">
        <v>3915</v>
      </c>
      <c r="J39" s="3891">
        <f>SUMIF(116:116,I39,117:117)-SUMIF(116:116,C39,117:117)+100</f>
        <v>100</v>
      </c>
      <c r="K39" s="2961"/>
      <c r="L39" s="2024"/>
      <c r="M39" s="2019"/>
      <c r="N39" s="2019"/>
      <c r="O39" s="2019"/>
      <c r="P39" s="4399"/>
      <c r="Q39" s="1544" t="str">
        <f t="shared" si="11"/>
        <v>层高</v>
      </c>
      <c r="R39" s="3901" t="s">
        <v>13</v>
      </c>
      <c r="S39" s="3296">
        <f t="shared" si="12"/>
        <v>100</v>
      </c>
      <c r="T39" s="3901" t="s">
        <v>13</v>
      </c>
      <c r="U39" s="3296">
        <f t="shared" si="13"/>
        <v>100</v>
      </c>
      <c r="V39" s="3901" t="s">
        <v>13</v>
      </c>
      <c r="W39" s="3296">
        <f t="shared" si="14"/>
        <v>100</v>
      </c>
      <c r="X39" s="946"/>
      <c r="Y39" s="4401"/>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399"/>
      <c r="Q40" s="1544" t="str">
        <f t="shared" si="11"/>
        <v>单套建筑面积</v>
      </c>
      <c r="R40" s="3901" t="s">
        <v>13</v>
      </c>
      <c r="S40" s="3296">
        <f t="shared" si="12"/>
        <v>100</v>
      </c>
      <c r="T40" s="3901" t="s">
        <v>13</v>
      </c>
      <c r="U40" s="3296">
        <f t="shared" si="13"/>
        <v>100</v>
      </c>
      <c r="V40" s="3901" t="s">
        <v>13</v>
      </c>
      <c r="W40" s="3296">
        <f t="shared" si="14"/>
        <v>100</v>
      </c>
      <c r="X40" s="946"/>
      <c r="Y40" s="4401"/>
      <c r="Z40" s="944" t="str">
        <f t="shared" si="15"/>
        <v>单套建筑面积</v>
      </c>
      <c r="AA40" s="944">
        <f t="shared" si="3"/>
        <v>1</v>
      </c>
      <c r="AB40" s="944">
        <f t="shared" si="4"/>
        <v>1</v>
      </c>
      <c r="AC40" s="944">
        <f t="shared" si="5"/>
        <v>1</v>
      </c>
    </row>
    <row r="41" spans="1:29" s="280" customFormat="1" ht="15">
      <c r="A41" s="278"/>
      <c r="B41" s="2943" t="s">
        <v>1706</v>
      </c>
      <c r="C41" s="2940"/>
      <c r="D41" s="2993">
        <v>100</v>
      </c>
      <c r="E41" s="2940"/>
      <c r="F41" s="3894">
        <f>SUMIF(120:120,E41,121:121)-SUMIF(120:120,C41,121:121)+100</f>
        <v>100</v>
      </c>
      <c r="G41" s="2940"/>
      <c r="H41" s="3891">
        <f>SUMIF(120:120,G41,121:121)-SUMIF(120:120,C41,121:121)+100</f>
        <v>100</v>
      </c>
      <c r="I41" s="2940"/>
      <c r="J41" s="3891">
        <f>SUMIF(120:120,I41,121:121)-SUMIF(120:120,C41,121:121)+100</f>
        <v>100</v>
      </c>
      <c r="K41" s="2961"/>
      <c r="L41" s="2023"/>
      <c r="M41" s="2025"/>
      <c r="N41" s="2025"/>
      <c r="O41" s="2025"/>
      <c r="P41" s="4399"/>
      <c r="Q41" s="392" t="str">
        <f t="shared" si="11"/>
        <v>进深比</v>
      </c>
      <c r="R41" s="3902" t="s">
        <v>13</v>
      </c>
      <c r="S41" s="3297">
        <f t="shared" si="12"/>
        <v>100</v>
      </c>
      <c r="T41" s="3902" t="s">
        <v>13</v>
      </c>
      <c r="U41" s="3297">
        <f t="shared" si="13"/>
        <v>100</v>
      </c>
      <c r="V41" s="3902" t="s">
        <v>13</v>
      </c>
      <c r="W41" s="3297">
        <f t="shared" si="14"/>
        <v>100</v>
      </c>
      <c r="X41" s="494"/>
      <c r="Y41" s="4401"/>
      <c r="Z41" s="495" t="str">
        <f t="shared" si="15"/>
        <v>进深比</v>
      </c>
      <c r="AA41" s="944">
        <f t="shared" si="3"/>
        <v>1</v>
      </c>
      <c r="AB41" s="944">
        <f t="shared" si="4"/>
        <v>1</v>
      </c>
      <c r="AC41" s="944">
        <f t="shared" si="5"/>
        <v>1</v>
      </c>
    </row>
    <row r="42" spans="1:29" ht="15">
      <c r="A42" s="281"/>
      <c r="B42" s="2893" t="s">
        <v>1707</v>
      </c>
      <c r="C42" s="2930" t="s">
        <v>3916</v>
      </c>
      <c r="D42" s="2993">
        <v>100</v>
      </c>
      <c r="E42" s="2930" t="s">
        <v>3916</v>
      </c>
      <c r="F42" s="3894">
        <f>SUMIF(122:122,E42,123:123)-SUMIF(122:122,C42,123:123)+100</f>
        <v>100</v>
      </c>
      <c r="G42" s="2930" t="s">
        <v>3916</v>
      </c>
      <c r="H42" s="3891">
        <f>SUMIF(122:122,G42,123:123)-SUMIF(122:122,C42,123:123)+100</f>
        <v>100</v>
      </c>
      <c r="I42" s="2930" t="s">
        <v>3916</v>
      </c>
      <c r="J42" s="3891">
        <f>SUMIF(122:122,I42,123:123)-SUMIF(122:122,C42,123:123)+100</f>
        <v>100</v>
      </c>
      <c r="K42" s="2961"/>
      <c r="L42" s="2024"/>
      <c r="M42" s="2019"/>
      <c r="N42" s="2019"/>
      <c r="O42" s="2019"/>
      <c r="P42" s="4399"/>
      <c r="Q42" s="1544" t="str">
        <f t="shared" si="11"/>
        <v>内部装修</v>
      </c>
      <c r="R42" s="3901" t="s">
        <v>13</v>
      </c>
      <c r="S42" s="3296">
        <f t="shared" si="12"/>
        <v>100</v>
      </c>
      <c r="T42" s="3901" t="s">
        <v>13</v>
      </c>
      <c r="U42" s="3296">
        <f t="shared" si="13"/>
        <v>100</v>
      </c>
      <c r="V42" s="3901" t="s">
        <v>13</v>
      </c>
      <c r="W42" s="3296">
        <f t="shared" si="14"/>
        <v>100</v>
      </c>
      <c r="X42" s="946"/>
      <c r="Y42" s="4401"/>
      <c r="Z42" s="944" t="str">
        <f t="shared" si="15"/>
        <v>内部装修</v>
      </c>
      <c r="AA42" s="944">
        <f t="shared" si="3"/>
        <v>1</v>
      </c>
      <c r="AB42" s="944">
        <f t="shared" si="4"/>
        <v>1</v>
      </c>
      <c r="AC42" s="944">
        <f t="shared" si="5"/>
        <v>1</v>
      </c>
    </row>
    <row r="43" spans="1:29" ht="15">
      <c r="A43" s="281"/>
      <c r="B43" s="2893" t="s">
        <v>1622</v>
      </c>
      <c r="C43" s="2930" t="s">
        <v>3626</v>
      </c>
      <c r="D43" s="2993">
        <v>100</v>
      </c>
      <c r="E43" s="2930" t="s">
        <v>3626</v>
      </c>
      <c r="F43" s="3894">
        <f>SUMIF(124:124,E43,125:125)-SUMIF(124:124,C43,125:125)+100</f>
        <v>100</v>
      </c>
      <c r="G43" s="2930" t="s">
        <v>3626</v>
      </c>
      <c r="H43" s="3891">
        <f>SUMIF(124:124,G43,125:125)-SUMIF(124:124,C43,125:125)+100</f>
        <v>100</v>
      </c>
      <c r="I43" s="2930" t="s">
        <v>3626</v>
      </c>
      <c r="J43" s="3891">
        <f>SUMIF(124:124,I43,125:125)-SUMIF(124:124,C43,125:125)+100</f>
        <v>100</v>
      </c>
      <c r="K43" s="2961"/>
      <c r="L43" s="2024"/>
      <c r="M43" s="2019"/>
      <c r="N43" s="2019"/>
      <c r="O43" s="2019"/>
      <c r="P43" s="4399"/>
      <c r="Q43" s="1544" t="str">
        <f t="shared" si="11"/>
        <v>内部装修维护情况</v>
      </c>
      <c r="R43" s="3901" t="s">
        <v>13</v>
      </c>
      <c r="S43" s="3296">
        <f t="shared" si="12"/>
        <v>100</v>
      </c>
      <c r="T43" s="3901" t="s">
        <v>13</v>
      </c>
      <c r="U43" s="3296">
        <f t="shared" si="13"/>
        <v>100</v>
      </c>
      <c r="V43" s="3901" t="s">
        <v>13</v>
      </c>
      <c r="W43" s="3296">
        <f t="shared" si="14"/>
        <v>100</v>
      </c>
      <c r="X43" s="946"/>
      <c r="Y43" s="4401"/>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399"/>
      <c r="Q44" s="1742">
        <f t="shared" si="11"/>
        <v>111</v>
      </c>
      <c r="R44" s="3796" t="s">
        <v>13</v>
      </c>
      <c r="S44" s="3295">
        <f t="shared" si="12"/>
        <v>100</v>
      </c>
      <c r="T44" s="3796" t="s">
        <v>13</v>
      </c>
      <c r="U44" s="3295">
        <f t="shared" si="13"/>
        <v>100</v>
      </c>
      <c r="V44" s="3796" t="s">
        <v>13</v>
      </c>
      <c r="W44" s="3295">
        <f t="shared" si="14"/>
        <v>100</v>
      </c>
      <c r="X44" s="493"/>
      <c r="Y44" s="4401"/>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399"/>
      <c r="Q45" s="1544">
        <f t="shared" si="11"/>
        <v>111</v>
      </c>
      <c r="R45" s="3901" t="s">
        <v>13</v>
      </c>
      <c r="S45" s="3296">
        <f t="shared" si="12"/>
        <v>100</v>
      </c>
      <c r="T45" s="3901" t="s">
        <v>13</v>
      </c>
      <c r="U45" s="3296">
        <f t="shared" si="13"/>
        <v>100</v>
      </c>
      <c r="V45" s="3901" t="s">
        <v>13</v>
      </c>
      <c r="W45" s="3296">
        <f t="shared" si="14"/>
        <v>100</v>
      </c>
      <c r="X45" s="946"/>
      <c r="Y45" s="4401"/>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400"/>
      <c r="Q46" s="1544">
        <f t="shared" si="11"/>
        <v>111</v>
      </c>
      <c r="R46" s="3901" t="s">
        <v>13</v>
      </c>
      <c r="S46" s="3296">
        <f t="shared" si="12"/>
        <v>100</v>
      </c>
      <c r="T46" s="3901" t="s">
        <v>13</v>
      </c>
      <c r="U46" s="3296">
        <f t="shared" si="13"/>
        <v>100</v>
      </c>
      <c r="V46" s="3901" t="s">
        <v>13</v>
      </c>
      <c r="W46" s="3296">
        <f t="shared" si="14"/>
        <v>100</v>
      </c>
      <c r="X46" s="946"/>
      <c r="Y46" s="4402"/>
      <c r="Z46" s="944">
        <f t="shared" si="15"/>
        <v>111</v>
      </c>
      <c r="AA46" s="944">
        <f t="shared" si="3"/>
        <v>1</v>
      </c>
      <c r="AB46" s="944">
        <f t="shared" si="4"/>
        <v>1</v>
      </c>
      <c r="AC46" s="944">
        <f t="shared" si="5"/>
        <v>1</v>
      </c>
    </row>
    <row r="47" spans="1:29" ht="15">
      <c r="A47" s="287" t="s">
        <v>1623</v>
      </c>
      <c r="B47" s="288"/>
      <c r="C47" s="798" t="s">
        <v>0</v>
      </c>
      <c r="D47" s="289"/>
      <c r="E47" s="3353">
        <v>35147</v>
      </c>
      <c r="F47" s="3292"/>
      <c r="G47" s="3354">
        <v>35659</v>
      </c>
      <c r="H47" s="3293"/>
      <c r="I47" s="3353">
        <v>36427</v>
      </c>
      <c r="J47" s="3293"/>
      <c r="K47" s="2966"/>
      <c r="L47" s="2026"/>
      <c r="M47" s="2019"/>
      <c r="N47" s="2019"/>
      <c r="O47" s="2019"/>
      <c r="P47" s="4389" t="str">
        <f>A47</f>
        <v>成交单价（元/平方米）</v>
      </c>
      <c r="Q47" s="4389"/>
      <c r="R47" s="4390">
        <f>E47</f>
        <v>35147</v>
      </c>
      <c r="S47" s="4390"/>
      <c r="T47" s="4390">
        <f>G47</f>
        <v>35659</v>
      </c>
      <c r="U47" s="4390"/>
      <c r="V47" s="4390">
        <f>I47</f>
        <v>36427</v>
      </c>
      <c r="W47" s="4390"/>
      <c r="X47" s="266"/>
      <c r="Y47" s="496"/>
      <c r="Z47" s="266"/>
      <c r="AA47" s="266"/>
      <c r="AB47" s="266"/>
      <c r="AC47" s="266"/>
    </row>
    <row r="48" spans="1:29" ht="15.75" thickBot="1">
      <c r="A48" s="290" t="s">
        <v>1708</v>
      </c>
      <c r="B48" s="291"/>
      <c r="C48" s="3899">
        <f>R49</f>
        <v>33601</v>
      </c>
      <c r="D48" s="4018" t="s">
        <v>2050</v>
      </c>
      <c r="E48" s="3910">
        <f>R48</f>
        <v>32817</v>
      </c>
      <c r="F48" s="2905"/>
      <c r="G48" s="3899">
        <f>T48</f>
        <v>33295</v>
      </c>
      <c r="H48" s="2905"/>
      <c r="I48" s="3910">
        <f>V48</f>
        <v>34692</v>
      </c>
      <c r="J48" s="2905"/>
      <c r="K48" s="2959">
        <f>F48+H48+J48</f>
        <v>0</v>
      </c>
      <c r="L48" s="2026"/>
      <c r="M48" s="2019"/>
      <c r="N48" s="2019"/>
      <c r="O48" s="2019"/>
      <c r="P48" s="4389" t="str">
        <f>A48</f>
        <v>比较价值（元/平方米）</v>
      </c>
      <c r="Q48" s="4389"/>
      <c r="R48" s="4390">
        <f>IF(F1="售价",ROUND(PRODUCT(R47,AA7:AA46),0),ROUND(PRODUCT(R47,AA7:AA46),1))</f>
        <v>32817</v>
      </c>
      <c r="S48" s="4390"/>
      <c r="T48" s="4390">
        <f>IF(F1="售价",ROUND(PRODUCT(T47,AB7:AB46),0),ROUND(PRODUCT(T47,AB7:AB46),1))</f>
        <v>33295</v>
      </c>
      <c r="U48" s="4390"/>
      <c r="V48" s="4390">
        <f>IF(F1="售价",ROUND(PRODUCT(V47,AC7:AC46),0),ROUND(PRODUCT(V47,AC7:AC46),1))</f>
        <v>34692</v>
      </c>
      <c r="W48" s="4390"/>
      <c r="X48" s="266"/>
      <c r="Y48" s="266"/>
      <c r="Z48" s="266"/>
      <c r="AA48" s="266"/>
      <c r="AB48" s="266"/>
      <c r="AC48" s="266"/>
    </row>
    <row r="49" spans="1:29" ht="15.75" thickBot="1">
      <c r="A49" s="292" t="s">
        <v>1709</v>
      </c>
      <c r="B49" s="293"/>
      <c r="C49" s="3911">
        <f>R49</f>
        <v>33601</v>
      </c>
      <c r="D49" s="242"/>
      <c r="E49" s="242"/>
      <c r="F49" s="242"/>
      <c r="G49" s="242"/>
      <c r="H49" s="242"/>
      <c r="I49" s="242"/>
      <c r="J49" s="242"/>
      <c r="K49" s="497"/>
      <c r="L49" s="2026"/>
      <c r="M49" s="2019"/>
      <c r="N49" s="2019"/>
      <c r="O49" s="2019"/>
      <c r="P49" s="4391" t="str">
        <f>A49</f>
        <v>估价对象XX用房的比较价值（楼面单价，元/平方米）</v>
      </c>
      <c r="Q49" s="4392"/>
      <c r="R49" s="4393">
        <f>IF(F1="售价",ROUND(IF(D48="简单平均",AVERAGE(R48:V48),R48*F48+T48*H48+V48*J48),0),ROUND(IF(D48="简单平均",AVERAGE(R48:V48),R48*F48+T48*H48+V48*J48),1))</f>
        <v>33601</v>
      </c>
      <c r="S49" s="4393"/>
      <c r="T49" s="4393"/>
      <c r="U49" s="4393"/>
      <c r="V49" s="4393"/>
      <c r="W49" s="4393"/>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7.0999786695919775E-2</v>
      </c>
      <c r="F52" s="300" t="str">
        <f>IF(OR(E52&gt;=0.3,E52&lt;=-0.3),"超过30%","")</f>
        <v/>
      </c>
      <c r="G52" s="299">
        <f>IF(G47&lt;G48,G48/G47-1,G47/G48-1)</f>
        <v>7.1001651899684548E-2</v>
      </c>
      <c r="H52" s="300" t="str">
        <f>IF(OR(G52&gt;=0.3,G52&lt;=-0.3),"超过30%","")</f>
        <v/>
      </c>
      <c r="I52" s="299">
        <f>IF(I47&lt;I48,I48/I47-1,I47/I48-1)</f>
        <v>5.0011530035743101E-2</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1.4565621476673618E-2</v>
      </c>
      <c r="F53" s="300" t="str">
        <f>IF(OR(E53&gt;=0.2,E53&lt;=-0.2),"超过20%","")</f>
        <v/>
      </c>
      <c r="G53" s="299">
        <f>IF(G48&lt;I48,I48/G48-1,G48/I48-1)</f>
        <v>4.1958251989788309E-2</v>
      </c>
      <c r="H53" s="300" t="str">
        <f>IF(OR(G53&gt;=0.2,G53&lt;=-0.2),"超过20%","")</f>
        <v/>
      </c>
      <c r="I53" s="299">
        <f>IF(I48&lt;E48,E48/I48-1,I48/E48-1)</f>
        <v>5.7135021482768167E-2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1.4567388397302761E-2</v>
      </c>
      <c r="F54" s="300" t="str">
        <f>IF(OR(E54&gt;=0.3,E54&lt;=-0.3),"超过30%","")</f>
        <v/>
      </c>
      <c r="G54" s="299">
        <f>IF(G47&lt;I47,I47/G47-1,G47/I47-1)</f>
        <v>2.1537339802013555E-2</v>
      </c>
      <c r="H54" s="300" t="str">
        <f>IF(OR(G54&gt;=0.3,G54&lt;=-0.3),"超过30%","")</f>
        <v/>
      </c>
      <c r="I54" s="299">
        <f>IF(I47&lt;E47,E47/I47-1,I47/E47-1)</f>
        <v>3.6418470993256902E-2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179" t="s">
        <v>3911</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105</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c r="D65" s="373"/>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c r="D66" s="330"/>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4180" t="s">
        <v>3927</v>
      </c>
      <c r="D92" s="4180" t="s">
        <v>3912</v>
      </c>
      <c r="E92" s="4180" t="s">
        <v>3928</v>
      </c>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v>100</v>
      </c>
      <c r="D93" s="330">
        <v>98</v>
      </c>
      <c r="E93" s="330">
        <v>96</v>
      </c>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0(含)-50</v>
      </c>
      <c r="D102" s="369" t="str">
        <f t="shared" ref="D102:L102" si="23">D103&amp;"(含)"&amp;"-"&amp;E103</f>
        <v>50(含)-100</v>
      </c>
      <c r="E102" s="369" t="str">
        <f t="shared" si="23"/>
        <v>100(含)-150</v>
      </c>
      <c r="F102" s="369" t="str">
        <f t="shared" si="23"/>
        <v>150(含)-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50</v>
      </c>
      <c r="E103" s="5">
        <v>100</v>
      </c>
      <c r="F103" s="5">
        <v>150</v>
      </c>
      <c r="G103" s="5"/>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373"/>
      <c r="D120" s="373"/>
      <c r="E120" s="373"/>
      <c r="F120" s="373"/>
      <c r="G120" s="349"/>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E2" xr:uid="{00000000-0002-0000-1300-000015000000}">
      <formula1>"需扣减承租人权益,——"</formula1>
    </dataValidation>
    <dataValidation type="list" allowBlank="1" showInputMessage="1" showErrorMessage="1" sqref="H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 type="list" allowBlank="1" showInputMessage="1" showErrorMessage="1" sqref="C2" xr:uid="{00000000-0002-0000-13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2659.1750000000002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362285</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20645290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14680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1452</v>
      </c>
      <c r="C10" s="121">
        <f ca="1">ROUND(D10*E10,0)</f>
        <v>14680</v>
      </c>
      <c r="D10" s="566">
        <f ca="1">IF(B1="",'数据-汇总表'!E6,IF(INDIRECT("'数据-取费表'!c"&amp;$G$1)="住宅",INDIRECT("'数据-取费表'!s"&amp;$G$1),INDIRECT("'数据-取费表'!k"&amp;$G$1)+INDIRECT("'数据-取费表'!s"&amp;$G$1)))</f>
        <v>73.400000000000006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9542</v>
      </c>
      <c r="D19" s="108">
        <f ca="1">D9+D10</f>
        <v>73.400000000000006</v>
      </c>
      <c r="E19" s="107">
        <f>'数据-取费表'!B31</f>
        <v>130</v>
      </c>
      <c r="F19" s="127"/>
      <c r="G19" s="1375"/>
    </row>
    <row r="20" spans="1:7" s="110" customFormat="1" ht="13.5" customHeight="1">
      <c r="A20" s="151" t="s">
        <v>1516</v>
      </c>
      <c r="B20" s="106" t="s">
        <v>1517</v>
      </c>
      <c r="C20" s="128">
        <f ca="1">ROUND((C5+C19)*F20,0)</f>
        <v>413097</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1326158</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1312621</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607</v>
      </c>
      <c r="D24" s="134"/>
      <c r="E24" s="134"/>
      <c r="F24" s="135"/>
      <c r="G24" s="136" t="s">
        <v>1528</v>
      </c>
    </row>
    <row r="25" spans="1:7" s="110" customFormat="1" ht="24">
      <c r="A25" s="541" t="s">
        <v>1448</v>
      </c>
      <c r="B25" s="111" t="s">
        <v>1529</v>
      </c>
      <c r="C25" s="134">
        <f ca="1">ROUND(IF('数据-取费表'!B22&lt;=1,C20*F22*'数据-取费表'!B22/2,C20*(POWER((1+F22),'数据-取费表'!B22/2)-1)),0)</f>
        <v>12930</v>
      </c>
      <c r="D25" s="134"/>
      <c r="E25" s="137"/>
      <c r="F25" s="135"/>
      <c r="G25" s="138" t="s">
        <v>1530</v>
      </c>
    </row>
    <row r="26" spans="1:7" s="110" customFormat="1">
      <c r="A26" s="541" t="s">
        <v>348</v>
      </c>
      <c r="B26" s="111" t="s">
        <v>1459</v>
      </c>
      <c r="C26" s="134">
        <f ca="1">ROUND(IF('数据-取费表'!B22&lt;=1,F21*F22*'数据-取费表'!B22/2,F21*(POWER((1+F22),'数据-取费表'!B22/2)-1)),4)</f>
        <v>5.9999999999999995E-4</v>
      </c>
      <c r="D26" s="134"/>
      <c r="E26" s="137"/>
      <c r="F26" s="135"/>
      <c r="G26" s="139"/>
    </row>
    <row r="27" spans="1:7" s="110" customFormat="1" ht="24.75">
      <c r="A27" s="151" t="s">
        <v>1460</v>
      </c>
      <c r="B27" s="140" t="s">
        <v>1461</v>
      </c>
      <c r="C27" s="141">
        <f ca="1">C28</f>
        <v>3160189</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3160189</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26188026</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375808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330300</v>
      </c>
      <c r="D34" s="113"/>
      <c r="E34" s="116"/>
      <c r="F34" s="153"/>
      <c r="G34" s="115"/>
    </row>
    <row r="35" spans="1:7" ht="13.5" customHeight="1">
      <c r="A35" s="541" t="s">
        <v>349</v>
      </c>
      <c r="B35" s="111" t="s">
        <v>1473</v>
      </c>
      <c r="C35" s="116">
        <f ca="1">ROUND(C34*F35,0)</f>
        <v>16515</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25690</v>
      </c>
      <c r="D37" s="113">
        <f ca="1">D19</f>
        <v>73.400000000000006</v>
      </c>
      <c r="E37" s="145">
        <f>'数据-取费表'!B35</f>
        <v>350</v>
      </c>
      <c r="F37" s="155"/>
      <c r="G37" s="157"/>
    </row>
    <row r="38" spans="1:7" ht="13.5" customHeight="1">
      <c r="A38" s="541" t="s">
        <v>352</v>
      </c>
      <c r="B38" s="111" t="s">
        <v>1479</v>
      </c>
      <c r="C38" s="116">
        <f ca="1">ROUND(C34*F38,0)</f>
        <v>3303</v>
      </c>
      <c r="D38" s="116"/>
      <c r="E38" s="116"/>
      <c r="F38" s="155">
        <f>'数据-取费表'!B36</f>
        <v>0.01</v>
      </c>
      <c r="G38" s="115" t="s">
        <v>1474</v>
      </c>
    </row>
    <row r="39" spans="1:7" s="110" customFormat="1" ht="13.5" customHeight="1">
      <c r="A39" s="151" t="s">
        <v>1480</v>
      </c>
      <c r="B39" s="106" t="s">
        <v>1481</v>
      </c>
      <c r="C39" s="128">
        <f ca="1">ROUND(C33*F20,0)</f>
        <v>7516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11998</v>
      </c>
      <c r="D41" s="131">
        <f ca="1">C44</f>
        <v>5.9999999999999995E-4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11763</v>
      </c>
      <c r="D42" s="134"/>
      <c r="E42" s="134"/>
      <c r="F42" s="135"/>
      <c r="G42" s="4387" t="s">
        <v>1533</v>
      </c>
    </row>
    <row r="43" spans="1:7" ht="13.5" customHeight="1">
      <c r="A43" s="541" t="s">
        <v>345</v>
      </c>
      <c r="B43" s="111" t="s">
        <v>1490</v>
      </c>
      <c r="C43" s="134">
        <f ca="1">ROUND(IF('数据-取费表'!B22&lt;=1,C39*F22*'数据-取费表'!B20/2,C39*(POWER((1+F22),'数据-取费表'!B20/2)-1)),0)</f>
        <v>235</v>
      </c>
      <c r="D43" s="134"/>
      <c r="E43" s="134"/>
      <c r="F43" s="135"/>
      <c r="G43" s="4446"/>
    </row>
    <row r="44" spans="1:7" ht="13.5" customHeight="1">
      <c r="A44" s="541" t="s">
        <v>346</v>
      </c>
      <c r="B44" s="111" t="s">
        <v>1491</v>
      </c>
      <c r="C44" s="134">
        <f ca="1">ROUND(IF('数据-取费表'!B22&lt;=1,C40*F22*'数据-取费表'!B20/2,C40*(POWER((1+F22),'数据-取费表'!B20/2)-1)),4)</f>
        <v>5.9999999999999995E-4</v>
      </c>
      <c r="D44" s="134"/>
      <c r="E44" s="134"/>
      <c r="F44" s="135"/>
      <c r="G44" s="4388"/>
    </row>
    <row r="45" spans="1:7" s="110" customFormat="1" ht="13.5" customHeight="1">
      <c r="A45" s="151" t="s">
        <v>1492</v>
      </c>
      <c r="B45" s="140" t="s">
        <v>1461</v>
      </c>
      <c r="C45" s="141">
        <f ca="1">C46</f>
        <v>57499</v>
      </c>
      <c r="D45" s="131">
        <f ca="1">C47</f>
        <v>3.0000000000000001E-3</v>
      </c>
      <c r="E45" s="132" t="s">
        <v>1485</v>
      </c>
      <c r="F45" s="142">
        <f ca="1">F27</f>
        <v>0.15</v>
      </c>
      <c r="G45" s="143" t="s">
        <v>1493</v>
      </c>
    </row>
    <row r="46" spans="1:7" s="110" customFormat="1" ht="13.5" customHeight="1">
      <c r="A46" s="541" t="s">
        <v>344</v>
      </c>
      <c r="B46" s="144" t="s">
        <v>1494</v>
      </c>
      <c r="C46" s="145">
        <f ca="1">ROUND((C33+C39)*F27,0)</f>
        <v>57499</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464051</v>
      </c>
      <c r="D49" s="128"/>
      <c r="E49" s="128"/>
      <c r="F49" s="160"/>
      <c r="G49" s="130" t="s">
        <v>1498</v>
      </c>
    </row>
    <row r="50" spans="1:7" s="154" customFormat="1">
      <c r="A50" s="151" t="s">
        <v>1499</v>
      </c>
      <c r="B50" s="106" t="s">
        <v>1500</v>
      </c>
      <c r="C50" s="128"/>
      <c r="D50" s="128"/>
      <c r="E50" s="128"/>
      <c r="F50" s="160">
        <f>IF('数据-取费表'!B24=0,'数据-取费表'!N16,1)</f>
        <v>0.87</v>
      </c>
      <c r="G50" s="143"/>
    </row>
    <row r="51" spans="1:7" ht="16.5" customHeight="1">
      <c r="A51" s="151" t="s">
        <v>1501</v>
      </c>
      <c r="B51" s="106" t="s">
        <v>1535</v>
      </c>
      <c r="C51" s="128">
        <f ca="1">ROUND(C49*F50,0)</f>
        <v>403724</v>
      </c>
      <c r="D51" s="128"/>
      <c r="E51" s="128"/>
      <c r="F51" s="160"/>
      <c r="G51" s="130" t="s">
        <v>1502</v>
      </c>
    </row>
    <row r="52" spans="1:7" s="104" customFormat="1" ht="16.5" thickBot="1">
      <c r="A52" s="161" t="s">
        <v>1503</v>
      </c>
      <c r="B52" s="162"/>
      <c r="C52" s="163">
        <f ca="1">C31+C51</f>
        <v>26591750</v>
      </c>
      <c r="D52" s="162"/>
      <c r="E52" s="162"/>
      <c r="F52" s="162"/>
      <c r="G52" s="164"/>
    </row>
    <row r="55" spans="1:7" ht="15">
      <c r="B55" s="166" t="s">
        <v>1504</v>
      </c>
      <c r="C55" s="167"/>
    </row>
    <row r="56" spans="1:7">
      <c r="B56" s="169" t="s">
        <v>788</v>
      </c>
      <c r="C56" s="171">
        <f ca="1">1-C57</f>
        <v>0.98499999999999999</v>
      </c>
    </row>
    <row r="57" spans="1:7">
      <c r="B57" s="169" t="s">
        <v>789</v>
      </c>
      <c r="C57" s="170">
        <f ca="1">ROUND(C51/C52,3)</f>
        <v>1.4999999999999999E-2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47" t="s">
        <v>391</v>
      </c>
      <c r="B7" s="4450" t="s">
        <v>3811</v>
      </c>
      <c r="C7" s="4455">
        <f ca="1">ROUND(F6*F7*F8/10000,2)</f>
        <v>0</v>
      </c>
      <c r="D7" s="4449" t="s">
        <v>3483</v>
      </c>
      <c r="E7" s="746" t="s">
        <v>683</v>
      </c>
      <c r="F7" s="3564">
        <f ca="1">IF(INDIRECT("'数据-取费表'!ah"&amp;$G$1)="",INDIRECT("'数据-取费表'!k"&amp;$G$1),INDIRECT("'数据-取费表'!ah"&amp;$G$1))</f>
        <v>0</v>
      </c>
      <c r="G7" s="972"/>
      <c r="H7" s="4447" t="s">
        <v>391</v>
      </c>
      <c r="I7" s="4450" t="s">
        <v>3811</v>
      </c>
      <c r="J7" s="4452">
        <f ca="1">ROUND(M6*M8*M7/10000,2)</f>
        <v>0</v>
      </c>
      <c r="K7" s="4449" t="s">
        <v>3483</v>
      </c>
      <c r="L7" s="187" t="s">
        <v>683</v>
      </c>
      <c r="M7" s="3564">
        <f ca="1">F7</f>
        <v>0</v>
      </c>
    </row>
    <row r="8" spans="1:37" ht="18" customHeight="1">
      <c r="A8" s="4448"/>
      <c r="B8" s="4451"/>
      <c r="C8" s="4455"/>
      <c r="D8" s="4449"/>
      <c r="E8" s="187" t="s">
        <v>684</v>
      </c>
      <c r="F8" s="3564">
        <f ca="1">INDIRECT("'数据-取费表'!ai"&amp;$G$1)</f>
        <v>0</v>
      </c>
      <c r="G8" s="972"/>
      <c r="H8" s="4448"/>
      <c r="I8" s="4451"/>
      <c r="J8" s="4452"/>
      <c r="K8" s="4449"/>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0.12000000000000001</v>
      </c>
      <c r="G15" s="982"/>
      <c r="H15" s="686" t="s">
        <v>391</v>
      </c>
      <c r="I15" s="2805" t="s">
        <v>3410</v>
      </c>
      <c r="J15" s="2790">
        <f ca="1">ROUND((J16-J17)*(1+M15),2)</f>
        <v>0</v>
      </c>
      <c r="K15" s="1031"/>
      <c r="L15" s="187" t="s">
        <v>3446</v>
      </c>
      <c r="M15" s="2864">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0.01</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0</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0.02V建</v>
      </c>
      <c r="D42" s="2821" t="s">
        <v>3838</v>
      </c>
      <c r="E42" s="2820" t="s">
        <v>3839</v>
      </c>
      <c r="F42" s="2866">
        <f>'数据-取费表'!B39</f>
        <v>0.02</v>
      </c>
      <c r="G42" s="972"/>
      <c r="H42" s="47"/>
      <c r="I42" s="47"/>
      <c r="J42" s="47"/>
      <c r="K42" s="1905"/>
      <c r="L42" s="47"/>
      <c r="M42" s="47"/>
    </row>
    <row r="43" spans="1:13" ht="18" customHeight="1">
      <c r="A43" s="200" t="s">
        <v>3437</v>
      </c>
      <c r="B43" s="2823" t="s">
        <v>3423</v>
      </c>
      <c r="C43" s="3567" t="str">
        <f ca="1">C44&amp;"+"&amp;C45&amp;"V建"</f>
        <v>0+0.0006V建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5.9999999999999995E-4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4174" t="s">
        <v>3896</v>
      </c>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56" t="s">
        <v>3811</v>
      </c>
      <c r="C58" s="4457">
        <f ca="1">ROUND(F57*F59*F58/10000,2)</f>
        <v>0</v>
      </c>
      <c r="D58" s="4449"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56"/>
      <c r="C59" s="4458"/>
      <c r="D59" s="4449"/>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53" t="s">
        <v>823</v>
      </c>
      <c r="L61" s="4454"/>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0.12000000000000001</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zoomScaleNormal="100" zoomScaleSheetLayoutView="100" workbookViewId="0">
      <selection activeCell="E22" sqref="E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28.98</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139.60890000000001</v>
      </c>
      <c r="C2" s="969" t="s">
        <v>791</v>
      </c>
      <c r="D2" s="3471" t="s">
        <v>3905</v>
      </c>
      <c r="E2" s="974"/>
      <c r="F2" s="975"/>
      <c r="G2" s="2010"/>
      <c r="H2" s="2000"/>
      <c r="I2" s="2000"/>
      <c r="J2" s="2000"/>
      <c r="K2" s="2001"/>
      <c r="L2" s="2000"/>
      <c r="M2" s="2000"/>
    </row>
    <row r="3" spans="1:37" ht="18" customHeight="1" thickBot="1">
      <c r="A3" s="976" t="s">
        <v>792</v>
      </c>
      <c r="B3" s="977">
        <f ca="1">IF(ISERROR(D3/F31),0,ROUND(D3/F31,0))</f>
        <v>19020</v>
      </c>
      <c r="C3" s="969" t="s">
        <v>793</v>
      </c>
      <c r="D3" s="969">
        <f ca="1">IF(D2="含税",ROUND((C27+J30+L53)*(1+F30),0),C27+J30+L53)</f>
        <v>1396089</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101397</v>
      </c>
      <c r="D5" s="953" t="s">
        <v>3816</v>
      </c>
      <c r="E5" s="741"/>
      <c r="F5" s="742"/>
      <c r="G5" s="972"/>
      <c r="H5" s="184">
        <v>1</v>
      </c>
      <c r="I5" s="185" t="s">
        <v>679</v>
      </c>
      <c r="J5" s="2838">
        <f ca="1">J6+J10+J12</f>
        <v>0</v>
      </c>
      <c r="K5" s="953" t="s">
        <v>3816</v>
      </c>
      <c r="L5" s="3347"/>
      <c r="M5" s="742"/>
    </row>
    <row r="6" spans="1:37" ht="18" customHeight="1">
      <c r="A6" s="739" t="s">
        <v>392</v>
      </c>
      <c r="B6" s="2806" t="s">
        <v>3813</v>
      </c>
      <c r="C6" s="3574">
        <f ca="1">C7-C9</f>
        <v>101270</v>
      </c>
      <c r="D6" s="2807" t="s">
        <v>3818</v>
      </c>
      <c r="E6" s="2805" t="s">
        <v>3406</v>
      </c>
      <c r="F6" s="3159">
        <f ca="1">INDIRECT("'数据-取费表'!u"&amp;$G$1)</f>
        <v>4.2</v>
      </c>
      <c r="G6" s="972"/>
      <c r="H6" s="739" t="s">
        <v>392</v>
      </c>
      <c r="I6" s="2806" t="s">
        <v>3813</v>
      </c>
      <c r="J6" s="2839">
        <f ca="1">J7-J9</f>
        <v>0</v>
      </c>
      <c r="K6" s="2807" t="s">
        <v>3818</v>
      </c>
      <c r="L6" s="3348" t="s">
        <v>3406</v>
      </c>
      <c r="M6" s="3599">
        <f ca="1">INDIRECT("'数据-取费表'!z"&amp;$G$1)</f>
        <v>0</v>
      </c>
    </row>
    <row r="7" spans="1:37" ht="18" customHeight="1">
      <c r="A7" s="4447" t="s">
        <v>391</v>
      </c>
      <c r="B7" s="4450" t="s">
        <v>3811</v>
      </c>
      <c r="C7" s="4460">
        <f ca="1">ROUND(F6*F7*F8,0)</f>
        <v>112522</v>
      </c>
      <c r="D7" s="4449" t="s">
        <v>3483</v>
      </c>
      <c r="E7" s="746" t="s">
        <v>683</v>
      </c>
      <c r="F7" s="3564">
        <f ca="1">IF(INDIRECT("'数据-取费表'!ah"&amp;$G$1)="",INDIRECT("'数据-取费表'!k"&amp;$G$1),INDIRECT("'数据-取费表'!ah"&amp;$G$1))</f>
        <v>73.400000000000006</v>
      </c>
      <c r="G7" s="972"/>
      <c r="H7" s="4447" t="s">
        <v>391</v>
      </c>
      <c r="I7" s="4450" t="s">
        <v>3811</v>
      </c>
      <c r="J7" s="4459">
        <f ca="1">ROUND(M6*M8*M7,0)</f>
        <v>0</v>
      </c>
      <c r="K7" s="4449" t="s">
        <v>3483</v>
      </c>
      <c r="L7" s="1912" t="s">
        <v>683</v>
      </c>
      <c r="M7" s="3600">
        <f ca="1">F7</f>
        <v>73.400000000000006</v>
      </c>
    </row>
    <row r="8" spans="1:37" ht="18" customHeight="1">
      <c r="A8" s="4448"/>
      <c r="B8" s="4451"/>
      <c r="C8" s="4460"/>
      <c r="D8" s="4449"/>
      <c r="E8" s="187" t="s">
        <v>684</v>
      </c>
      <c r="F8" s="3564">
        <f ca="1">INDIRECT("'数据-取费表'!ai"&amp;$G$1)</f>
        <v>365</v>
      </c>
      <c r="G8" s="972"/>
      <c r="H8" s="4448"/>
      <c r="I8" s="4451"/>
      <c r="J8" s="4459"/>
      <c r="K8" s="4449"/>
      <c r="L8" s="1912" t="s">
        <v>684</v>
      </c>
      <c r="M8" s="3600">
        <f ca="1">INDIRECT("'数据-取费表'!ai"&amp;$G$1)</f>
        <v>365</v>
      </c>
    </row>
    <row r="9" spans="1:37" ht="18" customHeight="1">
      <c r="A9" s="2788" t="s">
        <v>3407</v>
      </c>
      <c r="B9" s="3170" t="s">
        <v>3812</v>
      </c>
      <c r="C9" s="3172">
        <f ca="1">ROUND(C7*F9,0)</f>
        <v>11252</v>
      </c>
      <c r="D9" s="2807" t="s">
        <v>3817</v>
      </c>
      <c r="E9" s="187" t="s">
        <v>685</v>
      </c>
      <c r="F9" s="2866">
        <f ca="1">INDIRECT("'数据-取费表'!w"&amp;$G$1)</f>
        <v>0.1</v>
      </c>
      <c r="G9" s="972"/>
      <c r="H9" s="2788" t="s">
        <v>3407</v>
      </c>
      <c r="I9" s="3170" t="s">
        <v>3812</v>
      </c>
      <c r="J9" s="2839">
        <f ca="1">ROUND(J7*M9,0)</f>
        <v>0</v>
      </c>
      <c r="K9" s="2807" t="s">
        <v>3817</v>
      </c>
      <c r="L9" s="3169" t="s">
        <v>685</v>
      </c>
      <c r="M9" s="3589">
        <f ca="1">INDIRECT("'数据-取费表'!ab"&amp;$G$1)</f>
        <v>0</v>
      </c>
    </row>
    <row r="10" spans="1:37" ht="18" customHeight="1">
      <c r="A10" s="739" t="s">
        <v>396</v>
      </c>
      <c r="B10" s="954" t="s">
        <v>686</v>
      </c>
      <c r="C10" s="2839">
        <f ca="1">ROUND(IF(F10="押一",C6/12*F11,IF(F10="押二",C6/12*2*F11,IF(F10="押三",C6/12*3*F11,C11*F11))),0)</f>
        <v>127</v>
      </c>
      <c r="D10" s="59" t="s">
        <v>2028</v>
      </c>
      <c r="E10" s="198" t="s">
        <v>687</v>
      </c>
      <c r="F10" s="781" t="s">
        <v>3922</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26712</v>
      </c>
      <c r="D13" s="756" t="s">
        <v>3832</v>
      </c>
      <c r="E13" s="757"/>
      <c r="F13" s="742"/>
      <c r="G13" s="972"/>
      <c r="H13" s="748" t="s">
        <v>3692</v>
      </c>
      <c r="I13" s="749" t="s">
        <v>700</v>
      </c>
      <c r="J13" s="3173">
        <f ca="1">ROUND(J14+J21+J23+J25,0)</f>
        <v>5981</v>
      </c>
      <c r="K13" s="937" t="s">
        <v>3453</v>
      </c>
      <c r="L13" s="742"/>
      <c r="M13" s="3592"/>
    </row>
    <row r="14" spans="1:37" ht="18" customHeight="1">
      <c r="A14" s="686" t="s">
        <v>392</v>
      </c>
      <c r="B14" s="187" t="s">
        <v>705</v>
      </c>
      <c r="C14" s="2791">
        <f ca="1">ROUND(IF(AND(项目基本情况!B11="自然人",项目基本情况!B10="北京市",M54="住宅"),C6*F14,C15+C18+C19),2)</f>
        <v>21962</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3662</v>
      </c>
      <c r="K14" s="2835" t="s">
        <v>3452</v>
      </c>
      <c r="L14" s="70" t="str">
        <f>E14</f>
        <v/>
      </c>
      <c r="M14" s="4007" t="str">
        <f>IF(M54="非住宅","",IF(M6*M7*M8/12/(1+'数据-取费表'!F30)&gt;100000,4%,2.5%))</f>
        <v/>
      </c>
    </row>
    <row r="15" spans="1:37" s="983" customFormat="1" ht="18" customHeight="1">
      <c r="A15" s="2788" t="s">
        <v>391</v>
      </c>
      <c r="B15" s="2805" t="s">
        <v>3286</v>
      </c>
      <c r="C15" s="2791">
        <f ca="1">ROUND((C16-C17)*(1+F15),0)</f>
        <v>9810</v>
      </c>
      <c r="D15" s="2835" t="s">
        <v>3452</v>
      </c>
      <c r="E15" s="187" t="s">
        <v>3446</v>
      </c>
      <c r="F15" s="2864">
        <f>'数据-取费表'!B44</f>
        <v>0.12000000000000001</v>
      </c>
      <c r="G15" s="982"/>
      <c r="H15" s="686" t="s">
        <v>391</v>
      </c>
      <c r="I15" s="2805" t="s">
        <v>3286</v>
      </c>
      <c r="J15" s="2791">
        <f ca="1">ROUND((J16-J17)*(1+M15),0)</f>
        <v>-234</v>
      </c>
      <c r="K15" s="1031"/>
      <c r="L15" s="1912" t="s">
        <v>3446</v>
      </c>
      <c r="M15" s="3593">
        <f>'数据-取费表'!B44</f>
        <v>0.12000000000000001</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9114</v>
      </c>
      <c r="D16" s="1031" t="s">
        <v>3883</v>
      </c>
      <c r="E16" s="2816" t="s">
        <v>3413</v>
      </c>
      <c r="F16" s="2864">
        <v>0.09</v>
      </c>
      <c r="G16" s="972"/>
      <c r="H16" s="2582" t="s">
        <v>3289</v>
      </c>
      <c r="I16" s="2810" t="s">
        <v>3411</v>
      </c>
      <c r="J16" s="2735">
        <f ca="1">ROUND(J6*M16,0)</f>
        <v>0</v>
      </c>
      <c r="K16" s="4171" t="s">
        <v>3884</v>
      </c>
      <c r="L16" s="3350" t="s">
        <v>3413</v>
      </c>
      <c r="M16" s="3593">
        <v>0.09</v>
      </c>
    </row>
    <row r="17" spans="1:37" s="983" customFormat="1" ht="18" customHeight="1">
      <c r="A17" s="2582" t="s">
        <v>3290</v>
      </c>
      <c r="B17" s="2810" t="s">
        <v>3412</v>
      </c>
      <c r="C17" s="3155">
        <f ca="1">ROUND(C21*F16+((C23+C25)*F17),0)</f>
        <v>355</v>
      </c>
      <c r="D17" s="4171" t="s">
        <v>3886</v>
      </c>
      <c r="E17" s="2817"/>
      <c r="F17" s="2864">
        <v>0.06</v>
      </c>
      <c r="G17" s="982"/>
      <c r="H17" s="2582" t="s">
        <v>3290</v>
      </c>
      <c r="I17" s="2810" t="s">
        <v>3412</v>
      </c>
      <c r="J17" s="3155">
        <f ca="1">ROUND(J21*M16+((J23+J25)*M17),0)</f>
        <v>209</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12152</v>
      </c>
      <c r="D18" s="2809" t="s">
        <v>3923</v>
      </c>
      <c r="E18" s="187" t="s">
        <v>698</v>
      </c>
      <c r="F18" s="4181">
        <v>0.12</v>
      </c>
      <c r="G18" s="982"/>
      <c r="H18" s="686" t="s">
        <v>393</v>
      </c>
      <c r="I18" s="187" t="s">
        <v>713</v>
      </c>
      <c r="J18" s="2791">
        <f ca="1">IF(K18="按不含税租金收入（有效毛租金收入）计税",ROUND(J6*M18,0),ROUND(C49*M18*0.7,0))</f>
        <v>3896</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2319</v>
      </c>
      <c r="D21" s="1820" t="s">
        <v>725</v>
      </c>
      <c r="E21" s="187" t="s">
        <v>698</v>
      </c>
      <c r="F21" s="2866">
        <f ca="1">INDIRECT("'数据-取费表'!Ak"&amp;$G$1)</f>
        <v>5.0000000000000001E-3</v>
      </c>
      <c r="G21" s="982"/>
      <c r="H21" s="4037" t="s">
        <v>396</v>
      </c>
      <c r="I21" s="56" t="s">
        <v>724</v>
      </c>
      <c r="J21" s="4057">
        <f ca="1">ROUND(J33*M21,0)</f>
        <v>2319</v>
      </c>
      <c r="K21" s="1820" t="s">
        <v>725</v>
      </c>
      <c r="L21" s="1912" t="s">
        <v>698</v>
      </c>
      <c r="M21" s="4081">
        <f ca="1">INDIRECT("'数据-取费表'!Ak"&amp;$G$1)</f>
        <v>5.0000000000000001E-3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463766</v>
      </c>
      <c r="G22" s="982"/>
      <c r="H22" s="210"/>
      <c r="I22" s="196"/>
      <c r="J22" s="4058"/>
      <c r="K22" s="4117"/>
      <c r="L22" s="2805" t="s">
        <v>3842</v>
      </c>
      <c r="M22" s="3564">
        <f ca="1">J33</f>
        <v>463766</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403</v>
      </c>
      <c r="D23" s="1820" t="s">
        <v>3450</v>
      </c>
      <c r="E23" s="187" t="s">
        <v>698</v>
      </c>
      <c r="F23" s="2866">
        <f ca="1">INDIRECT("'数据-取费表'!Al"&amp;$G$1)</f>
        <v>1E-3</v>
      </c>
      <c r="G23" s="972"/>
      <c r="H23" s="4037" t="s">
        <v>431</v>
      </c>
      <c r="I23" s="56" t="s">
        <v>728</v>
      </c>
      <c r="J23" s="4057">
        <f ca="1">ROUND(J35*M23,0)</f>
        <v>0</v>
      </c>
      <c r="K23" s="1820" t="s">
        <v>729</v>
      </c>
      <c r="L23" s="1912" t="s">
        <v>698</v>
      </c>
      <c r="M23" s="4081">
        <f ca="1">INDIRECT("'数据-取费表'!Al"&amp;$G$1)</f>
        <v>1E-3</v>
      </c>
    </row>
    <row r="24" spans="1:37" ht="18" customHeight="1">
      <c r="A24" s="210"/>
      <c r="B24" s="196"/>
      <c r="C24" s="4058"/>
      <c r="D24" s="4117"/>
      <c r="E24" s="4116" t="s">
        <v>3843</v>
      </c>
      <c r="F24" s="3564">
        <f ca="1">C51</f>
        <v>403476</v>
      </c>
      <c r="G24" s="972"/>
      <c r="H24" s="210"/>
      <c r="I24" s="196"/>
      <c r="J24" s="4058"/>
      <c r="K24" s="4117"/>
      <c r="L24" s="4116" t="s">
        <v>3843</v>
      </c>
      <c r="M24" s="3564">
        <f ca="1">J35</f>
        <v>0</v>
      </c>
    </row>
    <row r="25" spans="1:37" s="983" customFormat="1" ht="18" customHeight="1" thickBot="1">
      <c r="A25" s="758" t="s">
        <v>670</v>
      </c>
      <c r="B25" s="759" t="s">
        <v>714</v>
      </c>
      <c r="C25" s="3158">
        <f ca="1">ROUND(C5*F25,0)</f>
        <v>2028</v>
      </c>
      <c r="D25" s="761" t="s">
        <v>3891</v>
      </c>
      <c r="E25" s="759" t="s">
        <v>698</v>
      </c>
      <c r="F25" s="2934">
        <f ca="1">INDIRECT("'数据-取费表'!Am"&amp;$G$1)</f>
        <v>0.02</v>
      </c>
      <c r="G25" s="982"/>
      <c r="H25" s="758" t="s">
        <v>670</v>
      </c>
      <c r="I25" s="759" t="s">
        <v>714</v>
      </c>
      <c r="J25" s="3158">
        <f ca="1">ROUND(J5*M25,0)</f>
        <v>0</v>
      </c>
      <c r="K25" s="761" t="s">
        <v>3891</v>
      </c>
      <c r="L25" s="3349" t="s">
        <v>698</v>
      </c>
      <c r="M25" s="3594">
        <f ca="1">INDIRECT("'数据-取费表'!Am"&amp;$G$1)</f>
        <v>0.02</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74685</v>
      </c>
      <c r="D26" s="764" t="s">
        <v>3889</v>
      </c>
      <c r="E26" s="765"/>
      <c r="F26" s="766"/>
      <c r="G26" s="982"/>
      <c r="H26" s="748" t="s">
        <v>3301</v>
      </c>
      <c r="I26" s="763" t="s">
        <v>738</v>
      </c>
      <c r="J26" s="3173">
        <f ca="1">J5-J13</f>
        <v>-5981</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1258005</v>
      </c>
      <c r="D27" s="208" t="s">
        <v>3846</v>
      </c>
      <c r="E27" s="187" t="s">
        <v>745</v>
      </c>
      <c r="F27" s="2866">
        <f ca="1">INDIRECT("'数据-取费表'!I"&amp;$G$1)</f>
        <v>5.5E-2</v>
      </c>
      <c r="G27" s="972"/>
      <c r="H27" s="184" t="s">
        <v>3694</v>
      </c>
      <c r="I27" s="2808" t="s">
        <v>3833</v>
      </c>
      <c r="J27" s="4119">
        <f ca="1">IF(J5&lt;&gt;0,ROUND(J26*(1-((1+M29)/(1+M27))^M28)/(M27-M29),0),0)</f>
        <v>0</v>
      </c>
      <c r="K27" s="208" t="s">
        <v>3846</v>
      </c>
      <c r="L27" s="3169" t="s">
        <v>745</v>
      </c>
      <c r="M27" s="3589">
        <f ca="1">INDIRECT("'数据-取费表'!I"&amp;$G$1)</f>
        <v>5.5E-2</v>
      </c>
    </row>
    <row r="28" spans="1:37" ht="18.75" customHeight="1">
      <c r="A28" s="189"/>
      <c r="B28" s="190"/>
      <c r="C28" s="4120"/>
      <c r="D28" s="215"/>
      <c r="E28" s="187" t="s">
        <v>749</v>
      </c>
      <c r="F28" s="2868">
        <f ca="1">IF(INDIRECT("'数据-取费表'!af"&amp;$G$1)=0,INDIRECT("'数据-取费表'!ae"&amp;$G$1),INDIRECT("'数据-取费表'!af"&amp;$G$1))</f>
        <v>28.98</v>
      </c>
      <c r="G28" s="972"/>
      <c r="H28" s="189"/>
      <c r="I28" s="190"/>
      <c r="J28" s="4120"/>
      <c r="K28" s="215"/>
      <c r="L28" s="1912" t="s">
        <v>749</v>
      </c>
      <c r="M28" s="3596">
        <f ca="1">INDIRECT("'数据-取费表'!ag"&amp;$G$1)</f>
        <v>0</v>
      </c>
    </row>
    <row r="29" spans="1:37" ht="18" customHeight="1">
      <c r="A29" s="193"/>
      <c r="B29" s="194"/>
      <c r="C29" s="4121"/>
      <c r="D29" s="211"/>
      <c r="E29" s="187" t="s">
        <v>752</v>
      </c>
      <c r="F29" s="2866">
        <f ca="1">INDIRECT("'数据-取费表'!v"&amp;$G$1)</f>
        <v>1.4999999999999999E-2</v>
      </c>
      <c r="G29" s="972"/>
      <c r="H29" s="193"/>
      <c r="I29" s="194"/>
      <c r="J29" s="4121"/>
      <c r="K29" s="211"/>
      <c r="L29" s="1912" t="s">
        <v>752</v>
      </c>
      <c r="M29" s="3597">
        <f ca="1">INDIRECT("'数据-取费表'!aa"&amp;$G$1)</f>
        <v>0</v>
      </c>
    </row>
    <row r="30" spans="1:37" s="983" customFormat="1" ht="18" customHeight="1" thickBot="1">
      <c r="A30" s="4003" t="s">
        <v>3695</v>
      </c>
      <c r="B30" s="4004" t="s">
        <v>3481</v>
      </c>
      <c r="C30" s="4009">
        <f ca="1">ROUND(C27*(1+F30),0)</f>
        <v>1371225</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0</v>
      </c>
      <c r="K30" s="55" t="s">
        <v>3834</v>
      </c>
      <c r="L30" s="1912"/>
      <c r="M30" s="3596">
        <f ca="1">INDIRECT("'数据-取费表'!k"&amp;$G$1)</f>
        <v>73.400000000000006</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18682</v>
      </c>
      <c r="D31" s="4006" t="s">
        <v>3485</v>
      </c>
      <c r="E31" s="221" t="s">
        <v>764</v>
      </c>
      <c r="F31" s="2869">
        <f ca="1">INDIRECT("'数据-取费表'!k"&amp;$G$1)</f>
        <v>73.400000000000006</v>
      </c>
      <c r="G31" s="982"/>
      <c r="H31" s="3997" t="s">
        <v>3697</v>
      </c>
      <c r="I31" s="3998" t="s">
        <v>3482</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375808</v>
      </c>
      <c r="D33" s="2831" t="s">
        <v>3422</v>
      </c>
      <c r="E33" s="2827"/>
      <c r="F33" s="2828"/>
      <c r="G33" s="972"/>
      <c r="H33" s="2842" t="s">
        <v>3414</v>
      </c>
      <c r="I33" s="2845" t="s">
        <v>3455</v>
      </c>
      <c r="J33" s="2846">
        <f ca="1">C49</f>
        <v>463766</v>
      </c>
      <c r="K33" s="3340" t="s">
        <v>3451</v>
      </c>
      <c r="L33" s="2847"/>
      <c r="M33" s="3168"/>
    </row>
    <row r="34" spans="1:13" ht="18" customHeight="1">
      <c r="A34" s="2788" t="s">
        <v>391</v>
      </c>
      <c r="B34" s="2752" t="s">
        <v>693</v>
      </c>
      <c r="C34" s="2690">
        <f ca="1">ROUND(INDIRECT("'数据-取费表'!l"&amp;$G$1)*F31+'数据-取费表'!L14*INDIRECT("'数据-取费表'!S"&amp;$G$1),0)</f>
        <v>330300</v>
      </c>
      <c r="D34" s="936" t="s">
        <v>694</v>
      </c>
      <c r="E34" s="936"/>
      <c r="F34" s="216"/>
      <c r="G34" s="972"/>
      <c r="H34" s="2843" t="s">
        <v>396</v>
      </c>
      <c r="I34" s="2848" t="s">
        <v>3442</v>
      </c>
      <c r="J34" s="2735">
        <f ca="1">ROUND(J33*(1-M34),0)</f>
        <v>463766</v>
      </c>
      <c r="K34" s="187" t="s">
        <v>3445</v>
      </c>
      <c r="L34" s="2807" t="s">
        <v>3458</v>
      </c>
      <c r="M34" s="2866">
        <f ca="1">INDIRECT("'数据-取费表'!ad"&amp;$G$1)</f>
        <v>0</v>
      </c>
    </row>
    <row r="35" spans="1:13" ht="18" customHeight="1" thickBot="1">
      <c r="A35" s="2788" t="s">
        <v>3407</v>
      </c>
      <c r="B35" s="2752" t="s">
        <v>696</v>
      </c>
      <c r="C35" s="2791">
        <f ca="1">ROUND(C34*F35,0)</f>
        <v>16515</v>
      </c>
      <c r="D35" s="187" t="s">
        <v>697</v>
      </c>
      <c r="E35" s="187" t="s">
        <v>698</v>
      </c>
      <c r="F35" s="2864">
        <f>'数据-取费表'!B33</f>
        <v>0.05</v>
      </c>
      <c r="G35" s="972"/>
      <c r="H35" s="2844" t="s">
        <v>3433</v>
      </c>
      <c r="I35" s="2849" t="s">
        <v>3444</v>
      </c>
      <c r="J35" s="2850">
        <f ca="1">J33-J34</f>
        <v>0</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25690</v>
      </c>
      <c r="D37" s="187" t="s">
        <v>703</v>
      </c>
      <c r="E37" s="187" t="s">
        <v>704</v>
      </c>
      <c r="F37" s="3577">
        <f>'数据-取费表'!B35</f>
        <v>350</v>
      </c>
      <c r="G37" s="972"/>
    </row>
    <row r="38" spans="1:13" ht="18" customHeight="1">
      <c r="A38" s="2788" t="s">
        <v>669</v>
      </c>
      <c r="B38" s="2810" t="s">
        <v>3293</v>
      </c>
      <c r="C38" s="2791">
        <f ca="1">ROUND(C34*F38,0)</f>
        <v>3303</v>
      </c>
      <c r="D38" s="187" t="s">
        <v>697</v>
      </c>
      <c r="E38" s="187" t="s">
        <v>698</v>
      </c>
      <c r="F38" s="2864">
        <f>'数据-取费表'!B36</f>
        <v>0.01</v>
      </c>
      <c r="G38" s="972"/>
      <c r="H38" s="47"/>
      <c r="I38" s="47"/>
      <c r="J38" s="47"/>
      <c r="K38" s="1905"/>
      <c r="L38" s="47"/>
      <c r="M38" s="47"/>
    </row>
    <row r="39" spans="1:13" ht="18" customHeight="1">
      <c r="A39" s="2788" t="s">
        <v>669</v>
      </c>
      <c r="B39" s="2810" t="s">
        <v>3294</v>
      </c>
      <c r="C39" s="2791">
        <f ca="1">ROUND(C34*F39,0)</f>
        <v>0</v>
      </c>
      <c r="D39" s="187" t="s">
        <v>697</v>
      </c>
      <c r="E39" s="187" t="s">
        <v>698</v>
      </c>
      <c r="F39" s="2864">
        <f>'数据-取费表'!B37</f>
        <v>0</v>
      </c>
      <c r="G39" s="972"/>
      <c r="H39" s="47"/>
      <c r="I39" s="47"/>
      <c r="J39" s="47"/>
      <c r="K39" s="1905"/>
      <c r="L39" s="47"/>
      <c r="M39" s="47"/>
    </row>
    <row r="40" spans="1:13" ht="18" customHeight="1">
      <c r="A40" s="200" t="s">
        <v>3429</v>
      </c>
      <c r="B40" s="2820" t="s">
        <v>3430</v>
      </c>
      <c r="C40" s="2839">
        <f ca="1">ROUND(C33*F40,0)</f>
        <v>7516</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0.02V建</v>
      </c>
      <c r="D41" s="2821" t="s">
        <v>3435</v>
      </c>
      <c r="E41" s="2820" t="s">
        <v>3436</v>
      </c>
      <c r="F41" s="2866">
        <f>'数据-取费表'!B39</f>
        <v>0.02</v>
      </c>
      <c r="G41" s="972"/>
      <c r="H41" s="47"/>
      <c r="I41" s="47"/>
      <c r="J41" s="47"/>
      <c r="K41" s="1905"/>
      <c r="L41" s="47"/>
      <c r="M41" s="47"/>
    </row>
    <row r="42" spans="1:13" ht="18" customHeight="1">
      <c r="A42" s="200" t="s">
        <v>3437</v>
      </c>
      <c r="B42" s="2823" t="s">
        <v>3372</v>
      </c>
      <c r="C42" s="3567" t="str">
        <f ca="1">C43&amp;"+"&amp;C44&amp;"V建"</f>
        <v>11998+0.0006V建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11998</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5.9999999999999995E-4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57499+0.003V建</v>
      </c>
      <c r="D45" s="2772" t="s">
        <v>3439</v>
      </c>
      <c r="E45" s="201"/>
      <c r="F45" s="2865"/>
      <c r="G45" s="972"/>
      <c r="H45" s="47"/>
      <c r="I45" s="47"/>
      <c r="J45" s="47"/>
      <c r="K45" s="1905"/>
      <c r="L45" s="47"/>
      <c r="M45" s="47"/>
    </row>
    <row r="46" spans="1:13" ht="18" customHeight="1">
      <c r="A46" s="2788" t="s">
        <v>391</v>
      </c>
      <c r="B46" s="187" t="s">
        <v>740</v>
      </c>
      <c r="C46" s="2791">
        <f ca="1">ROUND((C33+C40)*F46,0)</f>
        <v>57499</v>
      </c>
      <c r="D46" s="207" t="s">
        <v>741</v>
      </c>
      <c r="E46" s="187" t="s">
        <v>742</v>
      </c>
      <c r="F46" s="2866">
        <f ca="1">INDIRECT("'数据-取费表'!q"&amp;$G$1)</f>
        <v>0.15</v>
      </c>
      <c r="G46" s="972"/>
      <c r="H46" s="47"/>
      <c r="I46" s="47"/>
      <c r="J46" s="47"/>
      <c r="K46" s="1905"/>
      <c r="L46" s="47"/>
      <c r="M46" s="47"/>
    </row>
    <row r="47" spans="1:13" ht="18" customHeight="1">
      <c r="A47" s="2788" t="s">
        <v>393</v>
      </c>
      <c r="B47" s="187" t="s">
        <v>746</v>
      </c>
      <c r="C47" s="3565">
        <f ca="1">ROUND(F41*F46,4)</f>
        <v>3.0000000000000001E-3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4174" t="s">
        <v>3897</v>
      </c>
      <c r="E48" s="2820"/>
      <c r="F48" s="2866"/>
      <c r="G48" s="972"/>
      <c r="H48" s="47"/>
      <c r="I48" s="47"/>
      <c r="J48" s="47"/>
      <c r="K48" s="1905"/>
      <c r="L48" s="47"/>
      <c r="M48" s="47"/>
    </row>
    <row r="49" spans="1:18" s="972" customFormat="1" ht="18" customHeight="1">
      <c r="A49" s="200" t="s">
        <v>3427</v>
      </c>
      <c r="B49" s="2820" t="s">
        <v>3428</v>
      </c>
      <c r="C49" s="2839">
        <f ca="1">ROUND((C33+C40+C43+C46)/(1-F41-C44-C47-C48),0)</f>
        <v>463766</v>
      </c>
      <c r="D49" s="2834" t="s">
        <v>3451</v>
      </c>
      <c r="E49" s="2820"/>
      <c r="F49" s="2866"/>
      <c r="K49" s="988"/>
      <c r="Q49" s="3580"/>
    </row>
    <row r="50" spans="1:18" s="972" customFormat="1" ht="18" customHeight="1">
      <c r="A50" s="2824" t="s">
        <v>3440</v>
      </c>
      <c r="B50" s="2823" t="s">
        <v>3442</v>
      </c>
      <c r="C50" s="2839">
        <f ca="1">ROUND(C49*(1-F50),0)</f>
        <v>60290</v>
      </c>
      <c r="D50" s="187" t="s">
        <v>3445</v>
      </c>
      <c r="E50" s="187" t="s">
        <v>692</v>
      </c>
      <c r="F50" s="2864">
        <f ca="1">INDIRECT("'数据-取费表'!y"&amp;$G$1)</f>
        <v>0.87</v>
      </c>
      <c r="K50" s="988"/>
      <c r="Q50" s="3580"/>
    </row>
    <row r="51" spans="1:18" s="972" customFormat="1" ht="18" customHeight="1" thickBot="1">
      <c r="A51" s="2825" t="s">
        <v>3443</v>
      </c>
      <c r="B51" s="2833" t="s">
        <v>3449</v>
      </c>
      <c r="C51" s="2850">
        <f ca="1">C49-C50</f>
        <v>403476</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-1409663</v>
      </c>
      <c r="D53" s="992" t="str">
        <f>C2</f>
        <v>万元</v>
      </c>
      <c r="E53" s="986"/>
      <c r="F53" s="986"/>
      <c r="I53" s="993" t="s">
        <v>796</v>
      </c>
      <c r="J53" s="994"/>
      <c r="K53" s="995"/>
      <c r="L53" s="4077">
        <f ca="1">IF(M54="住宅",0,IF(L55&gt;J58,L67,J67))</f>
        <v>22811</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3913</v>
      </c>
      <c r="K54" s="1002" t="s">
        <v>802</v>
      </c>
      <c r="L54" s="4078">
        <f ca="1">INDIRECT("'数据-取费表'!d"&amp;$G$1)</f>
        <v>40</v>
      </c>
      <c r="M54" s="968" t="str">
        <f>IF(ISNUMBER(FIND("住宅",C1)),"住宅","非住宅")</f>
        <v>非住宅</v>
      </c>
      <c r="O54" s="1004" t="s">
        <v>397</v>
      </c>
      <c r="P54" s="1005" t="s">
        <v>803</v>
      </c>
      <c r="Q54" s="3583">
        <f ca="1">C27+J30</f>
        <v>1258005</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3924</v>
      </c>
      <c r="K55" s="1009" t="s">
        <v>806</v>
      </c>
      <c r="L55" s="4067">
        <f ca="1">INDIRECT("'数据-取费表'!f"&amp;$G$1)</f>
        <v>28.98</v>
      </c>
      <c r="O55" s="1004" t="s">
        <v>398</v>
      </c>
      <c r="P55" s="1005" t="s">
        <v>807</v>
      </c>
      <c r="Q55" s="3583">
        <f ca="1">J67</f>
        <v>22811</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2018</v>
      </c>
      <c r="K56" s="1009" t="s">
        <v>810</v>
      </c>
      <c r="L56" s="4079"/>
      <c r="O56" s="1013" t="s">
        <v>399</v>
      </c>
      <c r="P56" s="1005" t="s">
        <v>811</v>
      </c>
      <c r="Q56" s="3583">
        <f ca="1">C49</f>
        <v>463766</v>
      </c>
      <c r="R56" s="1006" t="s">
        <v>804</v>
      </c>
    </row>
    <row r="57" spans="1:18" s="972" customFormat="1" ht="15" customHeight="1" thickBot="1">
      <c r="A57" s="4026" t="s">
        <v>3814</v>
      </c>
      <c r="B57" s="4450" t="s">
        <v>3811</v>
      </c>
      <c r="C57" s="3171">
        <f ca="1">ROUND(F56*F58*F57,0)</f>
        <v>0</v>
      </c>
      <c r="D57" s="4449" t="s">
        <v>3483</v>
      </c>
      <c r="E57" s="726" t="s">
        <v>683</v>
      </c>
      <c r="F57" s="2859">
        <f ca="1">F7</f>
        <v>73.400000000000006</v>
      </c>
      <c r="H57" s="501"/>
      <c r="I57" s="1007" t="s">
        <v>812</v>
      </c>
      <c r="J57" s="4083">
        <f>SUMPRODUCT((I70:I72=J54)*(J69:L69=J55)*(J70:L72))</f>
        <v>60</v>
      </c>
      <c r="K57" s="1009" t="s">
        <v>813</v>
      </c>
      <c r="L57" s="4079"/>
      <c r="M57" s="1015"/>
      <c r="O57" s="1013" t="s">
        <v>400</v>
      </c>
      <c r="P57" s="1005" t="s">
        <v>814</v>
      </c>
      <c r="Q57" s="3584">
        <f ca="1">J65</f>
        <v>0.4</v>
      </c>
      <c r="R57" s="1006"/>
    </row>
    <row r="58" spans="1:18" s="972" customFormat="1" ht="15" customHeight="1" thickBot="1">
      <c r="A58" s="4027"/>
      <c r="B58" s="4451"/>
      <c r="C58" s="4028"/>
      <c r="D58" s="4449"/>
      <c r="E58" s="685" t="s">
        <v>684</v>
      </c>
      <c r="F58" s="2860">
        <f ca="1">F8</f>
        <v>365</v>
      </c>
      <c r="I58" s="1017" t="s">
        <v>815</v>
      </c>
      <c r="J58" s="4067">
        <f>IF(J56="",J57,J56+J57-YEAR('数据-取费表'!B2))</f>
        <v>52</v>
      </c>
      <c r="K58" s="1018" t="s">
        <v>816</v>
      </c>
      <c r="L58" s="4054">
        <f ca="1">ROUND(-PV(INDIRECT("'数据-取费表'!h"&amp;$G$1),J58,(C26-C50*C85),0),0)</f>
        <v>1297824</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28.98</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28.98</v>
      </c>
      <c r="K60" s="4453" t="s">
        <v>823</v>
      </c>
      <c r="L60" s="4454"/>
      <c r="O60" s="1004" t="s">
        <v>403</v>
      </c>
      <c r="P60" s="1005" t="s">
        <v>824</v>
      </c>
      <c r="Q60" s="3583">
        <f ca="1">Q54+Q55</f>
        <v>1280816</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0.38400000000000001</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2461</v>
      </c>
      <c r="D63" s="664" t="s">
        <v>701</v>
      </c>
      <c r="E63" s="665"/>
      <c r="F63" s="666"/>
      <c r="I63" s="1033" t="s">
        <v>828</v>
      </c>
      <c r="J63" s="1034" t="s">
        <v>3925</v>
      </c>
      <c r="K63" s="1007" t="s">
        <v>829</v>
      </c>
      <c r="L63" s="4067" t="str">
        <f ca="1">IF(L55&lt;J58,"——",L55-J60)</f>
        <v>——</v>
      </c>
      <c r="O63" s="1004" t="s">
        <v>397</v>
      </c>
      <c r="P63" s="1005" t="s">
        <v>803</v>
      </c>
      <c r="Q63" s="3583">
        <f ca="1">C27+J30</f>
        <v>1258005</v>
      </c>
      <c r="R63" s="1006" t="s">
        <v>804</v>
      </c>
    </row>
    <row r="64" spans="1:18" s="972" customFormat="1" ht="24.75" thickBot="1">
      <c r="A64" s="547" t="s">
        <v>392</v>
      </c>
      <c r="B64" s="654" t="s">
        <v>705</v>
      </c>
      <c r="C64" s="2791">
        <f ca="1">ROUND(IF(AND(项目基本情况!B11="自然人",项目基本情况!B10="北京市",M54="住宅"),C56*F64,C65+C68+C69),0)</f>
        <v>-261</v>
      </c>
      <c r="D64" s="667" t="s">
        <v>3453</v>
      </c>
      <c r="E64" s="668" t="str">
        <f>E14</f>
        <v/>
      </c>
      <c r="F64" s="4007" t="str">
        <f>IF(M54="非住宅","",IF(F56*F57*F58/12/(1+'数据-取费表'!F30)&gt;100000,4%,2.5%))</f>
        <v/>
      </c>
      <c r="I64" s="1039" t="s">
        <v>830</v>
      </c>
      <c r="J64" s="4073">
        <f ca="1">IF(OR(M54="住宅",J58&lt;L55,J63="是"),"——",J58-L55)</f>
        <v>23.02</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-261</v>
      </c>
      <c r="D65" s="2835" t="s">
        <v>3452</v>
      </c>
      <c r="E65" s="187" t="s">
        <v>3446</v>
      </c>
      <c r="F65" s="2864">
        <f>F15</f>
        <v>0.12000000000000001</v>
      </c>
      <c r="I65" s="1039" t="s">
        <v>834</v>
      </c>
      <c r="J65" s="4074">
        <f ca="1">IF(J62&lt;0.4,0.4,J62)</f>
        <v>0.4</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185506</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233</v>
      </c>
      <c r="D67" s="4171" t="s">
        <v>3886</v>
      </c>
      <c r="E67" s="2817"/>
      <c r="F67" s="2864">
        <f t="shared" si="0"/>
        <v>0.06</v>
      </c>
      <c r="I67" s="1042" t="s">
        <v>839</v>
      </c>
      <c r="J67" s="4076">
        <f ca="1">IF(OR(M54="住宅",J58&lt;L55,J63="是"),"0",ROUND(J66/(1+J59)^J60,0))</f>
        <v>22811</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0.12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1258005</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2319</v>
      </c>
      <c r="D71" s="4040" t="s">
        <v>725</v>
      </c>
      <c r="E71" s="2783" t="s">
        <v>3826</v>
      </c>
      <c r="F71" s="2856">
        <f ca="1">C49</f>
        <v>463766</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5.0000000000000001E-3</v>
      </c>
      <c r="I72" s="3578" t="s">
        <v>853</v>
      </c>
      <c r="J72" s="224">
        <v>40</v>
      </c>
      <c r="K72" s="224">
        <v>30</v>
      </c>
      <c r="L72" s="224">
        <v>50</v>
      </c>
      <c r="M72" s="1049">
        <v>0.02</v>
      </c>
      <c r="O72" s="1004" t="s">
        <v>397</v>
      </c>
      <c r="P72" s="1005" t="s">
        <v>854</v>
      </c>
      <c r="Q72" s="3588">
        <f ca="1">C27+J30</f>
        <v>1258005</v>
      </c>
      <c r="R72" s="1006" t="s">
        <v>804</v>
      </c>
    </row>
    <row r="73" spans="1:18" s="972" customFormat="1" ht="16.5" thickBot="1">
      <c r="A73" s="4046" t="s">
        <v>778</v>
      </c>
      <c r="B73" s="653" t="s">
        <v>728</v>
      </c>
      <c r="C73" s="4057">
        <f ca="1">ROUND(F73*F74,0)</f>
        <v>403</v>
      </c>
      <c r="D73" s="4040" t="s">
        <v>3450</v>
      </c>
      <c r="E73" s="2783" t="s">
        <v>3449</v>
      </c>
      <c r="F73" s="2598">
        <f ca="1">C51</f>
        <v>403476</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0.02</v>
      </c>
      <c r="O75" s="1013" t="s">
        <v>399</v>
      </c>
      <c r="P75" s="1005" t="s">
        <v>836</v>
      </c>
      <c r="Q75" s="3588">
        <f ca="1">L58</f>
        <v>1297824</v>
      </c>
      <c r="R75" s="1006" t="s">
        <v>856</v>
      </c>
    </row>
    <row r="76" spans="1:18" s="972" customFormat="1" ht="13.5" thickBot="1">
      <c r="A76" s="661" t="s">
        <v>388</v>
      </c>
      <c r="B76" s="671" t="s">
        <v>738</v>
      </c>
      <c r="C76" s="2839">
        <f ca="1">C55-C63</f>
        <v>-2461</v>
      </c>
      <c r="D76" s="667" t="s">
        <v>3889</v>
      </c>
      <c r="E76" s="672"/>
      <c r="F76" s="2867"/>
      <c r="O76" s="1013"/>
      <c r="P76" s="1005"/>
      <c r="Q76" s="3588"/>
      <c r="R76" s="1006"/>
    </row>
    <row r="77" spans="1:18" s="972" customFormat="1" ht="16.5" thickBot="1">
      <c r="A77" s="3341" t="s">
        <v>389</v>
      </c>
      <c r="B77" s="652" t="s">
        <v>760</v>
      </c>
      <c r="C77" s="3171">
        <f ca="1">ROUND(C76*(1-((1+F79)/(1+F77))^F78)/(F77-F79),0)</f>
        <v>-35264</v>
      </c>
      <c r="D77" s="2885" t="s">
        <v>744</v>
      </c>
      <c r="E77" s="654" t="s">
        <v>745</v>
      </c>
      <c r="F77" s="2866">
        <f ca="1">F27</f>
        <v>5.5E-2</v>
      </c>
      <c r="O77" s="1013" t="s">
        <v>400</v>
      </c>
      <c r="P77" s="1051" t="s">
        <v>857</v>
      </c>
      <c r="Q77" s="3588">
        <f ca="1">ROUND(Q78-Q79*Q80,0)</f>
        <v>70465</v>
      </c>
      <c r="R77" s="1006" t="s">
        <v>408</v>
      </c>
    </row>
    <row r="78" spans="1:18" s="972" customFormat="1" ht="13.5" thickBot="1">
      <c r="A78" s="3342"/>
      <c r="B78" s="656"/>
      <c r="C78" s="3172"/>
      <c r="D78" s="2886" t="s">
        <v>748</v>
      </c>
      <c r="E78" s="654" t="s">
        <v>749</v>
      </c>
      <c r="F78" s="2868">
        <f ca="1">F28</f>
        <v>28.98</v>
      </c>
      <c r="O78" s="1013" t="s">
        <v>405</v>
      </c>
      <c r="P78" s="1051" t="s">
        <v>858</v>
      </c>
      <c r="Q78" s="3588">
        <f ca="1">C26</f>
        <v>74685</v>
      </c>
      <c r="R78" s="1006" t="s">
        <v>804</v>
      </c>
    </row>
    <row r="79" spans="1:18" s="972" customFormat="1" ht="13.5" thickBot="1">
      <c r="A79" s="3343"/>
      <c r="B79" s="2887"/>
      <c r="C79" s="2887"/>
      <c r="D79" s="2884"/>
      <c r="E79" s="654" t="s">
        <v>752</v>
      </c>
      <c r="F79" s="2861"/>
      <c r="O79" s="1013" t="s">
        <v>406</v>
      </c>
      <c r="P79" s="1051" t="s">
        <v>859</v>
      </c>
      <c r="Q79" s="3588">
        <f ca="1">C50</f>
        <v>60290</v>
      </c>
      <c r="R79" s="1006" t="s">
        <v>804</v>
      </c>
    </row>
    <row r="80" spans="1:18" s="972" customFormat="1" ht="13.5" thickBot="1">
      <c r="A80" s="658"/>
      <c r="B80" s="2837" t="s">
        <v>3454</v>
      </c>
      <c r="C80" s="3173">
        <f ca="1">ROUND(C77*(1+F30),0)</f>
        <v>-38438</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-524</v>
      </c>
      <c r="D81" s="677" t="s">
        <v>3485</v>
      </c>
      <c r="E81" s="678" t="s">
        <v>764</v>
      </c>
      <c r="F81" s="2869">
        <f ca="1">F31</f>
        <v>73.400000000000006</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4220</v>
      </c>
      <c r="D84" s="972"/>
      <c r="E84" s="972"/>
      <c r="F84" s="972"/>
      <c r="K84" s="988"/>
      <c r="L84" s="972"/>
      <c r="O84" s="1004" t="s">
        <v>403</v>
      </c>
      <c r="P84" s="1005" t="s">
        <v>824</v>
      </c>
      <c r="Q84" s="3588">
        <f ca="1">Q72+Q73</f>
        <v>1258005</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0.94299999999999995</v>
      </c>
    </row>
    <row r="89" spans="1:18">
      <c r="B89" s="223" t="s">
        <v>786</v>
      </c>
      <c r="C89" s="2936">
        <f ca="1">ROUND(C84/C26,3)</f>
        <v>5.7000000000000002E-2</v>
      </c>
    </row>
    <row r="90" spans="1:18">
      <c r="B90" s="166" t="s">
        <v>787</v>
      </c>
      <c r="C90" s="134"/>
    </row>
    <row r="91" spans="1:18">
      <c r="B91" s="169" t="s">
        <v>788</v>
      </c>
      <c r="C91" s="2937">
        <f ca="1">1-C92</f>
        <v>0.68500000000000005</v>
      </c>
    </row>
    <row r="92" spans="1:18">
      <c r="B92" s="169" t="s">
        <v>789</v>
      </c>
      <c r="C92" s="2936">
        <f ca="1">ROUND(C51/(C27+J30+L53),3)</f>
        <v>0.315</v>
      </c>
    </row>
  </sheetData>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64"/>
  <sheetViews>
    <sheetView zoomScaleNormal="100" zoomScaleSheetLayoutView="100" workbookViewId="0">
      <selection activeCell="C11" sqref="C11"/>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c r="C1" s="3472"/>
      <c r="D1" s="1378" t="s">
        <v>1505</v>
      </c>
      <c r="E1" s="94"/>
      <c r="F1" s="94"/>
      <c r="G1" s="789">
        <f>MATCH(B1,'数据-取费表'!A6:A16,0)+5</f>
        <v>7</v>
      </c>
      <c r="H1" s="3150" t="str">
        <f>IF(ISERROR(FIND("住宅",B1)),"非住宅","住宅")</f>
        <v>非住宅</v>
      </c>
    </row>
    <row r="2" spans="1:10" s="96" customFormat="1" ht="15.75">
      <c r="A2" s="97" t="s">
        <v>1434</v>
      </c>
      <c r="B2" s="3842">
        <f ca="1">ROUND(D3/10000,4)</f>
        <v>40.3476</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5497</v>
      </c>
      <c r="C3" s="95" t="s">
        <v>1437</v>
      </c>
      <c r="D3" s="95">
        <f ca="1">IF(C1="含税",E2+C33,E2+C32)</f>
        <v>403476</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463766</v>
      </c>
      <c r="D5" s="2625"/>
      <c r="E5" s="2625"/>
      <c r="F5" s="2625"/>
      <c r="G5" s="2787" t="s">
        <v>3480</v>
      </c>
      <c r="J5" s="96"/>
    </row>
    <row r="6" spans="1:10" s="2611" customFormat="1" ht="15">
      <c r="A6" s="2589" t="s">
        <v>3340</v>
      </c>
      <c r="B6" s="2651" t="s">
        <v>3341</v>
      </c>
      <c r="C6" s="2626">
        <f>C7+C8</f>
        <v>0</v>
      </c>
      <c r="D6" s="2588"/>
      <c r="E6" s="2588"/>
      <c r="F6" s="2588"/>
      <c r="G6" s="2627"/>
      <c r="J6" s="96"/>
    </row>
    <row r="7" spans="1:10" s="110" customFormat="1" ht="15">
      <c r="A7" s="2628" t="s">
        <v>344</v>
      </c>
      <c r="B7" s="2652" t="s">
        <v>1445</v>
      </c>
      <c r="C7" s="3151"/>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3.0499999999999999E-2</v>
      </c>
      <c r="G8" s="157"/>
      <c r="J8" s="96"/>
    </row>
    <row r="9" spans="1:10" s="2611" customFormat="1" ht="15">
      <c r="A9" s="2632" t="s">
        <v>336</v>
      </c>
      <c r="B9" s="2653" t="s">
        <v>3287</v>
      </c>
      <c r="C9" s="2612">
        <f ca="1">C10+C11+C12+C13+C19+C20</f>
        <v>375808</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330300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16515</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25690</v>
      </c>
      <c r="D13" s="145"/>
      <c r="E13" s="2630"/>
      <c r="F13" s="2631"/>
      <c r="G13" s="157"/>
      <c r="J13" s="96"/>
    </row>
    <row r="14" spans="1:10" s="119" customFormat="1" ht="15">
      <c r="A14" s="2582" t="s">
        <v>3289</v>
      </c>
      <c r="B14" s="2656" t="s">
        <v>3322</v>
      </c>
      <c r="C14" s="2599">
        <f>IF(G14="已包含在土地购买价格中","0",IF(B1="",'数据-取费表'!B29,IF(G15="全部缴纳",C15+C16,H15)))</f>
        <v>0</v>
      </c>
      <c r="D14" s="2638"/>
      <c r="E14" s="145"/>
      <c r="F14" s="2631"/>
      <c r="G14" s="1375" t="s">
        <v>3919</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0</v>
      </c>
      <c r="F15" s="2631"/>
      <c r="G15" s="1376" t="s">
        <v>3920</v>
      </c>
      <c r="H15" s="795"/>
      <c r="I15" s="1377" t="s">
        <v>1451</v>
      </c>
      <c r="J15" s="96"/>
    </row>
    <row r="16" spans="1:10" s="110" customFormat="1" ht="15">
      <c r="A16" s="2657" t="s">
        <v>354</v>
      </c>
      <c r="B16" s="2658" t="s">
        <v>1452</v>
      </c>
      <c r="C16" s="2639">
        <f ca="1">ROUND(D16*E16,0)</f>
        <v>14680</v>
      </c>
      <c r="D16" s="2639">
        <f ca="1">IF(B1="",'数据-汇总表'!E6,IF(INDIRECT("'数据-取费表'!c"&amp;$G$1)="住宅",INDIRECT("'数据-取费表'!s"&amp;$G$1),INDIRECT("'数据-取费表'!k"&amp;$G$1)+INDIRECT("'数据-取费表'!s"&amp;$G$1)))</f>
        <v>73.400000000000006</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73.400000000000006</v>
      </c>
      <c r="E17" s="2640">
        <f>'数据-取费表'!B31</f>
        <v>130</v>
      </c>
      <c r="F17" s="2607"/>
      <c r="G17" s="1375" t="s">
        <v>3921</v>
      </c>
      <c r="J17" s="96"/>
    </row>
    <row r="18" spans="1:10" s="110" customFormat="1" ht="15">
      <c r="A18" s="2660" t="s">
        <v>3291</v>
      </c>
      <c r="B18" s="2659" t="s">
        <v>1477</v>
      </c>
      <c r="C18" s="2599">
        <f ca="1">ROUND(E18*D18*F10,0)</f>
        <v>25690</v>
      </c>
      <c r="D18" s="2599">
        <f ca="1">D17</f>
        <v>73.400000000000006</v>
      </c>
      <c r="E18" s="2599">
        <f>'数据-取费表'!B35</f>
        <v>350</v>
      </c>
      <c r="F18" s="2610"/>
      <c r="G18" s="157" t="s">
        <v>1478</v>
      </c>
      <c r="J18" s="96"/>
    </row>
    <row r="19" spans="1:10" s="110" customFormat="1" ht="15">
      <c r="A19" s="2654" t="s">
        <v>352</v>
      </c>
      <c r="B19" s="2655" t="s">
        <v>3327</v>
      </c>
      <c r="C19" s="2599">
        <f ca="1">ROUND(C10*F19,0)</f>
        <v>3303</v>
      </c>
      <c r="D19" s="145"/>
      <c r="E19" s="145"/>
      <c r="F19" s="2610">
        <f>'数据-取费表'!B36</f>
        <v>0.01</v>
      </c>
      <c r="G19" s="157" t="s">
        <v>1474</v>
      </c>
      <c r="J19" s="96"/>
    </row>
    <row r="20" spans="1:10" s="110" customFormat="1" ht="15">
      <c r="A20" s="2654" t="s">
        <v>3292</v>
      </c>
      <c r="B20" s="2655" t="s">
        <v>3328</v>
      </c>
      <c r="C20" s="2599">
        <f ca="1">ROUND(C10*F20,0)</f>
        <v>0</v>
      </c>
      <c r="D20" s="2641"/>
      <c r="E20" s="141"/>
      <c r="F20" s="2610">
        <f>'数据-取费表'!B37</f>
        <v>0</v>
      </c>
      <c r="G20" s="157" t="s">
        <v>1474</v>
      </c>
      <c r="J20" s="96"/>
    </row>
    <row r="21" spans="1:10" s="2611" customFormat="1" ht="15">
      <c r="A21" s="2589" t="s">
        <v>3342</v>
      </c>
      <c r="B21" s="2651" t="s">
        <v>3343</v>
      </c>
      <c r="C21" s="2612">
        <f ca="1">ROUND((C6+C9)*F21,0)</f>
        <v>7516</v>
      </c>
      <c r="D21" s="2613"/>
      <c r="E21" s="2613"/>
      <c r="F21" s="2617">
        <f>'数据-取费表'!B38</f>
        <v>0.02</v>
      </c>
      <c r="G21" s="2614" t="s">
        <v>3344</v>
      </c>
      <c r="J21" s="96"/>
    </row>
    <row r="22" spans="1:10" s="2611" customFormat="1" ht="15">
      <c r="A22" s="2589" t="s">
        <v>3345</v>
      </c>
      <c r="B22" s="2651" t="s">
        <v>3346</v>
      </c>
      <c r="C22" s="2615" t="str">
        <f>F22&amp;"V"</f>
        <v>0.02V</v>
      </c>
      <c r="D22" s="297"/>
      <c r="E22" s="2613"/>
      <c r="F22" s="2617">
        <f>'数据-取费表'!B39</f>
        <v>0.02</v>
      </c>
      <c r="G22" s="3691" t="s">
        <v>3691</v>
      </c>
      <c r="J22" s="96"/>
    </row>
    <row r="23" spans="1:10" s="2611" customFormat="1" ht="15">
      <c r="A23" s="2589" t="s">
        <v>3347</v>
      </c>
      <c r="B23" s="2653" t="s">
        <v>3296</v>
      </c>
      <c r="C23" s="2590" t="str">
        <f ca="1">SUM(C24:C25)&amp;"+"&amp;C26&amp;"V"</f>
        <v>11998+0.0006V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0</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11998</v>
      </c>
      <c r="D25" s="134"/>
      <c r="E25" s="134"/>
      <c r="F25" s="2606"/>
      <c r="G25" s="4091" t="s">
        <v>3829</v>
      </c>
      <c r="J25" s="96"/>
    </row>
    <row r="26" spans="1:10" s="110" customFormat="1" ht="15">
      <c r="A26" s="2661" t="s">
        <v>348</v>
      </c>
      <c r="B26" s="2659" t="s">
        <v>1459</v>
      </c>
      <c r="C26" s="2602">
        <f ca="1">ROUND(IF('数据-取费表'!B22&lt;=1,F22*F23*'数据-取费表'!B23/2,F22*(POWER((1+F23),'数据-取费表'!B23/2)-1)),4)</f>
        <v>5.9999999999999995E-4</v>
      </c>
      <c r="D26" s="134"/>
      <c r="E26" s="137"/>
      <c r="F26" s="2606"/>
      <c r="G26" s="139"/>
      <c r="J26" s="96"/>
    </row>
    <row r="27" spans="1:10" s="2611" customFormat="1" ht="15">
      <c r="A27" s="2589" t="s">
        <v>3348</v>
      </c>
      <c r="B27" s="2653" t="s">
        <v>3298</v>
      </c>
      <c r="C27" s="2618" t="str">
        <f ca="1">C28&amp;"+"&amp;C29&amp;"V"</f>
        <v>57499+0.003V</v>
      </c>
      <c r="D27" s="2616"/>
      <c r="E27" s="297"/>
      <c r="F27" s="2619">
        <f ca="1">IF(B1="",'数据-取费表'!Q16,INDIRECT("'数据-取费表'!q"&amp;$G$1))</f>
        <v>0.15</v>
      </c>
      <c r="G27" s="2614" t="s">
        <v>3349</v>
      </c>
      <c r="J27" s="96"/>
    </row>
    <row r="28" spans="1:10" s="110" customFormat="1" ht="15">
      <c r="A28" s="2654" t="s">
        <v>344</v>
      </c>
      <c r="B28" s="2659" t="s">
        <v>1464</v>
      </c>
      <c r="C28" s="2583">
        <f ca="1">ROUND(C6*F27*'数据-取费表'!B23/'数据-取费表'!B22+(C9+C21)*F27,0)</f>
        <v>57499</v>
      </c>
      <c r="D28" s="131"/>
      <c r="E28" s="132"/>
      <c r="F28" s="2607"/>
      <c r="G28" s="143"/>
      <c r="J28" s="96"/>
    </row>
    <row r="29" spans="1:10" s="110" customFormat="1" ht="15">
      <c r="A29" s="2654" t="s">
        <v>345</v>
      </c>
      <c r="B29" s="2659" t="s">
        <v>1465</v>
      </c>
      <c r="C29" s="2602">
        <f ca="1">ROUND(F22*F27,4)</f>
        <v>3.0000000000000001E-3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60290</v>
      </c>
      <c r="D31" s="2593"/>
      <c r="E31" s="2593"/>
      <c r="F31" s="2608">
        <f>IF('数据-取费表'!B24=0,'数据-取费表'!N16,1)</f>
        <v>0.87</v>
      </c>
      <c r="G31" s="2594" t="s">
        <v>3828</v>
      </c>
      <c r="J31" s="96"/>
    </row>
    <row r="32" spans="1:10" s="110" customFormat="1" ht="15.75">
      <c r="A32" s="2581" t="s">
        <v>3301</v>
      </c>
      <c r="B32" s="2580" t="s">
        <v>3302</v>
      </c>
      <c r="C32" s="2603">
        <f ca="1">C5-C31</f>
        <v>403476</v>
      </c>
      <c r="D32" s="2593"/>
      <c r="E32" s="2593"/>
      <c r="F32" s="2592"/>
      <c r="G32" s="2595" t="s">
        <v>3335</v>
      </c>
      <c r="J32" s="96"/>
    </row>
    <row r="33" spans="1:10" s="110" customFormat="1" ht="16.5" thickBot="1">
      <c r="A33" s="2664">
        <v>4</v>
      </c>
      <c r="B33" s="2665" t="s">
        <v>3336</v>
      </c>
      <c r="C33" s="2604">
        <f ca="1">ROUND(C32*(1+F33),0)</f>
        <v>439789</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375808</v>
      </c>
      <c r="D40" s="2879"/>
      <c r="E40" s="2879"/>
      <c r="F40" s="2879"/>
      <c r="G40" s="2879"/>
    </row>
    <row r="41" spans="1:10" ht="15.75">
      <c r="A41" s="2646" t="s">
        <v>3305</v>
      </c>
      <c r="B41" s="2710" t="str">
        <f t="shared" ref="B41:C43" si="0">B10</f>
        <v xml:space="preserve">  建安费用</v>
      </c>
      <c r="C41" s="2578">
        <f t="shared" ca="1" si="0"/>
        <v>330300</v>
      </c>
      <c r="D41" s="2573"/>
      <c r="E41" s="2573"/>
      <c r="F41" s="2574"/>
      <c r="G41" s="2574"/>
    </row>
    <row r="42" spans="1:10" ht="15.75">
      <c r="A42" s="2646" t="s">
        <v>3306</v>
      </c>
      <c r="B42" s="2710" t="str">
        <f t="shared" si="0"/>
        <v xml:space="preserve">  前期费用</v>
      </c>
      <c r="C42" s="2578">
        <f t="shared" ca="1" si="0"/>
        <v>16515</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25690</v>
      </c>
      <c r="D44" s="2573"/>
      <c r="E44" s="2573"/>
      <c r="F44" s="2574"/>
      <c r="G44" s="2574"/>
    </row>
    <row r="45" spans="1:10" ht="15.75">
      <c r="A45" s="2661" t="s">
        <v>3307</v>
      </c>
      <c r="B45" s="2656" t="str">
        <f>B19</f>
        <v xml:space="preserve">  其他工程费</v>
      </c>
      <c r="C45" s="2583">
        <f ca="1">C19</f>
        <v>3303</v>
      </c>
      <c r="D45" s="2709"/>
      <c r="E45" s="2709"/>
      <c r="F45" s="2586"/>
      <c r="G45" s="2586"/>
    </row>
    <row r="46" spans="1:10" ht="15.75">
      <c r="A46" s="2661" t="s">
        <v>3373</v>
      </c>
      <c r="B46" s="2656" t="s">
        <v>3308</v>
      </c>
      <c r="C46" s="2583">
        <f ca="1">C20</f>
        <v>0</v>
      </c>
      <c r="D46" s="2709"/>
      <c r="E46" s="2709"/>
      <c r="F46" s="2586"/>
      <c r="G46" s="2586"/>
    </row>
    <row r="47" spans="1:10" ht="15">
      <c r="A47" s="2711" t="s">
        <v>3464</v>
      </c>
      <c r="B47" s="2712" t="s">
        <v>3465</v>
      </c>
      <c r="C47" s="2713">
        <f ca="1">ROUND(C40*F47,0)</f>
        <v>7516</v>
      </c>
      <c r="D47" s="2714"/>
      <c r="E47" s="2714"/>
      <c r="F47" s="2715">
        <f>F21</f>
        <v>0.02</v>
      </c>
      <c r="G47" s="2716" t="s">
        <v>3466</v>
      </c>
    </row>
    <row r="48" spans="1:10" ht="15">
      <c r="A48" s="2711" t="s">
        <v>3467</v>
      </c>
      <c r="B48" s="2712" t="s">
        <v>3468</v>
      </c>
      <c r="C48" s="2717" t="str">
        <f>F48&amp;"V建1"</f>
        <v>0.02V建1</v>
      </c>
      <c r="D48" s="2714"/>
      <c r="E48" s="2714"/>
      <c r="F48" s="2715">
        <f>F22</f>
        <v>0.02</v>
      </c>
      <c r="G48" s="2716" t="s">
        <v>3469</v>
      </c>
    </row>
    <row r="49" spans="1:7" ht="15">
      <c r="A49" s="2711" t="s">
        <v>3470</v>
      </c>
      <c r="B49" s="2718" t="s">
        <v>3372</v>
      </c>
      <c r="C49" s="2612" t="str">
        <f ca="1">C50&amp;"+"&amp;C51&amp;"V建1"</f>
        <v>11998+0.0006V建1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11998</v>
      </c>
      <c r="D50" s="1048"/>
      <c r="E50" s="1048"/>
      <c r="F50" s="1031"/>
      <c r="G50" s="4387" t="s">
        <v>3321</v>
      </c>
    </row>
    <row r="51" spans="1:7">
      <c r="A51" s="2646" t="s">
        <v>3306</v>
      </c>
      <c r="B51" s="2650" t="s">
        <v>3311</v>
      </c>
      <c r="C51" s="2736">
        <f ca="1">ROUND(IF('数据-取费表'!B22&lt;=1,F48*F23*'数据-取费表'!B22/2,F48*(POWER((1+F23),'数据-取费表'!B22/2)-1)),4)</f>
        <v>5.9999999999999995E-4</v>
      </c>
      <c r="D51" s="1048"/>
      <c r="E51" s="1048"/>
      <c r="F51" s="1031"/>
      <c r="G51" s="4388"/>
    </row>
    <row r="52" spans="1:7" ht="15">
      <c r="A52" s="2711" t="s">
        <v>3471</v>
      </c>
      <c r="B52" s="2720" t="s">
        <v>3312</v>
      </c>
      <c r="C52" s="2721" t="str">
        <f ca="1">C53&amp;"+"&amp;C54&amp;"V建1"</f>
        <v>57499+0.003V建1</v>
      </c>
      <c r="D52" s="2722"/>
      <c r="E52" s="2714"/>
      <c r="F52" s="2723">
        <f ca="1">F27</f>
        <v>0.15</v>
      </c>
      <c r="G52" s="2724" t="s">
        <v>3472</v>
      </c>
    </row>
    <row r="53" spans="1:7">
      <c r="A53" s="2646" t="s">
        <v>3305</v>
      </c>
      <c r="B53" s="2649" t="s">
        <v>3313</v>
      </c>
      <c r="C53" s="2578">
        <f ca="1">ROUND((C40+C47)*F27,0)</f>
        <v>57499</v>
      </c>
      <c r="D53" s="2579"/>
      <c r="E53" s="2575"/>
      <c r="F53" s="2576"/>
      <c r="G53" s="2577"/>
    </row>
    <row r="54" spans="1:7">
      <c r="A54" s="2646" t="s">
        <v>3306</v>
      </c>
      <c r="B54" s="2649" t="s">
        <v>3314</v>
      </c>
      <c r="C54" s="2645">
        <f ca="1">ROUND(F48*F27,4)</f>
        <v>3.0000000000000001E-3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463766</v>
      </c>
      <c r="D56" s="297"/>
      <c r="E56" s="297"/>
      <c r="F56" s="2728"/>
      <c r="G56" s="2727" t="s">
        <v>3318</v>
      </c>
    </row>
    <row r="57" spans="1:7" ht="15">
      <c r="A57" s="2589" t="s">
        <v>3440</v>
      </c>
      <c r="B57" s="2729" t="s">
        <v>3300</v>
      </c>
      <c r="C57" s="2612">
        <f ca="1">ROUND(C56*(1-F57),0)</f>
        <v>60290</v>
      </c>
      <c r="D57" s="297"/>
      <c r="E57" s="297"/>
      <c r="F57" s="2728">
        <f>F31</f>
        <v>0.87</v>
      </c>
      <c r="G57" s="2727" t="s">
        <v>3319</v>
      </c>
    </row>
    <row r="58" spans="1:7" ht="16.5">
      <c r="A58" s="2589" t="s">
        <v>3476</v>
      </c>
      <c r="B58" s="2725" t="s">
        <v>3477</v>
      </c>
      <c r="C58" s="2612">
        <f ca="1">C56-C57</f>
        <v>403476</v>
      </c>
      <c r="D58" s="297"/>
      <c r="E58" s="297"/>
      <c r="F58" s="2728"/>
      <c r="G58" s="2727" t="s">
        <v>3320</v>
      </c>
    </row>
    <row r="59" spans="1:7" ht="15">
      <c r="A59" s="2730" t="s">
        <v>3375</v>
      </c>
      <c r="B59" s="2731" t="s">
        <v>3316</v>
      </c>
      <c r="C59" s="2732">
        <f ca="1">ROUND(C58*(1+F59),0)</f>
        <v>439789</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v>
      </c>
    </row>
    <row r="64" spans="1:7" ht="21" customHeight="1">
      <c r="B64" s="55" t="s">
        <v>789</v>
      </c>
      <c r="C64" s="2644">
        <f ca="1">ROUND(C58/C32,3)</f>
        <v>1</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700-000000000000}">
      <formula1>"含税,不含税"</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15" xr:uid="{00000000-0002-0000-1700-000003000000}">
      <formula1>"部分缴纳,全部缴纳"</formula1>
    </dataValidation>
    <dataValidation type="list" allowBlank="1" showInputMessage="1" showErrorMessage="1" sqref="B1" xr:uid="{00000000-0002-0000-1700-000004000000}">
      <formula1>项目类型</formula1>
    </dataValidation>
    <dataValidation type="list" allowBlank="1" showInputMessage="1" showErrorMessage="1" sqref="G17" xr:uid="{00000000-0002-0000-1700-000005000000}">
      <formula1>"已包含在土地取得成本中,未包含在土地取得成本中"</formula1>
    </dataValidation>
    <dataValidation type="list" allowBlank="1" showInputMessage="1" showErrorMessage="1" sqref="G14" xr:uid="{00000000-0002-0000-1700-000006000000}">
      <formula1>"已包含在土地购买价格中,未包含在土地购买价格中"</formula1>
    </dataValidation>
    <dataValidation type="list" allowBlank="1" showInputMessage="1" showErrorMessage="1" sqref="G33" xr:uid="{00000000-0002-0000-17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zoomScale="85" zoomScaleNormal="85" workbookViewId="0">
      <selection activeCell="T81" sqref="T81"/>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61" t="s">
        <v>680</v>
      </c>
      <c r="C6" s="744">
        <f ca="1">ROUND(F6*F8*F7*(1-F9),0)</f>
        <v>0</v>
      </c>
      <c r="D6" s="56" t="s">
        <v>2021</v>
      </c>
      <c r="E6" s="187" t="s">
        <v>682</v>
      </c>
      <c r="F6" s="188">
        <f ca="1">INDIRECT("'数据-取费表'!u"&amp;$G$1)</f>
        <v>0</v>
      </c>
      <c r="G6" s="972"/>
      <c r="H6" s="739" t="s">
        <v>392</v>
      </c>
      <c r="I6" s="4461" t="s">
        <v>680</v>
      </c>
      <c r="J6" s="186">
        <f ca="1">ROUND(M6*M8*M7*(1-M9),0)</f>
        <v>0</v>
      </c>
      <c r="K6" s="964" t="s">
        <v>2022</v>
      </c>
      <c r="L6" s="187" t="s">
        <v>682</v>
      </c>
      <c r="M6" s="188">
        <f ca="1">INDIRECT("'数据-取费表'!z"&amp;$G$1)</f>
        <v>0</v>
      </c>
    </row>
    <row r="7" spans="1:37" ht="18" customHeight="1">
      <c r="A7" s="743"/>
      <c r="B7" s="4462"/>
      <c r="C7" s="745"/>
      <c r="D7" s="192"/>
      <c r="E7" s="746" t="s">
        <v>683</v>
      </c>
      <c r="F7" s="188">
        <f ca="1">IF(INDIRECT("'数据-取费表'!ah"&amp;$G$1)="",INDIRECT("'数据-取费表'!k"&amp;$G$1),INDIRECT("'数据-取费表'!ah"&amp;$G$1))</f>
        <v>0</v>
      </c>
      <c r="G7" s="972"/>
      <c r="H7" s="189"/>
      <c r="I7" s="4462"/>
      <c r="J7" s="191"/>
      <c r="K7" s="192"/>
      <c r="L7" s="187" t="s">
        <v>683</v>
      </c>
      <c r="M7" s="188">
        <f ca="1">F7</f>
        <v>0</v>
      </c>
    </row>
    <row r="8" spans="1:37" ht="18" customHeight="1">
      <c r="A8" s="189"/>
      <c r="B8" s="4462"/>
      <c r="C8" s="191"/>
      <c r="D8" s="192"/>
      <c r="E8" s="187" t="s">
        <v>684</v>
      </c>
      <c r="F8" s="188">
        <f ca="1">INDIRECT("'数据-取费表'!ai"&amp;$G$1)</f>
        <v>0</v>
      </c>
      <c r="G8" s="972"/>
      <c r="H8" s="189"/>
      <c r="I8" s="4462"/>
      <c r="J8" s="191"/>
      <c r="K8" s="192"/>
      <c r="L8" s="187" t="s">
        <v>684</v>
      </c>
      <c r="M8" s="188">
        <f ca="1">INDIRECT("'数据-取费表'!ai"&amp;$G$1)</f>
        <v>0</v>
      </c>
    </row>
    <row r="9" spans="1:37" ht="18" customHeight="1">
      <c r="A9" s="189"/>
      <c r="B9" s="4463"/>
      <c r="C9" s="191"/>
      <c r="D9" s="192"/>
      <c r="E9" s="187" t="s">
        <v>685</v>
      </c>
      <c r="F9" s="197">
        <f ca="1">INDIRECT("'数据-取费表'!w"&amp;$G$1)</f>
        <v>0</v>
      </c>
      <c r="G9" s="972"/>
      <c r="H9" s="189"/>
      <c r="I9" s="446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53" t="s">
        <v>823</v>
      </c>
      <c r="L53" s="4454"/>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zoomScaleNormal="100" workbookViewId="0">
      <selection activeCell="G30" sqref="G30"/>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70" t="s">
        <v>2211</v>
      </c>
      <c r="K2" s="4471"/>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72" t="s">
        <v>2221</v>
      </c>
      <c r="K3" s="4473"/>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72" t="s">
        <v>2223</v>
      </c>
      <c r="K4" s="4473"/>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79" t="s">
        <v>3809</v>
      </c>
      <c r="B6" s="4480"/>
      <c r="C6" s="4481"/>
      <c r="D6" s="3604"/>
      <c r="E6" s="3743"/>
      <c r="F6" s="2137"/>
      <c r="G6" s="2138"/>
      <c r="H6" s="2116"/>
      <c r="I6" s="2117"/>
      <c r="J6" s="4464">
        <v>1</v>
      </c>
      <c r="K6" s="4465"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64"/>
      <c r="K7" s="4466"/>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482" t="s">
        <v>2240</v>
      </c>
      <c r="C8" s="4483"/>
      <c r="D8" s="2152" t="s">
        <v>2241</v>
      </c>
      <c r="E8" s="2153" t="s">
        <v>2242</v>
      </c>
      <c r="F8" s="2154" t="s">
        <v>2243</v>
      </c>
      <c r="G8" s="2155"/>
      <c r="H8" s="2116"/>
      <c r="I8" s="2117"/>
      <c r="J8" s="4464"/>
      <c r="K8" s="4466"/>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482" t="s">
        <v>2246</v>
      </c>
      <c r="C9" s="4483"/>
      <c r="D9" s="3606">
        <f>ROUND(D6*E9,0)</f>
        <v>0</v>
      </c>
      <c r="E9" s="3607"/>
      <c r="F9" s="2156" t="s">
        <v>2247</v>
      </c>
      <c r="G9" s="2138"/>
      <c r="H9" s="2116"/>
      <c r="I9" s="2117"/>
      <c r="J9" s="4464"/>
      <c r="K9" s="4466"/>
      <c r="L9" s="2147" t="s">
        <v>2248</v>
      </c>
      <c r="M9" s="3845"/>
      <c r="N9" s="3844"/>
      <c r="O9" s="2160"/>
      <c r="P9" s="2160"/>
      <c r="Q9" s="3844">
        <v>365</v>
      </c>
      <c r="R9" s="3843">
        <f t="shared" si="0"/>
        <v>0</v>
      </c>
      <c r="S9" s="2110"/>
      <c r="T9" s="2110"/>
      <c r="U9" s="2110"/>
      <c r="V9" s="2117"/>
    </row>
    <row r="10" spans="1:22" s="2121" customFormat="1" ht="13.15" customHeight="1">
      <c r="A10" s="2151">
        <v>2</v>
      </c>
      <c r="B10" s="4482" t="s">
        <v>2249</v>
      </c>
      <c r="C10" s="4483"/>
      <c r="D10" s="3606">
        <f>ROUND(D6*E10,0)</f>
        <v>0</v>
      </c>
      <c r="E10" s="3607"/>
      <c r="F10" s="3738" t="s">
        <v>3732</v>
      </c>
      <c r="G10" s="2138"/>
      <c r="H10" s="2116"/>
      <c r="I10" s="2117"/>
      <c r="J10" s="4464"/>
      <c r="K10" s="4466"/>
      <c r="L10" s="2147" t="s">
        <v>2250</v>
      </c>
      <c r="M10" s="3845"/>
      <c r="N10" s="3844"/>
      <c r="O10" s="2160"/>
      <c r="P10" s="2160"/>
      <c r="Q10" s="3844">
        <v>365</v>
      </c>
      <c r="R10" s="3843">
        <f t="shared" si="0"/>
        <v>0</v>
      </c>
      <c r="S10" s="2110"/>
      <c r="T10" s="2110"/>
      <c r="U10" s="2110"/>
      <c r="V10" s="2117"/>
    </row>
    <row r="11" spans="1:22" s="2121" customFormat="1" ht="13.15" customHeight="1">
      <c r="A11" s="2151">
        <v>3</v>
      </c>
      <c r="B11" s="4482" t="s">
        <v>2251</v>
      </c>
      <c r="C11" s="4483"/>
      <c r="D11" s="3606">
        <f>D12+D14+D15+D16</f>
        <v>0</v>
      </c>
      <c r="E11" s="3608" t="e">
        <f>D11/D6</f>
        <v>#DIV/0!</v>
      </c>
      <c r="F11" s="2154"/>
      <c r="G11" s="2155"/>
      <c r="H11" s="2116"/>
      <c r="I11" s="2117"/>
      <c r="J11" s="4464"/>
      <c r="K11" s="4466"/>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76" t="s">
        <v>2254</v>
      </c>
      <c r="C12" s="4475"/>
      <c r="D12" s="3609">
        <f>ROUND(D13*1.2%*(1-30%),0)</f>
        <v>0</v>
      </c>
      <c r="E12" s="3610">
        <v>1.2E-2</v>
      </c>
      <c r="F12" s="2154" t="s">
        <v>2255</v>
      </c>
      <c r="G12" s="2155"/>
      <c r="H12" s="2116"/>
      <c r="I12" s="2117"/>
      <c r="J12" s="4464"/>
      <c r="K12" s="4466"/>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64"/>
      <c r="K13" s="4466"/>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76" t="s">
        <v>2260</v>
      </c>
      <c r="C14" s="4475"/>
      <c r="D14" s="3609">
        <f>ROUND(E14*B5/10000,0)</f>
        <v>0</v>
      </c>
      <c r="E14" s="3612"/>
      <c r="F14" s="2154" t="s">
        <v>2261</v>
      </c>
      <c r="G14" s="2155"/>
      <c r="H14" s="2116"/>
      <c r="I14" s="2117"/>
      <c r="J14" s="4464"/>
      <c r="K14" s="4467"/>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74" t="s">
        <v>3806</v>
      </c>
      <c r="C15" s="4475"/>
      <c r="D15" s="3609">
        <f>IF(F15="酒店",E48*(1+E15),IF(F15="购物中心",E67*(1+E15),IF(F15="按比例计算-酒店",E46,E65)))</f>
        <v>0</v>
      </c>
      <c r="E15" s="3610">
        <f>'数据-取费表'!B44</f>
        <v>0.12000000000000001</v>
      </c>
      <c r="F15" s="3741" t="s">
        <v>3871</v>
      </c>
      <c r="G15" s="3742"/>
      <c r="H15" s="2116"/>
      <c r="I15" s="2117"/>
      <c r="J15" s="4464">
        <v>2</v>
      </c>
      <c r="K15" s="4465"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76" t="s">
        <v>2271</v>
      </c>
      <c r="C16" s="4475"/>
      <c r="D16" s="3613">
        <f>D6*E16</f>
        <v>0</v>
      </c>
      <c r="E16" s="3614"/>
      <c r="F16" s="2156" t="s">
        <v>2272</v>
      </c>
      <c r="G16" s="2138"/>
      <c r="H16" s="2116"/>
      <c r="I16" s="2117"/>
      <c r="J16" s="4464"/>
      <c r="K16" s="4466"/>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477" t="s">
        <v>2274</v>
      </c>
      <c r="C17" s="4478"/>
      <c r="D17" s="3615">
        <f>ROUND(D6*E17,0)</f>
        <v>0</v>
      </c>
      <c r="E17" s="3616"/>
      <c r="F17" s="3739" t="s">
        <v>3733</v>
      </c>
      <c r="G17" s="2138"/>
      <c r="H17" s="2116"/>
      <c r="I17" s="2117"/>
      <c r="J17" s="4464"/>
      <c r="K17" s="4466"/>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64"/>
      <c r="K18" s="4466"/>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64"/>
      <c r="K19" s="4467"/>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64">
        <v>3</v>
      </c>
      <c r="K20" s="4465"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64"/>
      <c r="K21" s="4466"/>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64"/>
      <c r="K22" s="4466"/>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64"/>
      <c r="K23" s="4466"/>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64"/>
      <c r="K24" s="4467"/>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468">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469"/>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70" t="s">
        <v>2211</v>
      </c>
      <c r="K32" s="4471"/>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72" t="s">
        <v>2221</v>
      </c>
      <c r="K33" s="4473"/>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72" t="s">
        <v>2223</v>
      </c>
      <c r="K34" s="4473"/>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64">
        <v>1</v>
      </c>
      <c r="K36" s="4465"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64"/>
      <c r="K37" s="4466"/>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64"/>
      <c r="K38" s="4466"/>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64"/>
      <c r="K39" s="4466"/>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64"/>
      <c r="K40" s="4467"/>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468">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469"/>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D2" xr:uid="{00000000-0002-0000-1A00-000002000000}">
      <formula1>"——,需考虑建筑物残值"</formula1>
    </dataValidation>
    <dataValidation type="list" allowBlank="1" showInputMessage="1" showErrorMessage="1" sqref="F15" xr:uid="{00000000-0002-0000-1A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139.60890000000001</v>
      </c>
      <c r="C2" s="1384" t="s">
        <v>1566</v>
      </c>
      <c r="D2" s="1385" t="s">
        <v>1567</v>
      </c>
      <c r="E2" s="2981">
        <f>SUM(E6:E13)</f>
        <v>73.400000000000006</v>
      </c>
      <c r="F2" s="2011"/>
      <c r="G2" s="1069"/>
      <c r="H2" s="1069"/>
      <c r="I2" s="1069"/>
      <c r="J2" s="1069"/>
      <c r="K2" s="1069"/>
      <c r="L2" s="1069"/>
      <c r="M2" s="1069"/>
      <c r="N2" s="1069"/>
      <c r="O2" s="1069"/>
      <c r="P2" s="1069"/>
      <c r="Q2" s="1069"/>
      <c r="R2" s="1069"/>
      <c r="S2" s="1069"/>
    </row>
    <row r="3" spans="1:22" ht="15.75">
      <c r="A3" s="1383" t="s">
        <v>673</v>
      </c>
      <c r="B3" s="2980">
        <f ca="1">ROUND(B2*10000/E2,0)</f>
        <v>19020</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484" t="s">
        <v>1569</v>
      </c>
      <c r="C5" s="4485"/>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139.60890000000001</v>
      </c>
      <c r="C6" s="1384" t="s">
        <v>1566</v>
      </c>
      <c r="D6" s="2011"/>
      <c r="E6" s="2982">
        <f>IF(OR(A6=0,F6="否"),0,'数据-取费表'!K6+'数据-取费表'!S6)</f>
        <v>73.400000000000006</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489" t="s">
        <v>1999</v>
      </c>
      <c r="D1" s="4490"/>
      <c r="E1" s="4490"/>
      <c r="F1" s="4490"/>
      <c r="G1" s="4490"/>
      <c r="H1" s="4490"/>
      <c r="I1" s="4490"/>
      <c r="J1" s="4490"/>
      <c r="K1" s="4490"/>
      <c r="L1" s="4490"/>
      <c r="M1" s="4490"/>
      <c r="N1" s="4490"/>
      <c r="O1" s="4490"/>
      <c r="P1" s="4490"/>
      <c r="Q1" s="4490"/>
      <c r="R1" s="4490"/>
      <c r="S1" s="4491"/>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6" t="s">
        <v>25</v>
      </c>
      <c r="D22" s="4487"/>
      <c r="E22" s="4487"/>
      <c r="F22" s="4487"/>
      <c r="G22" s="4487"/>
      <c r="H22" s="4487"/>
      <c r="I22" s="4487"/>
      <c r="J22" s="4487"/>
      <c r="K22" s="4487"/>
      <c r="L22" s="4487"/>
      <c r="M22" s="4487"/>
      <c r="N22" s="4487"/>
      <c r="O22" s="4487"/>
      <c r="P22" s="4487"/>
      <c r="Q22" s="4488"/>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2026年1月24日（评估专业人员实地查勘之日）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24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73.400000000000006</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08" t="s">
        <v>1582</v>
      </c>
      <c r="D4" s="4409"/>
      <c r="E4" s="4410" t="s">
        <v>1583</v>
      </c>
      <c r="F4" s="4411"/>
      <c r="G4" s="4408" t="s">
        <v>1584</v>
      </c>
      <c r="H4" s="4409"/>
      <c r="I4" s="4408" t="s">
        <v>1585</v>
      </c>
      <c r="J4" s="4409"/>
      <c r="K4" s="2913" t="s">
        <v>1586</v>
      </c>
      <c r="L4" s="2018"/>
      <c r="M4" s="2019"/>
      <c r="N4" s="2019"/>
      <c r="O4" s="2019"/>
      <c r="P4" s="4412" t="s">
        <v>1587</v>
      </c>
      <c r="Q4" s="4413"/>
      <c r="R4" s="4418" t="s">
        <v>1583</v>
      </c>
      <c r="S4" s="4419"/>
      <c r="T4" s="4418" t="s">
        <v>1584</v>
      </c>
      <c r="U4" s="4419"/>
      <c r="V4" s="4424" t="s">
        <v>1585</v>
      </c>
      <c r="W4" s="4424"/>
      <c r="X4" s="946"/>
      <c r="Y4" s="4433" t="s">
        <v>1587</v>
      </c>
      <c r="Z4" s="4434"/>
      <c r="AA4" s="4405" t="s">
        <v>1583</v>
      </c>
      <c r="AB4" s="4405" t="s">
        <v>1584</v>
      </c>
      <c r="AC4" s="4405" t="s">
        <v>1585</v>
      </c>
    </row>
    <row r="5" spans="1:29" ht="15">
      <c r="A5" s="239"/>
      <c r="B5" s="240"/>
      <c r="C5" s="4440" t="s">
        <v>1588</v>
      </c>
      <c r="D5" s="4428"/>
      <c r="E5" s="4492" t="s">
        <v>1589</v>
      </c>
      <c r="F5" s="4445"/>
      <c r="G5" s="4440" t="s">
        <v>1590</v>
      </c>
      <c r="H5" s="4428"/>
      <c r="I5" s="4440" t="s">
        <v>1591</v>
      </c>
      <c r="J5" s="4428"/>
      <c r="K5" s="2914"/>
      <c r="L5" s="2018"/>
      <c r="M5" s="2019"/>
      <c r="N5" s="2019"/>
      <c r="O5" s="2019"/>
      <c r="P5" s="4414"/>
      <c r="Q5" s="4415"/>
      <c r="R5" s="4420"/>
      <c r="S5" s="4421"/>
      <c r="T5" s="4420"/>
      <c r="U5" s="4421"/>
      <c r="V5" s="4424"/>
      <c r="W5" s="4424"/>
      <c r="X5" s="946"/>
      <c r="Y5" s="4435"/>
      <c r="Z5" s="4436"/>
      <c r="AA5" s="4406"/>
      <c r="AB5" s="4406"/>
      <c r="AC5" s="4406"/>
    </row>
    <row r="6" spans="1:29" ht="15.75" thickBot="1">
      <c r="A6" s="241"/>
      <c r="B6" s="242"/>
      <c r="C6" s="4425" t="s">
        <v>1592</v>
      </c>
      <c r="D6" s="4426"/>
      <c r="E6" s="4441" t="s">
        <v>1592</v>
      </c>
      <c r="F6" s="4442"/>
      <c r="G6" s="4425" t="s">
        <v>1592</v>
      </c>
      <c r="H6" s="4426"/>
      <c r="I6" s="4425" t="s">
        <v>1592</v>
      </c>
      <c r="J6" s="4426"/>
      <c r="K6" s="2914" t="s">
        <v>1593</v>
      </c>
      <c r="L6" s="2018"/>
      <c r="M6" s="2019"/>
      <c r="N6" s="2019"/>
      <c r="O6" s="2019"/>
      <c r="P6" s="4416"/>
      <c r="Q6" s="4417"/>
      <c r="R6" s="4420"/>
      <c r="S6" s="4421"/>
      <c r="T6" s="4422"/>
      <c r="U6" s="4423"/>
      <c r="V6" s="4424"/>
      <c r="W6" s="4424"/>
      <c r="X6" s="946"/>
      <c r="Y6" s="4437"/>
      <c r="Z6" s="4438"/>
      <c r="AA6" s="4407"/>
      <c r="AB6" s="4407"/>
      <c r="AC6" s="4407"/>
    </row>
    <row r="7" spans="1:29" s="46" customFormat="1" ht="15.75" thickBot="1">
      <c r="A7" s="243" t="s">
        <v>1594</v>
      </c>
      <c r="B7" s="244"/>
      <c r="C7" s="2915">
        <f>'数据-取费表'!B2</f>
        <v>46046</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29" t="s">
        <v>1595</v>
      </c>
      <c r="Q7" s="4439"/>
      <c r="R7" s="3796" t="s">
        <v>18</v>
      </c>
      <c r="S7" s="3295">
        <f t="shared" ref="S7:S15" si="0">F7</f>
        <v>0</v>
      </c>
      <c r="T7" s="3796" t="s">
        <v>18</v>
      </c>
      <c r="U7" s="3295">
        <f t="shared" ref="U7:U15" si="1">H7</f>
        <v>0</v>
      </c>
      <c r="V7" s="3796" t="s">
        <v>18</v>
      </c>
      <c r="W7" s="3295">
        <f t="shared" ref="W7:W15" si="2">J7</f>
        <v>0</v>
      </c>
      <c r="X7" s="493"/>
      <c r="Y7" s="4431" t="s">
        <v>1595</v>
      </c>
      <c r="Z7" s="4432"/>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29" t="s">
        <v>1598</v>
      </c>
      <c r="Q8" s="4430"/>
      <c r="R8" s="3796" t="s">
        <v>18</v>
      </c>
      <c r="S8" s="3295">
        <f t="shared" si="0"/>
        <v>100</v>
      </c>
      <c r="T8" s="3796" t="s">
        <v>18</v>
      </c>
      <c r="U8" s="3295">
        <f t="shared" si="1"/>
        <v>100</v>
      </c>
      <c r="V8" s="3796" t="s">
        <v>18</v>
      </c>
      <c r="W8" s="3295">
        <f t="shared" si="2"/>
        <v>100</v>
      </c>
      <c r="X8" s="493"/>
      <c r="Y8" s="4431" t="s">
        <v>1598</v>
      </c>
      <c r="Z8" s="4432"/>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03" t="s">
        <v>1601</v>
      </c>
      <c r="Q9" s="1742" t="str">
        <f t="shared" ref="Q9:Q15" si="6">B9</f>
        <v>用途</v>
      </c>
      <c r="R9" s="3796" t="s">
        <v>13</v>
      </c>
      <c r="S9" s="3295">
        <f t="shared" si="0"/>
        <v>100</v>
      </c>
      <c r="T9" s="3796" t="s">
        <v>13</v>
      </c>
      <c r="U9" s="3295">
        <f t="shared" si="1"/>
        <v>100</v>
      </c>
      <c r="V9" s="3796" t="s">
        <v>13</v>
      </c>
      <c r="W9" s="3295">
        <f t="shared" si="2"/>
        <v>100</v>
      </c>
      <c r="X9" s="493"/>
      <c r="Y9" s="4404"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03"/>
      <c r="Q10" s="1742" t="str">
        <f t="shared" si="6"/>
        <v>土地使用年限（年）</v>
      </c>
      <c r="R10" s="3796" t="s">
        <v>13</v>
      </c>
      <c r="S10" s="3295">
        <f t="shared" si="0"/>
        <v>100</v>
      </c>
      <c r="T10" s="3796" t="s">
        <v>13</v>
      </c>
      <c r="U10" s="3295">
        <f t="shared" si="1"/>
        <v>100</v>
      </c>
      <c r="V10" s="3796" t="s">
        <v>13</v>
      </c>
      <c r="W10" s="3295">
        <f t="shared" si="2"/>
        <v>100</v>
      </c>
      <c r="X10" s="493"/>
      <c r="Y10" s="4404"/>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03"/>
      <c r="Q11" s="1742" t="str">
        <f t="shared" si="6"/>
        <v>容积率</v>
      </c>
      <c r="R11" s="3796" t="s">
        <v>16</v>
      </c>
      <c r="S11" s="3295" t="e">
        <f t="shared" si="0"/>
        <v>#N/A</v>
      </c>
      <c r="T11" s="3796" t="s">
        <v>16</v>
      </c>
      <c r="U11" s="3295" t="e">
        <f t="shared" si="1"/>
        <v>#N/A</v>
      </c>
      <c r="V11" s="3796" t="s">
        <v>16</v>
      </c>
      <c r="W11" s="3295" t="e">
        <f t="shared" si="2"/>
        <v>#N/A</v>
      </c>
      <c r="X11" s="493"/>
      <c r="Y11" s="4404"/>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03"/>
      <c r="Q12" s="1742">
        <f t="shared" si="6"/>
        <v>111</v>
      </c>
      <c r="R12" s="3796" t="s">
        <v>16</v>
      </c>
      <c r="S12" s="3295">
        <f t="shared" si="0"/>
        <v>100</v>
      </c>
      <c r="T12" s="3796" t="s">
        <v>16</v>
      </c>
      <c r="U12" s="3295">
        <f t="shared" si="1"/>
        <v>100</v>
      </c>
      <c r="V12" s="3796" t="s">
        <v>16</v>
      </c>
      <c r="W12" s="3295">
        <f t="shared" si="2"/>
        <v>100</v>
      </c>
      <c r="X12" s="493"/>
      <c r="Y12" s="4404"/>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03"/>
      <c r="Q13" s="1742">
        <f t="shared" si="6"/>
        <v>111</v>
      </c>
      <c r="R13" s="3796" t="s">
        <v>16</v>
      </c>
      <c r="S13" s="3295">
        <f t="shared" si="0"/>
        <v>100</v>
      </c>
      <c r="T13" s="3796" t="s">
        <v>16</v>
      </c>
      <c r="U13" s="3295">
        <f t="shared" si="1"/>
        <v>100</v>
      </c>
      <c r="V13" s="3796" t="s">
        <v>16</v>
      </c>
      <c r="W13" s="3295">
        <f t="shared" si="2"/>
        <v>100</v>
      </c>
      <c r="X13" s="493"/>
      <c r="Y13" s="4404"/>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03"/>
      <c r="Q14" s="1742">
        <f t="shared" si="6"/>
        <v>111</v>
      </c>
      <c r="R14" s="3796" t="s">
        <v>16</v>
      </c>
      <c r="S14" s="3295">
        <f t="shared" si="0"/>
        <v>100</v>
      </c>
      <c r="T14" s="3796" t="s">
        <v>16</v>
      </c>
      <c r="U14" s="3295">
        <f t="shared" si="1"/>
        <v>100</v>
      </c>
      <c r="V14" s="3796" t="s">
        <v>16</v>
      </c>
      <c r="W14" s="3295">
        <f t="shared" si="2"/>
        <v>100</v>
      </c>
      <c r="X14" s="493"/>
      <c r="Y14" s="4404"/>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394" t="s">
        <v>1606</v>
      </c>
      <c r="Q15" s="1544" t="str">
        <f t="shared" si="6"/>
        <v>居住社区成熟度</v>
      </c>
      <c r="R15" s="3901" t="s">
        <v>16</v>
      </c>
      <c r="S15" s="3296">
        <f t="shared" si="0"/>
        <v>100</v>
      </c>
      <c r="T15" s="3901" t="s">
        <v>16</v>
      </c>
      <c r="U15" s="3296">
        <f t="shared" si="1"/>
        <v>100</v>
      </c>
      <c r="V15" s="3901" t="s">
        <v>16</v>
      </c>
      <c r="W15" s="3296">
        <f t="shared" si="2"/>
        <v>100</v>
      </c>
      <c r="X15" s="946"/>
      <c r="Y15" s="4396"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395"/>
      <c r="Q16" s="1544"/>
      <c r="R16" s="3901"/>
      <c r="S16" s="3296"/>
      <c r="T16" s="3901"/>
      <c r="U16" s="3296"/>
      <c r="V16" s="3901"/>
      <c r="W16" s="3296"/>
      <c r="X16" s="946"/>
      <c r="Y16" s="4397"/>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395"/>
      <c r="Q17" s="1544" t="str">
        <f>B17</f>
        <v>交通便捷度</v>
      </c>
      <c r="R17" s="3901" t="s">
        <v>16</v>
      </c>
      <c r="S17" s="3296">
        <f>F17</f>
        <v>100</v>
      </c>
      <c r="T17" s="3901" t="s">
        <v>16</v>
      </c>
      <c r="U17" s="3296">
        <f>H17</f>
        <v>100</v>
      </c>
      <c r="V17" s="3901" t="s">
        <v>16</v>
      </c>
      <c r="W17" s="3296">
        <f>J17</f>
        <v>100</v>
      </c>
      <c r="X17" s="946"/>
      <c r="Y17" s="4397"/>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395"/>
      <c r="Q18" s="1544"/>
      <c r="R18" s="3901"/>
      <c r="S18" s="3296"/>
      <c r="T18" s="3901"/>
      <c r="U18" s="3296"/>
      <c r="V18" s="3901"/>
      <c r="W18" s="3296"/>
      <c r="X18" s="946"/>
      <c r="Y18" s="4397"/>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395"/>
      <c r="Q19" s="1544" t="str">
        <f>B19</f>
        <v>公共配套设施</v>
      </c>
      <c r="R19" s="3901" t="s">
        <v>16</v>
      </c>
      <c r="S19" s="3296">
        <f>F19</f>
        <v>100</v>
      </c>
      <c r="T19" s="3901" t="s">
        <v>16</v>
      </c>
      <c r="U19" s="3296">
        <f>H19</f>
        <v>100</v>
      </c>
      <c r="V19" s="3901" t="s">
        <v>16</v>
      </c>
      <c r="W19" s="3296">
        <f>J19</f>
        <v>100</v>
      </c>
      <c r="X19" s="946"/>
      <c r="Y19" s="4397"/>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395"/>
      <c r="Q20" s="1544"/>
      <c r="R20" s="3901"/>
      <c r="S20" s="3296"/>
      <c r="T20" s="3901"/>
      <c r="U20" s="3296"/>
      <c r="V20" s="3901"/>
      <c r="W20" s="3296"/>
      <c r="X20" s="946"/>
      <c r="Y20" s="4397"/>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395"/>
      <c r="Q21" s="1544" t="str">
        <f>B21</f>
        <v>基础设施水平</v>
      </c>
      <c r="R21" s="3901" t="s">
        <v>13</v>
      </c>
      <c r="S21" s="3296">
        <f>F21</f>
        <v>100</v>
      </c>
      <c r="T21" s="3901" t="s">
        <v>13</v>
      </c>
      <c r="U21" s="3296">
        <f>H21</f>
        <v>100</v>
      </c>
      <c r="V21" s="3901" t="s">
        <v>13</v>
      </c>
      <c r="W21" s="3296">
        <f>J21</f>
        <v>100</v>
      </c>
      <c r="X21" s="946"/>
      <c r="Y21" s="4397"/>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395"/>
      <c r="Q22" s="1544"/>
      <c r="R22" s="3901"/>
      <c r="S22" s="3296"/>
      <c r="T22" s="3901"/>
      <c r="U22" s="3296"/>
      <c r="V22" s="3901"/>
      <c r="W22" s="3296"/>
      <c r="X22" s="946"/>
      <c r="Y22" s="4397"/>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395"/>
      <c r="Q23" s="1544" t="str">
        <f>B23</f>
        <v>自然及人文环境</v>
      </c>
      <c r="R23" s="3901" t="s">
        <v>16</v>
      </c>
      <c r="S23" s="3296">
        <f>F23</f>
        <v>100</v>
      </c>
      <c r="T23" s="3901" t="s">
        <v>16</v>
      </c>
      <c r="U23" s="3296">
        <f>H23</f>
        <v>100</v>
      </c>
      <c r="V23" s="3901" t="s">
        <v>16</v>
      </c>
      <c r="W23" s="3296">
        <f>J23</f>
        <v>100</v>
      </c>
      <c r="X23" s="946"/>
      <c r="Y23" s="4397"/>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395"/>
      <c r="Q24" s="1544"/>
      <c r="R24" s="3901"/>
      <c r="S24" s="3296"/>
      <c r="T24" s="3901"/>
      <c r="U24" s="3296"/>
      <c r="V24" s="3901"/>
      <c r="W24" s="3296"/>
      <c r="X24" s="946"/>
      <c r="Y24" s="4397"/>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395"/>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397"/>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395"/>
      <c r="Q26" s="1544" t="str">
        <f t="shared" si="11"/>
        <v>朝向</v>
      </c>
      <c r="R26" s="3901" t="s">
        <v>16</v>
      </c>
      <c r="S26" s="3296">
        <f t="shared" si="12"/>
        <v>100</v>
      </c>
      <c r="T26" s="3901" t="s">
        <v>16</v>
      </c>
      <c r="U26" s="3296">
        <f t="shared" si="13"/>
        <v>100</v>
      </c>
      <c r="V26" s="3901" t="s">
        <v>16</v>
      </c>
      <c r="W26" s="3296">
        <f t="shared" si="14"/>
        <v>100</v>
      </c>
      <c r="X26" s="946"/>
      <c r="Y26" s="4397"/>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395"/>
      <c r="Q27" s="1742">
        <f t="shared" si="11"/>
        <v>111</v>
      </c>
      <c r="R27" s="3796" t="s">
        <v>16</v>
      </c>
      <c r="S27" s="3295">
        <f t="shared" si="12"/>
        <v>100</v>
      </c>
      <c r="T27" s="3796" t="s">
        <v>16</v>
      </c>
      <c r="U27" s="3295">
        <f t="shared" si="13"/>
        <v>100</v>
      </c>
      <c r="V27" s="3796" t="s">
        <v>16</v>
      </c>
      <c r="W27" s="3295">
        <f t="shared" si="14"/>
        <v>100</v>
      </c>
      <c r="X27" s="493"/>
      <c r="Y27" s="4397"/>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395"/>
      <c r="Q28" s="1544">
        <f t="shared" si="11"/>
        <v>111</v>
      </c>
      <c r="R28" s="3901" t="s">
        <v>16</v>
      </c>
      <c r="S28" s="3296">
        <f t="shared" si="12"/>
        <v>100</v>
      </c>
      <c r="T28" s="3901" t="s">
        <v>16</v>
      </c>
      <c r="U28" s="3296">
        <f t="shared" si="13"/>
        <v>100</v>
      </c>
      <c r="V28" s="3901" t="s">
        <v>16</v>
      </c>
      <c r="W28" s="3296">
        <f t="shared" si="14"/>
        <v>100</v>
      </c>
      <c r="X28" s="946"/>
      <c r="Y28" s="4397"/>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395"/>
      <c r="Q29" s="1544">
        <f t="shared" si="11"/>
        <v>111</v>
      </c>
      <c r="R29" s="3901" t="s">
        <v>16</v>
      </c>
      <c r="S29" s="3296">
        <f t="shared" si="12"/>
        <v>100</v>
      </c>
      <c r="T29" s="3901" t="s">
        <v>16</v>
      </c>
      <c r="U29" s="3296">
        <f t="shared" si="13"/>
        <v>100</v>
      </c>
      <c r="V29" s="3901" t="s">
        <v>16</v>
      </c>
      <c r="W29" s="3296">
        <f t="shared" si="14"/>
        <v>100</v>
      </c>
      <c r="X29" s="946"/>
      <c r="Y29" s="4397"/>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395"/>
      <c r="Q30" s="1544">
        <f t="shared" si="11"/>
        <v>111</v>
      </c>
      <c r="R30" s="3901" t="s">
        <v>16</v>
      </c>
      <c r="S30" s="3296">
        <f t="shared" si="12"/>
        <v>100</v>
      </c>
      <c r="T30" s="3901" t="s">
        <v>16</v>
      </c>
      <c r="U30" s="3296">
        <f t="shared" si="13"/>
        <v>100</v>
      </c>
      <c r="V30" s="3901" t="s">
        <v>16</v>
      </c>
      <c r="W30" s="3296">
        <f t="shared" si="14"/>
        <v>100</v>
      </c>
      <c r="X30" s="946"/>
      <c r="Y30" s="4397"/>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395"/>
      <c r="Q31" s="1544">
        <f t="shared" si="11"/>
        <v>111</v>
      </c>
      <c r="R31" s="3901" t="s">
        <v>16</v>
      </c>
      <c r="S31" s="3296">
        <f t="shared" si="12"/>
        <v>100</v>
      </c>
      <c r="T31" s="3901" t="s">
        <v>16</v>
      </c>
      <c r="U31" s="3296">
        <f t="shared" si="13"/>
        <v>100</v>
      </c>
      <c r="V31" s="3901" t="s">
        <v>16</v>
      </c>
      <c r="W31" s="3296">
        <f t="shared" si="14"/>
        <v>100</v>
      </c>
      <c r="X31" s="946"/>
      <c r="Y31" s="4397"/>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398" t="s">
        <v>1611</v>
      </c>
      <c r="Q32" s="1544" t="str">
        <f t="shared" si="11"/>
        <v>建筑类型</v>
      </c>
      <c r="R32" s="3901" t="s">
        <v>16</v>
      </c>
      <c r="S32" s="3296">
        <f t="shared" si="12"/>
        <v>100</v>
      </c>
      <c r="T32" s="3901" t="s">
        <v>16</v>
      </c>
      <c r="U32" s="3296">
        <f t="shared" si="13"/>
        <v>100</v>
      </c>
      <c r="V32" s="3901" t="s">
        <v>16</v>
      </c>
      <c r="W32" s="3296">
        <f t="shared" si="14"/>
        <v>100</v>
      </c>
      <c r="X32" s="946"/>
      <c r="Y32" s="4401"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399"/>
      <c r="Q33" s="392" t="str">
        <f t="shared" si="11"/>
        <v>项目建筑规模</v>
      </c>
      <c r="R33" s="3902" t="s">
        <v>16</v>
      </c>
      <c r="S33" s="3297" t="e">
        <f t="shared" si="12"/>
        <v>#N/A</v>
      </c>
      <c r="T33" s="3902" t="s">
        <v>16</v>
      </c>
      <c r="U33" s="3297" t="e">
        <f t="shared" si="13"/>
        <v>#N/A</v>
      </c>
      <c r="V33" s="3902" t="s">
        <v>16</v>
      </c>
      <c r="W33" s="3297" t="e">
        <f t="shared" si="14"/>
        <v>#N/A</v>
      </c>
      <c r="X33" s="494"/>
      <c r="Y33" s="4401"/>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399"/>
      <c r="Q34" s="1544" t="str">
        <f t="shared" si="11"/>
        <v>建筑结构</v>
      </c>
      <c r="R34" s="3901" t="s">
        <v>16</v>
      </c>
      <c r="S34" s="3296">
        <f t="shared" si="12"/>
        <v>100</v>
      </c>
      <c r="T34" s="3901" t="s">
        <v>16</v>
      </c>
      <c r="U34" s="3296">
        <f t="shared" si="13"/>
        <v>100</v>
      </c>
      <c r="V34" s="3901" t="s">
        <v>16</v>
      </c>
      <c r="W34" s="3296">
        <f t="shared" si="14"/>
        <v>100</v>
      </c>
      <c r="X34" s="946"/>
      <c r="Y34" s="4401"/>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399"/>
      <c r="Q35" s="1544" t="str">
        <f t="shared" si="11"/>
        <v>建筑品质</v>
      </c>
      <c r="R35" s="3901" t="s">
        <v>16</v>
      </c>
      <c r="S35" s="3296">
        <f t="shared" si="12"/>
        <v>100</v>
      </c>
      <c r="T35" s="3901" t="s">
        <v>16</v>
      </c>
      <c r="U35" s="3296">
        <f t="shared" si="13"/>
        <v>100</v>
      </c>
      <c r="V35" s="3901" t="s">
        <v>16</v>
      </c>
      <c r="W35" s="3296">
        <f t="shared" si="14"/>
        <v>100</v>
      </c>
      <c r="X35" s="946"/>
      <c r="Y35" s="4401"/>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399"/>
      <c r="Q36" s="1544" t="str">
        <f t="shared" si="11"/>
        <v>公共部分装修</v>
      </c>
      <c r="R36" s="3901" t="s">
        <v>16</v>
      </c>
      <c r="S36" s="3296">
        <f t="shared" si="12"/>
        <v>100</v>
      </c>
      <c r="T36" s="3901" t="s">
        <v>16</v>
      </c>
      <c r="U36" s="3296">
        <f t="shared" si="13"/>
        <v>100</v>
      </c>
      <c r="V36" s="3901" t="s">
        <v>16</v>
      </c>
      <c r="W36" s="3296">
        <f t="shared" si="14"/>
        <v>100</v>
      </c>
      <c r="X36" s="946"/>
      <c r="Y36" s="4401"/>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399"/>
      <c r="Q37" s="1742" t="str">
        <f t="shared" si="11"/>
        <v>成新度</v>
      </c>
      <c r="R37" s="3796" t="s">
        <v>16</v>
      </c>
      <c r="S37" s="3295" t="e">
        <f t="shared" si="12"/>
        <v>#N/A</v>
      </c>
      <c r="T37" s="3796" t="s">
        <v>16</v>
      </c>
      <c r="U37" s="3295" t="e">
        <f t="shared" si="13"/>
        <v>#N/A</v>
      </c>
      <c r="V37" s="3796" t="s">
        <v>16</v>
      </c>
      <c r="W37" s="3295" t="e">
        <f t="shared" si="14"/>
        <v>#N/A</v>
      </c>
      <c r="X37" s="493"/>
      <c r="Y37" s="4401"/>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399" t="s">
        <v>1611</v>
      </c>
      <c r="Q38" s="1544" t="str">
        <f t="shared" si="11"/>
        <v>物业管理</v>
      </c>
      <c r="R38" s="3901" t="s">
        <v>16</v>
      </c>
      <c r="S38" s="3296">
        <f t="shared" si="12"/>
        <v>100</v>
      </c>
      <c r="T38" s="3901" t="s">
        <v>16</v>
      </c>
      <c r="U38" s="3296">
        <f t="shared" si="13"/>
        <v>100</v>
      </c>
      <c r="V38" s="3901" t="s">
        <v>16</v>
      </c>
      <c r="W38" s="3296">
        <f t="shared" si="14"/>
        <v>100</v>
      </c>
      <c r="X38" s="946"/>
      <c r="Y38" s="4401"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399"/>
      <c r="Q39" s="1544" t="str">
        <f t="shared" si="11"/>
        <v>市政基础设施</v>
      </c>
      <c r="R39" s="3901" t="s">
        <v>16</v>
      </c>
      <c r="S39" s="3296">
        <f t="shared" si="12"/>
        <v>100</v>
      </c>
      <c r="T39" s="3901" t="s">
        <v>16</v>
      </c>
      <c r="U39" s="3296">
        <f t="shared" si="13"/>
        <v>100</v>
      </c>
      <c r="V39" s="3901" t="s">
        <v>16</v>
      </c>
      <c r="W39" s="3296">
        <f t="shared" si="14"/>
        <v>100</v>
      </c>
      <c r="X39" s="946"/>
      <c r="Y39" s="4401"/>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399"/>
      <c r="Q40" s="1544" t="str">
        <f t="shared" si="11"/>
        <v>房型</v>
      </c>
      <c r="R40" s="3901" t="s">
        <v>16</v>
      </c>
      <c r="S40" s="3296">
        <f t="shared" si="12"/>
        <v>100</v>
      </c>
      <c r="T40" s="3901" t="s">
        <v>16</v>
      </c>
      <c r="U40" s="3296">
        <f t="shared" si="13"/>
        <v>100</v>
      </c>
      <c r="V40" s="3901" t="s">
        <v>16</v>
      </c>
      <c r="W40" s="3296">
        <f t="shared" si="14"/>
        <v>100</v>
      </c>
      <c r="X40" s="946"/>
      <c r="Y40" s="4401"/>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399"/>
      <c r="Q41" s="392" t="str">
        <f t="shared" si="11"/>
        <v>单套/主力户型建筑面积</v>
      </c>
      <c r="R41" s="3902" t="s">
        <v>16</v>
      </c>
      <c r="S41" s="3297">
        <f t="shared" si="12"/>
        <v>100</v>
      </c>
      <c r="T41" s="3902" t="s">
        <v>16</v>
      </c>
      <c r="U41" s="3297">
        <f t="shared" si="13"/>
        <v>100</v>
      </c>
      <c r="V41" s="3902" t="s">
        <v>16</v>
      </c>
      <c r="W41" s="3297">
        <f t="shared" si="14"/>
        <v>100</v>
      </c>
      <c r="X41" s="494"/>
      <c r="Y41" s="4401"/>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399"/>
      <c r="Q42" s="1544" t="str">
        <f t="shared" si="11"/>
        <v>内部装修</v>
      </c>
      <c r="R42" s="3901" t="s">
        <v>16</v>
      </c>
      <c r="S42" s="3296">
        <f t="shared" si="12"/>
        <v>100</v>
      </c>
      <c r="T42" s="3901" t="s">
        <v>16</v>
      </c>
      <c r="U42" s="3296">
        <f t="shared" si="13"/>
        <v>100</v>
      </c>
      <c r="V42" s="3901" t="s">
        <v>16</v>
      </c>
      <c r="W42" s="3296">
        <f t="shared" si="14"/>
        <v>100</v>
      </c>
      <c r="X42" s="946"/>
      <c r="Y42" s="4401"/>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399"/>
      <c r="Q43" s="1544" t="str">
        <f t="shared" si="11"/>
        <v>内部装修维护情况</v>
      </c>
      <c r="R43" s="3901" t="s">
        <v>16</v>
      </c>
      <c r="S43" s="3296">
        <f t="shared" si="12"/>
        <v>100</v>
      </c>
      <c r="T43" s="3901" t="s">
        <v>16</v>
      </c>
      <c r="U43" s="3296">
        <f t="shared" si="13"/>
        <v>100</v>
      </c>
      <c r="V43" s="3901" t="s">
        <v>16</v>
      </c>
      <c r="W43" s="3296">
        <f t="shared" si="14"/>
        <v>100</v>
      </c>
      <c r="X43" s="946"/>
      <c r="Y43" s="4401"/>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399"/>
      <c r="Q44" s="1742">
        <f t="shared" si="11"/>
        <v>111</v>
      </c>
      <c r="R44" s="3796" t="s">
        <v>16</v>
      </c>
      <c r="S44" s="3295">
        <f t="shared" si="12"/>
        <v>100</v>
      </c>
      <c r="T44" s="3796" t="s">
        <v>16</v>
      </c>
      <c r="U44" s="3295">
        <f t="shared" si="13"/>
        <v>100</v>
      </c>
      <c r="V44" s="3796" t="s">
        <v>16</v>
      </c>
      <c r="W44" s="3295">
        <f t="shared" si="14"/>
        <v>100</v>
      </c>
      <c r="X44" s="493"/>
      <c r="Y44" s="4401"/>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399"/>
      <c r="Q45" s="1544">
        <f t="shared" si="11"/>
        <v>111</v>
      </c>
      <c r="R45" s="3901" t="s">
        <v>16</v>
      </c>
      <c r="S45" s="3296">
        <f t="shared" si="12"/>
        <v>100</v>
      </c>
      <c r="T45" s="3901" t="s">
        <v>16</v>
      </c>
      <c r="U45" s="3296">
        <f t="shared" si="13"/>
        <v>100</v>
      </c>
      <c r="V45" s="3901" t="s">
        <v>16</v>
      </c>
      <c r="W45" s="3296">
        <f t="shared" si="14"/>
        <v>100</v>
      </c>
      <c r="X45" s="946"/>
      <c r="Y45" s="4401"/>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400"/>
      <c r="Q46" s="1544">
        <f t="shared" si="11"/>
        <v>111</v>
      </c>
      <c r="R46" s="3901" t="s">
        <v>15</v>
      </c>
      <c r="S46" s="3296">
        <f t="shared" si="12"/>
        <v>100</v>
      </c>
      <c r="T46" s="3901" t="s">
        <v>15</v>
      </c>
      <c r="U46" s="3296">
        <f t="shared" si="13"/>
        <v>100</v>
      </c>
      <c r="V46" s="3901" t="s">
        <v>15</v>
      </c>
      <c r="W46" s="3296">
        <f t="shared" si="14"/>
        <v>100</v>
      </c>
      <c r="X46" s="946"/>
      <c r="Y46" s="4402"/>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389" t="str">
        <f>A47</f>
        <v>成交单价（元/平方米）</v>
      </c>
      <c r="Q47" s="4389"/>
      <c r="R47" s="4390">
        <f>E47</f>
        <v>0</v>
      </c>
      <c r="S47" s="4390"/>
      <c r="T47" s="4390">
        <f>G47</f>
        <v>0</v>
      </c>
      <c r="U47" s="4390"/>
      <c r="V47" s="4390">
        <f>I47</f>
        <v>0</v>
      </c>
      <c r="W47" s="4390"/>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389" t="str">
        <f>A48</f>
        <v>比较价值（元/平方米）</v>
      </c>
      <c r="Q48" s="4389"/>
      <c r="R48" s="4390" t="e">
        <f>IF(F1="售价",ROUND(PRODUCT(R47,AA7:AA46),0),ROUND(PRODUCT(R47,AA7:AA46),1))</f>
        <v>#DIV/0!</v>
      </c>
      <c r="S48" s="4390"/>
      <c r="T48" s="4390" t="e">
        <f>IF(F1="售价",ROUND(PRODUCT(T47,AB7:AB46),0),ROUND(PRODUCT(T47,AB7:AB46),1))</f>
        <v>#DIV/0!</v>
      </c>
      <c r="U48" s="4390"/>
      <c r="V48" s="4390" t="e">
        <f>IF(F1="售价",ROUND(PRODUCT(V47,AC7:AC46),0),ROUND(PRODUCT(V47,AC7:AC46),1))</f>
        <v>#DIV/0!</v>
      </c>
      <c r="W48" s="4390"/>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391" t="str">
        <f>A49</f>
        <v>估价对象XX用房的比较价值（楼面单价，元/平方米）</v>
      </c>
      <c r="Q49" s="4392"/>
      <c r="R49" s="4393" t="e">
        <f>IF(F1="售价",ROUND(IF(D48="简单平均",AVERAGE(R48:V48),R48*F48+T48*H48+V48*J48),0),ROUND(IF(D48="简单平均",AVERAGE(R48:V48),R48*F48+T48*H48+V48*J48),1))</f>
        <v>#DIV/0!</v>
      </c>
      <c r="S49" s="4393"/>
      <c r="T49" s="4393"/>
      <c r="U49" s="4393"/>
      <c r="V49" s="4393"/>
      <c r="W49" s="4393"/>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73.400000000000006</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499" t="s">
        <v>1685</v>
      </c>
      <c r="D4" s="4500"/>
      <c r="E4" s="4501" t="s">
        <v>1686</v>
      </c>
      <c r="F4" s="4502"/>
      <c r="G4" s="4499" t="s">
        <v>1687</v>
      </c>
      <c r="H4" s="4500"/>
      <c r="I4" s="4499" t="s">
        <v>1688</v>
      </c>
      <c r="J4" s="4500"/>
      <c r="K4" s="397" t="s">
        <v>1689</v>
      </c>
      <c r="L4" s="2018"/>
      <c r="M4" s="2019"/>
      <c r="N4" s="2019"/>
      <c r="O4" s="2019"/>
      <c r="P4" s="4503" t="s">
        <v>1690</v>
      </c>
      <c r="Q4" s="4504"/>
      <c r="R4" s="4507" t="s">
        <v>1686</v>
      </c>
      <c r="S4" s="4508"/>
      <c r="T4" s="4507" t="s">
        <v>1687</v>
      </c>
      <c r="U4" s="4508"/>
      <c r="V4" s="4509" t="s">
        <v>1688</v>
      </c>
      <c r="W4" s="4509"/>
      <c r="X4" s="1450"/>
      <c r="Y4" s="4515" t="s">
        <v>1690</v>
      </c>
      <c r="Z4" s="4516"/>
      <c r="AA4" s="4519" t="s">
        <v>1686</v>
      </c>
      <c r="AB4" s="4519" t="s">
        <v>1687</v>
      </c>
      <c r="AC4" s="4496" t="s">
        <v>1688</v>
      </c>
    </row>
    <row r="5" spans="1:29" ht="15">
      <c r="A5" s="239"/>
      <c r="B5" s="240"/>
      <c r="C5" s="4512" t="s">
        <v>1588</v>
      </c>
      <c r="D5" s="4513"/>
      <c r="E5" s="4520" t="s">
        <v>1589</v>
      </c>
      <c r="F5" s="4521"/>
      <c r="G5" s="4512" t="s">
        <v>1590</v>
      </c>
      <c r="H5" s="4513"/>
      <c r="I5" s="4512" t="s">
        <v>1591</v>
      </c>
      <c r="J5" s="4513"/>
      <c r="K5" s="397"/>
      <c r="L5" s="2018"/>
      <c r="M5" s="2019"/>
      <c r="N5" s="2019"/>
      <c r="O5" s="2019"/>
      <c r="P5" s="4505"/>
      <c r="Q5" s="4415"/>
      <c r="R5" s="4420"/>
      <c r="S5" s="4421"/>
      <c r="T5" s="4420"/>
      <c r="U5" s="4421"/>
      <c r="V5" s="4424"/>
      <c r="W5" s="4424"/>
      <c r="X5" s="946"/>
      <c r="Y5" s="4435"/>
      <c r="Z5" s="4436"/>
      <c r="AA5" s="4406"/>
      <c r="AB5" s="4406"/>
      <c r="AC5" s="4497"/>
    </row>
    <row r="6" spans="1:29" ht="15.75" thickBot="1">
      <c r="A6" s="241"/>
      <c r="B6" s="242"/>
      <c r="C6" s="4510" t="s">
        <v>1592</v>
      </c>
      <c r="D6" s="4511"/>
      <c r="E6" s="4517" t="s">
        <v>1592</v>
      </c>
      <c r="F6" s="4518"/>
      <c r="G6" s="4510" t="s">
        <v>1592</v>
      </c>
      <c r="H6" s="4511"/>
      <c r="I6" s="4510" t="s">
        <v>1592</v>
      </c>
      <c r="J6" s="4511"/>
      <c r="K6" s="397" t="s">
        <v>1593</v>
      </c>
      <c r="L6" s="2018"/>
      <c r="M6" s="2019"/>
      <c r="N6" s="2019"/>
      <c r="O6" s="2019"/>
      <c r="P6" s="4506"/>
      <c r="Q6" s="4417"/>
      <c r="R6" s="4420"/>
      <c r="S6" s="4421"/>
      <c r="T6" s="4422"/>
      <c r="U6" s="4423"/>
      <c r="V6" s="4424"/>
      <c r="W6" s="4424"/>
      <c r="X6" s="946"/>
      <c r="Y6" s="4437"/>
      <c r="Z6" s="4438"/>
      <c r="AA6" s="4407"/>
      <c r="AB6" s="4407"/>
      <c r="AC6" s="4498"/>
    </row>
    <row r="7" spans="1:29" s="46" customFormat="1" ht="15.75" thickBot="1">
      <c r="A7" s="243" t="s">
        <v>1594</v>
      </c>
      <c r="B7" s="244"/>
      <c r="C7" s="245">
        <f>'数据-取费表'!B2</f>
        <v>46046</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14" t="s">
        <v>1595</v>
      </c>
      <c r="Q7" s="4439"/>
      <c r="R7" s="3796" t="s">
        <v>13</v>
      </c>
      <c r="S7" s="3295">
        <f t="shared" ref="S7:S15" si="0">F7</f>
        <v>0</v>
      </c>
      <c r="T7" s="3796" t="s">
        <v>13</v>
      </c>
      <c r="U7" s="3295">
        <f t="shared" ref="U7:U15" si="1">H7</f>
        <v>0</v>
      </c>
      <c r="V7" s="3796" t="s">
        <v>13</v>
      </c>
      <c r="W7" s="3295">
        <f t="shared" ref="W7:W15" si="2">J7</f>
        <v>0</v>
      </c>
      <c r="X7" s="493"/>
      <c r="Y7" s="4431" t="s">
        <v>1595</v>
      </c>
      <c r="Z7" s="4432"/>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14" t="s">
        <v>1598</v>
      </c>
      <c r="Q8" s="4430"/>
      <c r="R8" s="3796" t="s">
        <v>13</v>
      </c>
      <c r="S8" s="3295">
        <f t="shared" si="0"/>
        <v>100</v>
      </c>
      <c r="T8" s="3796" t="s">
        <v>13</v>
      </c>
      <c r="U8" s="3295">
        <f t="shared" si="1"/>
        <v>100</v>
      </c>
      <c r="V8" s="3796" t="s">
        <v>13</v>
      </c>
      <c r="W8" s="3295">
        <f t="shared" si="2"/>
        <v>100</v>
      </c>
      <c r="X8" s="493"/>
      <c r="Y8" s="4431" t="s">
        <v>1598</v>
      </c>
      <c r="Z8" s="4432"/>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03" t="s">
        <v>1601</v>
      </c>
      <c r="Q9" s="1742" t="str">
        <f t="shared" ref="Q9:Q15" si="6">B9</f>
        <v>用途</v>
      </c>
      <c r="R9" s="3796" t="s">
        <v>13</v>
      </c>
      <c r="S9" s="3295">
        <f t="shared" si="0"/>
        <v>100</v>
      </c>
      <c r="T9" s="3796" t="s">
        <v>13</v>
      </c>
      <c r="U9" s="3295">
        <f t="shared" si="1"/>
        <v>100</v>
      </c>
      <c r="V9" s="3796" t="s">
        <v>13</v>
      </c>
      <c r="W9" s="3295">
        <f t="shared" si="2"/>
        <v>100</v>
      </c>
      <c r="X9" s="493"/>
      <c r="Y9" s="4404"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03"/>
      <c r="Q10" s="1742" t="str">
        <f t="shared" si="6"/>
        <v>土地使用年限（年）</v>
      </c>
      <c r="R10" s="3796" t="s">
        <v>13</v>
      </c>
      <c r="S10" s="3295">
        <f t="shared" si="0"/>
        <v>100</v>
      </c>
      <c r="T10" s="3796" t="s">
        <v>13</v>
      </c>
      <c r="U10" s="3295">
        <f t="shared" si="1"/>
        <v>100</v>
      </c>
      <c r="V10" s="3796" t="s">
        <v>13</v>
      </c>
      <c r="W10" s="3295">
        <f t="shared" si="2"/>
        <v>100</v>
      </c>
      <c r="X10" s="493"/>
      <c r="Y10" s="4404"/>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03"/>
      <c r="Q11" s="1742" t="str">
        <f t="shared" si="6"/>
        <v>容积率</v>
      </c>
      <c r="R11" s="3796" t="s">
        <v>13</v>
      </c>
      <c r="S11" s="3295">
        <f t="shared" si="0"/>
        <v>100</v>
      </c>
      <c r="T11" s="3796" t="s">
        <v>13</v>
      </c>
      <c r="U11" s="3295">
        <f t="shared" si="1"/>
        <v>100</v>
      </c>
      <c r="V11" s="3796" t="s">
        <v>13</v>
      </c>
      <c r="W11" s="3295">
        <f t="shared" si="2"/>
        <v>100</v>
      </c>
      <c r="X11" s="493"/>
      <c r="Y11" s="4404"/>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03"/>
      <c r="Q12" s="1742">
        <f t="shared" si="6"/>
        <v>111</v>
      </c>
      <c r="R12" s="3796" t="s">
        <v>13</v>
      </c>
      <c r="S12" s="3295">
        <f t="shared" si="0"/>
        <v>100</v>
      </c>
      <c r="T12" s="3796" t="s">
        <v>13</v>
      </c>
      <c r="U12" s="3295">
        <f t="shared" si="1"/>
        <v>100</v>
      </c>
      <c r="V12" s="3796" t="s">
        <v>13</v>
      </c>
      <c r="W12" s="3295">
        <f t="shared" si="2"/>
        <v>100</v>
      </c>
      <c r="X12" s="493"/>
      <c r="Y12" s="4404"/>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03"/>
      <c r="Q13" s="1742">
        <f t="shared" si="6"/>
        <v>111</v>
      </c>
      <c r="R13" s="3796" t="s">
        <v>13</v>
      </c>
      <c r="S13" s="3295">
        <f t="shared" si="0"/>
        <v>100</v>
      </c>
      <c r="T13" s="3796" t="s">
        <v>13</v>
      </c>
      <c r="U13" s="3295">
        <f t="shared" si="1"/>
        <v>100</v>
      </c>
      <c r="V13" s="3796" t="s">
        <v>13</v>
      </c>
      <c r="W13" s="3295">
        <f t="shared" si="2"/>
        <v>100</v>
      </c>
      <c r="X13" s="493"/>
      <c r="Y13" s="4404"/>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03"/>
      <c r="Q14" s="1742">
        <f t="shared" si="6"/>
        <v>111</v>
      </c>
      <c r="R14" s="3796" t="s">
        <v>13</v>
      </c>
      <c r="S14" s="3295">
        <f t="shared" si="0"/>
        <v>100</v>
      </c>
      <c r="T14" s="3796" t="s">
        <v>13</v>
      </c>
      <c r="U14" s="3295">
        <f t="shared" si="1"/>
        <v>100</v>
      </c>
      <c r="V14" s="3796" t="s">
        <v>13</v>
      </c>
      <c r="W14" s="3295">
        <f t="shared" si="2"/>
        <v>100</v>
      </c>
      <c r="X14" s="493"/>
      <c r="Y14" s="4404"/>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394" t="s">
        <v>1606</v>
      </c>
      <c r="Q15" s="1544" t="str">
        <f t="shared" si="6"/>
        <v>办公集聚程度</v>
      </c>
      <c r="R15" s="3901" t="s">
        <v>13</v>
      </c>
      <c r="S15" s="3296">
        <f t="shared" si="0"/>
        <v>100</v>
      </c>
      <c r="T15" s="3901" t="s">
        <v>13</v>
      </c>
      <c r="U15" s="3296">
        <f t="shared" si="1"/>
        <v>100</v>
      </c>
      <c r="V15" s="3901" t="s">
        <v>13</v>
      </c>
      <c r="W15" s="3296">
        <f t="shared" si="2"/>
        <v>100</v>
      </c>
      <c r="X15" s="946"/>
      <c r="Y15" s="4396"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395"/>
      <c r="Q16" s="1544"/>
      <c r="R16" s="3901"/>
      <c r="S16" s="3296"/>
      <c r="T16" s="3901"/>
      <c r="U16" s="3296"/>
      <c r="V16" s="3901"/>
      <c r="W16" s="3296"/>
      <c r="X16" s="946"/>
      <c r="Y16" s="4397"/>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395"/>
      <c r="Q17" s="1544" t="str">
        <f>B17</f>
        <v>交通便捷度</v>
      </c>
      <c r="R17" s="3901" t="s">
        <v>13</v>
      </c>
      <c r="S17" s="3296">
        <f>F17</f>
        <v>100</v>
      </c>
      <c r="T17" s="3901" t="s">
        <v>13</v>
      </c>
      <c r="U17" s="3296">
        <f>H17</f>
        <v>100</v>
      </c>
      <c r="V17" s="3901" t="s">
        <v>13</v>
      </c>
      <c r="W17" s="3296">
        <f>J17</f>
        <v>100</v>
      </c>
      <c r="X17" s="946"/>
      <c r="Y17" s="4397"/>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395"/>
      <c r="Q18" s="1544"/>
      <c r="R18" s="3901"/>
      <c r="S18" s="3296"/>
      <c r="T18" s="3901"/>
      <c r="U18" s="3296"/>
      <c r="V18" s="3901"/>
      <c r="W18" s="3296"/>
      <c r="X18" s="946"/>
      <c r="Y18" s="4397"/>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395"/>
      <c r="Q19" s="1544" t="str">
        <f>B19</f>
        <v>公共配套设施</v>
      </c>
      <c r="R19" s="3901" t="s">
        <v>13</v>
      </c>
      <c r="S19" s="3296">
        <f>F19</f>
        <v>100</v>
      </c>
      <c r="T19" s="3901" t="s">
        <v>13</v>
      </c>
      <c r="U19" s="3296">
        <f>H19</f>
        <v>100</v>
      </c>
      <c r="V19" s="3901" t="s">
        <v>13</v>
      </c>
      <c r="W19" s="3296">
        <f>J19</f>
        <v>100</v>
      </c>
      <c r="X19" s="946"/>
      <c r="Y19" s="4397"/>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395"/>
      <c r="Q20" s="1544"/>
      <c r="R20" s="3901"/>
      <c r="S20" s="3296"/>
      <c r="T20" s="3901"/>
      <c r="U20" s="3296"/>
      <c r="V20" s="3901"/>
      <c r="W20" s="3296"/>
      <c r="X20" s="946"/>
      <c r="Y20" s="4397"/>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395"/>
      <c r="Q21" s="1544" t="str">
        <f>B21</f>
        <v>基础设施水平</v>
      </c>
      <c r="R21" s="3901" t="s">
        <v>13</v>
      </c>
      <c r="S21" s="3296">
        <f>F21</f>
        <v>100</v>
      </c>
      <c r="T21" s="3901" t="s">
        <v>13</v>
      </c>
      <c r="U21" s="3296">
        <f>H21</f>
        <v>100</v>
      </c>
      <c r="V21" s="3901" t="s">
        <v>13</v>
      </c>
      <c r="W21" s="3296">
        <f>J21</f>
        <v>100</v>
      </c>
      <c r="X21" s="946"/>
      <c r="Y21" s="4397"/>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395"/>
      <c r="Q22" s="1544"/>
      <c r="R22" s="3901"/>
      <c r="S22" s="3296"/>
      <c r="T22" s="3901"/>
      <c r="U22" s="3296"/>
      <c r="V22" s="3901"/>
      <c r="W22" s="3296"/>
      <c r="X22" s="946"/>
      <c r="Y22" s="4397"/>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395"/>
      <c r="Q23" s="1544" t="str">
        <f>B23</f>
        <v>环境质量</v>
      </c>
      <c r="R23" s="3901" t="s">
        <v>13</v>
      </c>
      <c r="S23" s="3296">
        <f>F23</f>
        <v>100</v>
      </c>
      <c r="T23" s="3901" t="s">
        <v>13</v>
      </c>
      <c r="U23" s="3296">
        <f>H23</f>
        <v>100</v>
      </c>
      <c r="V23" s="3901" t="s">
        <v>13</v>
      </c>
      <c r="W23" s="3296">
        <f>J23</f>
        <v>100</v>
      </c>
      <c r="X23" s="946"/>
      <c r="Y23" s="4397"/>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395"/>
      <c r="Q24" s="1544"/>
      <c r="R24" s="3901"/>
      <c r="S24" s="3296"/>
      <c r="T24" s="3901"/>
      <c r="U24" s="3296"/>
      <c r="V24" s="3901"/>
      <c r="W24" s="3296"/>
      <c r="X24" s="946"/>
      <c r="Y24" s="4397"/>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395"/>
      <c r="Q25" s="1544" t="str">
        <f>B25</f>
        <v>毗邻道路的类型与等级</v>
      </c>
      <c r="R25" s="3901" t="s">
        <v>13</v>
      </c>
      <c r="S25" s="3296">
        <f>F25</f>
        <v>100</v>
      </c>
      <c r="T25" s="3901" t="s">
        <v>13</v>
      </c>
      <c r="U25" s="3296">
        <f>H25</f>
        <v>100</v>
      </c>
      <c r="V25" s="3901" t="s">
        <v>13</v>
      </c>
      <c r="W25" s="3296">
        <f>J25</f>
        <v>100</v>
      </c>
      <c r="X25" s="946"/>
      <c r="Y25" s="4397"/>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395"/>
      <c r="Q26" s="1544"/>
      <c r="R26" s="3901"/>
      <c r="S26" s="3296"/>
      <c r="T26" s="3901"/>
      <c r="U26" s="3296"/>
      <c r="V26" s="3901"/>
      <c r="W26" s="3296"/>
      <c r="X26" s="946"/>
      <c r="Y26" s="4397"/>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395"/>
      <c r="Q27" s="1544" t="str">
        <f t="shared" ref="Q27:Q47" si="11">B27</f>
        <v>楼层</v>
      </c>
      <c r="R27" s="3901" t="s">
        <v>13</v>
      </c>
      <c r="S27" s="3296">
        <f>F27</f>
        <v>100</v>
      </c>
      <c r="T27" s="3901" t="s">
        <v>13</v>
      </c>
      <c r="U27" s="3296">
        <f>H27</f>
        <v>100</v>
      </c>
      <c r="V27" s="3901" t="s">
        <v>13</v>
      </c>
      <c r="W27" s="3296">
        <f>J27</f>
        <v>100</v>
      </c>
      <c r="X27" s="946"/>
      <c r="Y27" s="4397"/>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395"/>
      <c r="Q28" s="1742" t="str">
        <f t="shared" si="11"/>
        <v>朝向</v>
      </c>
      <c r="R28" s="3796" t="s">
        <v>13</v>
      </c>
      <c r="S28" s="3295">
        <f>F28</f>
        <v>100</v>
      </c>
      <c r="T28" s="3796" t="s">
        <v>13</v>
      </c>
      <c r="U28" s="3295">
        <f>H28</f>
        <v>100</v>
      </c>
      <c r="V28" s="3796" t="s">
        <v>13</v>
      </c>
      <c r="W28" s="3295">
        <f>J28</f>
        <v>100</v>
      </c>
      <c r="X28" s="493"/>
      <c r="Y28" s="4397"/>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395"/>
      <c r="Q29" s="1544">
        <f t="shared" si="11"/>
        <v>111</v>
      </c>
      <c r="R29" s="3901" t="s">
        <v>13</v>
      </c>
      <c r="S29" s="3296">
        <f t="shared" ref="S29:S47" si="12">F29</f>
        <v>100</v>
      </c>
      <c r="T29" s="3901" t="s">
        <v>13</v>
      </c>
      <c r="U29" s="3296">
        <f t="shared" ref="U29:U47" si="13">H29</f>
        <v>100</v>
      </c>
      <c r="V29" s="3901" t="s">
        <v>13</v>
      </c>
      <c r="W29" s="3296">
        <f t="shared" ref="W29:W47" si="14">J29</f>
        <v>100</v>
      </c>
      <c r="X29" s="946"/>
      <c r="Y29" s="4397"/>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395"/>
      <c r="Q30" s="1544">
        <f t="shared" si="11"/>
        <v>111</v>
      </c>
      <c r="R30" s="3901" t="s">
        <v>13</v>
      </c>
      <c r="S30" s="3296">
        <f t="shared" si="12"/>
        <v>100</v>
      </c>
      <c r="T30" s="3901" t="s">
        <v>13</v>
      </c>
      <c r="U30" s="3296">
        <f t="shared" si="13"/>
        <v>100</v>
      </c>
      <c r="V30" s="3901" t="s">
        <v>13</v>
      </c>
      <c r="W30" s="3296">
        <f t="shared" si="14"/>
        <v>100</v>
      </c>
      <c r="X30" s="946"/>
      <c r="Y30" s="4397"/>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395"/>
      <c r="Q31" s="1544">
        <f t="shared" si="11"/>
        <v>111</v>
      </c>
      <c r="R31" s="3901" t="s">
        <v>13</v>
      </c>
      <c r="S31" s="3296">
        <f t="shared" si="12"/>
        <v>100</v>
      </c>
      <c r="T31" s="3901" t="s">
        <v>13</v>
      </c>
      <c r="U31" s="3296">
        <f t="shared" si="13"/>
        <v>100</v>
      </c>
      <c r="V31" s="3901" t="s">
        <v>13</v>
      </c>
      <c r="W31" s="3296">
        <f t="shared" si="14"/>
        <v>100</v>
      </c>
      <c r="X31" s="946"/>
      <c r="Y31" s="4397"/>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395"/>
      <c r="Q32" s="1544">
        <f t="shared" si="11"/>
        <v>111</v>
      </c>
      <c r="R32" s="3901" t="s">
        <v>13</v>
      </c>
      <c r="S32" s="3296">
        <f t="shared" si="12"/>
        <v>100</v>
      </c>
      <c r="T32" s="3901" t="s">
        <v>13</v>
      </c>
      <c r="U32" s="3296">
        <f t="shared" si="13"/>
        <v>100</v>
      </c>
      <c r="V32" s="3901" t="s">
        <v>13</v>
      </c>
      <c r="W32" s="3296">
        <f t="shared" si="14"/>
        <v>100</v>
      </c>
      <c r="X32" s="946"/>
      <c r="Y32" s="4397"/>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398" t="s">
        <v>1611</v>
      </c>
      <c r="Q33" s="1544" t="str">
        <f t="shared" si="11"/>
        <v>建筑类型</v>
      </c>
      <c r="R33" s="3901" t="s">
        <v>13</v>
      </c>
      <c r="S33" s="3296">
        <f t="shared" si="12"/>
        <v>100</v>
      </c>
      <c r="T33" s="3901" t="s">
        <v>13</v>
      </c>
      <c r="U33" s="3296">
        <f t="shared" si="13"/>
        <v>100</v>
      </c>
      <c r="V33" s="3901" t="s">
        <v>13</v>
      </c>
      <c r="W33" s="3296">
        <f t="shared" si="14"/>
        <v>100</v>
      </c>
      <c r="X33" s="946"/>
      <c r="Y33" s="4401"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399"/>
      <c r="Q34" s="392" t="str">
        <f t="shared" si="11"/>
        <v>项目建筑规模</v>
      </c>
      <c r="R34" s="3902" t="s">
        <v>13</v>
      </c>
      <c r="S34" s="3297" t="e">
        <f t="shared" si="12"/>
        <v>#N/A</v>
      </c>
      <c r="T34" s="3902" t="s">
        <v>13</v>
      </c>
      <c r="U34" s="3297" t="e">
        <f t="shared" si="13"/>
        <v>#N/A</v>
      </c>
      <c r="V34" s="3902" t="s">
        <v>13</v>
      </c>
      <c r="W34" s="3297" t="e">
        <f t="shared" si="14"/>
        <v>#N/A</v>
      </c>
      <c r="X34" s="494"/>
      <c r="Y34" s="4401"/>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399"/>
      <c r="Q35" s="1544" t="str">
        <f t="shared" si="11"/>
        <v>建筑结构</v>
      </c>
      <c r="R35" s="3901" t="s">
        <v>13</v>
      </c>
      <c r="S35" s="3296">
        <f t="shared" si="12"/>
        <v>100</v>
      </c>
      <c r="T35" s="3901" t="s">
        <v>13</v>
      </c>
      <c r="U35" s="3296">
        <f t="shared" si="13"/>
        <v>100</v>
      </c>
      <c r="V35" s="3901" t="s">
        <v>13</v>
      </c>
      <c r="W35" s="3296">
        <f t="shared" si="14"/>
        <v>100</v>
      </c>
      <c r="X35" s="946"/>
      <c r="Y35" s="4401"/>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399"/>
      <c r="Q36" s="1544" t="str">
        <f t="shared" si="11"/>
        <v>公共部分装修</v>
      </c>
      <c r="R36" s="3901" t="s">
        <v>13</v>
      </c>
      <c r="S36" s="3296">
        <f t="shared" si="12"/>
        <v>100</v>
      </c>
      <c r="T36" s="3901" t="s">
        <v>13</v>
      </c>
      <c r="U36" s="3296">
        <f t="shared" si="13"/>
        <v>100</v>
      </c>
      <c r="V36" s="3901" t="s">
        <v>13</v>
      </c>
      <c r="W36" s="3296">
        <f t="shared" si="14"/>
        <v>100</v>
      </c>
      <c r="X36" s="946"/>
      <c r="Y36" s="4401"/>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399"/>
      <c r="Q37" s="1544" t="str">
        <f t="shared" si="11"/>
        <v>成新度</v>
      </c>
      <c r="R37" s="3901" t="s">
        <v>13</v>
      </c>
      <c r="S37" s="3296" t="e">
        <f t="shared" si="12"/>
        <v>#N/A</v>
      </c>
      <c r="T37" s="3901" t="s">
        <v>13</v>
      </c>
      <c r="U37" s="3296" t="e">
        <f t="shared" si="13"/>
        <v>#N/A</v>
      </c>
      <c r="V37" s="3901" t="s">
        <v>13</v>
      </c>
      <c r="W37" s="3296" t="e">
        <f t="shared" si="14"/>
        <v>#N/A</v>
      </c>
      <c r="X37" s="946"/>
      <c r="Y37" s="4401"/>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399"/>
      <c r="Q38" s="1742" t="str">
        <f t="shared" si="11"/>
        <v>写字楼等级</v>
      </c>
      <c r="R38" s="3796" t="s">
        <v>13</v>
      </c>
      <c r="S38" s="3295">
        <f t="shared" si="12"/>
        <v>100</v>
      </c>
      <c r="T38" s="3796" t="s">
        <v>13</v>
      </c>
      <c r="U38" s="3295">
        <f t="shared" si="13"/>
        <v>100</v>
      </c>
      <c r="V38" s="3796" t="s">
        <v>13</v>
      </c>
      <c r="W38" s="3295">
        <f t="shared" si="14"/>
        <v>100</v>
      </c>
      <c r="X38" s="493"/>
      <c r="Y38" s="4401"/>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399" t="s">
        <v>1611</v>
      </c>
      <c r="Q39" s="1544" t="str">
        <f t="shared" si="11"/>
        <v>物业管理</v>
      </c>
      <c r="R39" s="3901" t="s">
        <v>13</v>
      </c>
      <c r="S39" s="3296">
        <f t="shared" si="12"/>
        <v>100</v>
      </c>
      <c r="T39" s="3901" t="s">
        <v>13</v>
      </c>
      <c r="U39" s="3296">
        <f t="shared" si="13"/>
        <v>100</v>
      </c>
      <c r="V39" s="3901" t="s">
        <v>13</v>
      </c>
      <c r="W39" s="3296">
        <f t="shared" si="14"/>
        <v>100</v>
      </c>
      <c r="X39" s="946"/>
      <c r="Y39" s="4401"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399"/>
      <c r="Q40" s="1544" t="str">
        <f t="shared" si="11"/>
        <v>市政基础设施</v>
      </c>
      <c r="R40" s="3901" t="s">
        <v>13</v>
      </c>
      <c r="S40" s="3296">
        <f t="shared" si="12"/>
        <v>100</v>
      </c>
      <c r="T40" s="3901" t="s">
        <v>13</v>
      </c>
      <c r="U40" s="3296">
        <f t="shared" si="13"/>
        <v>100</v>
      </c>
      <c r="V40" s="3901" t="s">
        <v>13</v>
      </c>
      <c r="W40" s="3296">
        <f t="shared" si="14"/>
        <v>100</v>
      </c>
      <c r="X40" s="946"/>
      <c r="Y40" s="4401"/>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399"/>
      <c r="Q41" s="1544" t="str">
        <f t="shared" si="11"/>
        <v>层高</v>
      </c>
      <c r="R41" s="3901" t="s">
        <v>13</v>
      </c>
      <c r="S41" s="3296">
        <f t="shared" si="12"/>
        <v>100</v>
      </c>
      <c r="T41" s="3901" t="s">
        <v>13</v>
      </c>
      <c r="U41" s="3296">
        <f t="shared" si="13"/>
        <v>100</v>
      </c>
      <c r="V41" s="3901" t="s">
        <v>13</v>
      </c>
      <c r="W41" s="3296">
        <f t="shared" si="14"/>
        <v>100</v>
      </c>
      <c r="X41" s="946"/>
      <c r="Y41" s="4401"/>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399"/>
      <c r="Q42" s="392" t="str">
        <f t="shared" si="11"/>
        <v>单套建筑面积</v>
      </c>
      <c r="R42" s="3902" t="s">
        <v>13</v>
      </c>
      <c r="S42" s="3297">
        <f t="shared" si="12"/>
        <v>100</v>
      </c>
      <c r="T42" s="3902" t="s">
        <v>13</v>
      </c>
      <c r="U42" s="3297">
        <f t="shared" si="13"/>
        <v>100</v>
      </c>
      <c r="V42" s="3902" t="s">
        <v>13</v>
      </c>
      <c r="W42" s="3297">
        <f t="shared" si="14"/>
        <v>100</v>
      </c>
      <c r="X42" s="494"/>
      <c r="Y42" s="4401"/>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399"/>
      <c r="Q43" s="1544" t="str">
        <f t="shared" si="11"/>
        <v>内部装修</v>
      </c>
      <c r="R43" s="3901" t="s">
        <v>13</v>
      </c>
      <c r="S43" s="3296">
        <f t="shared" si="12"/>
        <v>100</v>
      </c>
      <c r="T43" s="3901" t="s">
        <v>13</v>
      </c>
      <c r="U43" s="3296">
        <f t="shared" si="13"/>
        <v>100</v>
      </c>
      <c r="V43" s="3901" t="s">
        <v>13</v>
      </c>
      <c r="W43" s="3296">
        <f t="shared" si="14"/>
        <v>100</v>
      </c>
      <c r="X43" s="946"/>
      <c r="Y43" s="4401"/>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399"/>
      <c r="Q44" s="1544" t="str">
        <f t="shared" si="11"/>
        <v>内部装修维护情况</v>
      </c>
      <c r="R44" s="3901" t="s">
        <v>13</v>
      </c>
      <c r="S44" s="3296">
        <f t="shared" si="12"/>
        <v>100</v>
      </c>
      <c r="T44" s="3901" t="s">
        <v>13</v>
      </c>
      <c r="U44" s="3296">
        <f t="shared" si="13"/>
        <v>100</v>
      </c>
      <c r="V44" s="3901" t="s">
        <v>13</v>
      </c>
      <c r="W44" s="3296">
        <f t="shared" si="14"/>
        <v>100</v>
      </c>
      <c r="X44" s="946"/>
      <c r="Y44" s="4401"/>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399"/>
      <c r="Q45" s="1742">
        <f t="shared" si="11"/>
        <v>111</v>
      </c>
      <c r="R45" s="3796" t="s">
        <v>13</v>
      </c>
      <c r="S45" s="3295">
        <f t="shared" si="12"/>
        <v>100</v>
      </c>
      <c r="T45" s="3796" t="s">
        <v>13</v>
      </c>
      <c r="U45" s="3295">
        <f t="shared" si="13"/>
        <v>100</v>
      </c>
      <c r="V45" s="3796" t="s">
        <v>13</v>
      </c>
      <c r="W45" s="3295">
        <f t="shared" si="14"/>
        <v>100</v>
      </c>
      <c r="X45" s="493"/>
      <c r="Y45" s="4401"/>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399"/>
      <c r="Q46" s="1544">
        <f t="shared" si="11"/>
        <v>111</v>
      </c>
      <c r="R46" s="3901" t="s">
        <v>13</v>
      </c>
      <c r="S46" s="3296">
        <f t="shared" si="12"/>
        <v>100</v>
      </c>
      <c r="T46" s="3901" t="s">
        <v>13</v>
      </c>
      <c r="U46" s="3296">
        <f t="shared" si="13"/>
        <v>100</v>
      </c>
      <c r="V46" s="3901" t="s">
        <v>13</v>
      </c>
      <c r="W46" s="3296">
        <f t="shared" si="14"/>
        <v>100</v>
      </c>
      <c r="X46" s="946"/>
      <c r="Y46" s="4401"/>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400"/>
      <c r="Q47" s="1544">
        <f t="shared" si="11"/>
        <v>111</v>
      </c>
      <c r="R47" s="3901" t="s">
        <v>13</v>
      </c>
      <c r="S47" s="3296">
        <f t="shared" si="12"/>
        <v>100</v>
      </c>
      <c r="T47" s="3901" t="s">
        <v>13</v>
      </c>
      <c r="U47" s="3296">
        <f t="shared" si="13"/>
        <v>100</v>
      </c>
      <c r="V47" s="3901" t="s">
        <v>13</v>
      </c>
      <c r="W47" s="3296">
        <f t="shared" si="14"/>
        <v>100</v>
      </c>
      <c r="X47" s="946"/>
      <c r="Y47" s="4402"/>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403" t="str">
        <f>A48</f>
        <v>成交单价（元/平方米）</v>
      </c>
      <c r="Q48" s="4389"/>
      <c r="R48" s="4390">
        <f>E48</f>
        <v>0</v>
      </c>
      <c r="S48" s="4390"/>
      <c r="T48" s="4390">
        <f>G48</f>
        <v>0</v>
      </c>
      <c r="U48" s="4390"/>
      <c r="V48" s="4390">
        <f>I48</f>
        <v>0</v>
      </c>
      <c r="W48" s="4390"/>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403" t="str">
        <f>A49</f>
        <v>比较价值（元/平方米）</v>
      </c>
      <c r="Q49" s="4389"/>
      <c r="R49" s="4390" t="e">
        <f>IF(F1="售价",ROUND(PRODUCT(R48,AA7:AA47),0),ROUND(PRODUCT(R48,AA7:AA47),1))</f>
        <v>#DIV/0!</v>
      </c>
      <c r="S49" s="4390"/>
      <c r="T49" s="4390" t="e">
        <f>IF(F1="售价",ROUND(PRODUCT(T48,AB7:AB47),0),ROUND(PRODUCT(T48,AB7:AB47),1))</f>
        <v>#DIV/0!</v>
      </c>
      <c r="U49" s="4390"/>
      <c r="V49" s="4390" t="e">
        <f>IF(F1="售价",ROUND(PRODUCT(V48,AC7:AC47),0),ROUND(PRODUCT(V48,AC7:AC47),1))</f>
        <v>#DIV/0!</v>
      </c>
      <c r="W49" s="4390"/>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493" t="str">
        <f>A50</f>
        <v>估价对象XX用房的比较价值（楼面单价，元/平方米）</v>
      </c>
      <c r="Q50" s="4494"/>
      <c r="R50" s="4495" t="e">
        <f>IF(F1="售价",ROUND(IF(D49="简单平均",AVERAGE(R49:V49),R49*F49+T49*H49+V49*J49),0),ROUND(IF(D49="简单平均",AVERAGE(R49:V49),R49*F49+T49*H49+V49*J49),1))</f>
        <v>#DIV/0!</v>
      </c>
      <c r="S50" s="4495"/>
      <c r="T50" s="4495"/>
      <c r="U50" s="4495"/>
      <c r="V50" s="4495"/>
      <c r="W50" s="4495"/>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73.400000000000006</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499" t="s">
        <v>1685</v>
      </c>
      <c r="D4" s="4500"/>
      <c r="E4" s="4501" t="s">
        <v>1686</v>
      </c>
      <c r="F4" s="4502"/>
      <c r="G4" s="4499" t="s">
        <v>1687</v>
      </c>
      <c r="H4" s="4500"/>
      <c r="I4" s="4499" t="s">
        <v>1688</v>
      </c>
      <c r="J4" s="4500"/>
      <c r="K4" s="397" t="s">
        <v>1689</v>
      </c>
      <c r="L4" s="620"/>
      <c r="M4" s="621"/>
      <c r="N4" s="621"/>
      <c r="O4" s="621"/>
      <c r="P4" s="4412" t="s">
        <v>1690</v>
      </c>
      <c r="Q4" s="4413"/>
      <c r="R4" s="4418" t="s">
        <v>1686</v>
      </c>
      <c r="S4" s="4419"/>
      <c r="T4" s="4418" t="s">
        <v>1687</v>
      </c>
      <c r="U4" s="4419"/>
      <c r="V4" s="4424" t="s">
        <v>1688</v>
      </c>
      <c r="W4" s="4424"/>
      <c r="X4" s="946"/>
      <c r="Y4" s="4433" t="s">
        <v>1690</v>
      </c>
      <c r="Z4" s="4434"/>
      <c r="AA4" s="4405" t="s">
        <v>1686</v>
      </c>
      <c r="AB4" s="4406" t="s">
        <v>1687</v>
      </c>
      <c r="AC4" s="4405" t="s">
        <v>1688</v>
      </c>
    </row>
    <row r="5" spans="1:29" ht="15">
      <c r="A5" s="239"/>
      <c r="B5" s="240"/>
      <c r="C5" s="4512" t="s">
        <v>1588</v>
      </c>
      <c r="D5" s="4513"/>
      <c r="E5" s="4520" t="s">
        <v>1589</v>
      </c>
      <c r="F5" s="4521"/>
      <c r="G5" s="4512" t="s">
        <v>1590</v>
      </c>
      <c r="H5" s="4513"/>
      <c r="I5" s="4512" t="s">
        <v>1591</v>
      </c>
      <c r="J5" s="4513"/>
      <c r="K5" s="397"/>
      <c r="L5" s="620"/>
      <c r="M5" s="621"/>
      <c r="N5" s="621"/>
      <c r="O5" s="621"/>
      <c r="P5" s="4414"/>
      <c r="Q5" s="4415"/>
      <c r="R5" s="4420"/>
      <c r="S5" s="4421"/>
      <c r="T5" s="4420"/>
      <c r="U5" s="4421"/>
      <c r="V5" s="4424"/>
      <c r="W5" s="4424"/>
      <c r="X5" s="946"/>
      <c r="Y5" s="4435"/>
      <c r="Z5" s="4436"/>
      <c r="AA5" s="4406"/>
      <c r="AB5" s="4406"/>
      <c r="AC5" s="4406"/>
    </row>
    <row r="6" spans="1:29" ht="15.75" thickBot="1">
      <c r="A6" s="241"/>
      <c r="B6" s="242"/>
      <c r="C6" s="4510" t="s">
        <v>1592</v>
      </c>
      <c r="D6" s="4511"/>
      <c r="E6" s="4517" t="s">
        <v>1592</v>
      </c>
      <c r="F6" s="4518"/>
      <c r="G6" s="4510" t="s">
        <v>1592</v>
      </c>
      <c r="H6" s="4511"/>
      <c r="I6" s="4510" t="s">
        <v>1592</v>
      </c>
      <c r="J6" s="4511"/>
      <c r="K6" s="397" t="s">
        <v>1593</v>
      </c>
      <c r="L6" s="620"/>
      <c r="M6" s="621"/>
      <c r="N6" s="621"/>
      <c r="O6" s="621"/>
      <c r="P6" s="4416"/>
      <c r="Q6" s="4417"/>
      <c r="R6" s="4420"/>
      <c r="S6" s="4421"/>
      <c r="T6" s="4422"/>
      <c r="U6" s="4423"/>
      <c r="V6" s="4424"/>
      <c r="W6" s="4424"/>
      <c r="X6" s="946"/>
      <c r="Y6" s="4437"/>
      <c r="Z6" s="4438"/>
      <c r="AA6" s="4407"/>
      <c r="AB6" s="4407"/>
      <c r="AC6" s="4407"/>
    </row>
    <row r="7" spans="1:29" s="46" customFormat="1" ht="15.75" thickBot="1">
      <c r="A7" s="243" t="s">
        <v>1594</v>
      </c>
      <c r="B7" s="244"/>
      <c r="C7" s="245">
        <f>'数据-取费表'!B2</f>
        <v>46046</v>
      </c>
      <c r="D7" s="3002">
        <v>100</v>
      </c>
      <c r="E7" s="246"/>
      <c r="F7" s="3913">
        <f>SUMIF(52:52,YEAR(E7)&amp;"-"&amp;MONTH(E7),53:53)</f>
        <v>0</v>
      </c>
      <c r="G7" s="246"/>
      <c r="H7" s="3919">
        <f>SUMIF(52:52,YEAR(G7)&amp;"-"&amp;MONTH(G7),53:53)</f>
        <v>0</v>
      </c>
      <c r="I7" s="246"/>
      <c r="J7" s="3919">
        <f>SUMIF(52:52,YEAR(I7)&amp;"-"&amp;MONTH(I7),53:53)</f>
        <v>0</v>
      </c>
      <c r="K7" s="22"/>
      <c r="L7" s="622"/>
      <c r="M7" s="623"/>
      <c r="N7" s="623"/>
      <c r="O7" s="623"/>
      <c r="P7" s="4429" t="s">
        <v>1595</v>
      </c>
      <c r="Q7" s="4439"/>
      <c r="R7" s="3925" t="s">
        <v>13</v>
      </c>
      <c r="S7" s="3702">
        <f t="shared" ref="S7:S15" si="0">F7</f>
        <v>0</v>
      </c>
      <c r="T7" s="3925" t="s">
        <v>13</v>
      </c>
      <c r="U7" s="3702">
        <f t="shared" ref="U7:U15" si="1">H7</f>
        <v>0</v>
      </c>
      <c r="V7" s="3925" t="s">
        <v>13</v>
      </c>
      <c r="W7" s="3702">
        <f t="shared" ref="W7:W15" si="2">J7</f>
        <v>0</v>
      </c>
      <c r="X7" s="493"/>
      <c r="Y7" s="4431" t="s">
        <v>1595</v>
      </c>
      <c r="Z7" s="4432"/>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29" t="s">
        <v>1598</v>
      </c>
      <c r="Q8" s="4430"/>
      <c r="R8" s="3925" t="s">
        <v>13</v>
      </c>
      <c r="S8" s="3702">
        <f t="shared" si="0"/>
        <v>100</v>
      </c>
      <c r="T8" s="3925" t="s">
        <v>13</v>
      </c>
      <c r="U8" s="3702">
        <f t="shared" si="1"/>
        <v>100</v>
      </c>
      <c r="V8" s="3925" t="s">
        <v>13</v>
      </c>
      <c r="W8" s="3702">
        <f t="shared" si="2"/>
        <v>100</v>
      </c>
      <c r="X8" s="493"/>
      <c r="Y8" s="4431" t="s">
        <v>1598</v>
      </c>
      <c r="Z8" s="4432"/>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389" t="s">
        <v>1601</v>
      </c>
      <c r="Q9" s="1742" t="str">
        <f t="shared" ref="Q9:Q15" si="6">B9</f>
        <v>用途</v>
      </c>
      <c r="R9" s="3925" t="s">
        <v>13</v>
      </c>
      <c r="S9" s="3702">
        <f t="shared" si="0"/>
        <v>100</v>
      </c>
      <c r="T9" s="3925" t="s">
        <v>13</v>
      </c>
      <c r="U9" s="3702">
        <f t="shared" si="1"/>
        <v>100</v>
      </c>
      <c r="V9" s="3925" t="s">
        <v>13</v>
      </c>
      <c r="W9" s="3702">
        <f t="shared" si="2"/>
        <v>100</v>
      </c>
      <c r="X9" s="493"/>
      <c r="Y9" s="4404"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389"/>
      <c r="Q10" s="1742" t="str">
        <f t="shared" si="6"/>
        <v>土地使用年限（年）</v>
      </c>
      <c r="R10" s="3925" t="s">
        <v>13</v>
      </c>
      <c r="S10" s="3702">
        <f t="shared" si="0"/>
        <v>100</v>
      </c>
      <c r="T10" s="3925" t="s">
        <v>13</v>
      </c>
      <c r="U10" s="3702">
        <f t="shared" si="1"/>
        <v>100</v>
      </c>
      <c r="V10" s="3925" t="s">
        <v>13</v>
      </c>
      <c r="W10" s="3702">
        <f t="shared" si="2"/>
        <v>100</v>
      </c>
      <c r="X10" s="493"/>
      <c r="Y10" s="4404"/>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9"/>
      <c r="Q11" s="1742" t="str">
        <f t="shared" si="6"/>
        <v>容积率</v>
      </c>
      <c r="R11" s="3925" t="s">
        <v>13</v>
      </c>
      <c r="S11" s="3702">
        <f t="shared" si="0"/>
        <v>100</v>
      </c>
      <c r="T11" s="3925" t="s">
        <v>13</v>
      </c>
      <c r="U11" s="3702">
        <f t="shared" si="1"/>
        <v>100</v>
      </c>
      <c r="V11" s="3925" t="s">
        <v>13</v>
      </c>
      <c r="W11" s="3702">
        <f t="shared" si="2"/>
        <v>100</v>
      </c>
      <c r="X11" s="493"/>
      <c r="Y11" s="4404"/>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9"/>
      <c r="Q12" s="1742">
        <f t="shared" si="6"/>
        <v>111</v>
      </c>
      <c r="R12" s="3925" t="s">
        <v>13</v>
      </c>
      <c r="S12" s="3702">
        <f t="shared" si="0"/>
        <v>100</v>
      </c>
      <c r="T12" s="3925" t="s">
        <v>13</v>
      </c>
      <c r="U12" s="3702">
        <f t="shared" si="1"/>
        <v>100</v>
      </c>
      <c r="V12" s="3925" t="s">
        <v>13</v>
      </c>
      <c r="W12" s="3702">
        <f t="shared" si="2"/>
        <v>100</v>
      </c>
      <c r="X12" s="493"/>
      <c r="Y12" s="4404"/>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389"/>
      <c r="Q13" s="1742">
        <f t="shared" si="6"/>
        <v>111</v>
      </c>
      <c r="R13" s="3925" t="s">
        <v>13</v>
      </c>
      <c r="S13" s="3702">
        <f t="shared" si="0"/>
        <v>100</v>
      </c>
      <c r="T13" s="3925" t="s">
        <v>13</v>
      </c>
      <c r="U13" s="3702">
        <f t="shared" si="1"/>
        <v>100</v>
      </c>
      <c r="V13" s="3925" t="s">
        <v>13</v>
      </c>
      <c r="W13" s="3702">
        <f t="shared" si="2"/>
        <v>100</v>
      </c>
      <c r="X13" s="493"/>
      <c r="Y13" s="4404"/>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389"/>
      <c r="Q14" s="1742">
        <f t="shared" si="6"/>
        <v>111</v>
      </c>
      <c r="R14" s="3925" t="s">
        <v>13</v>
      </c>
      <c r="S14" s="3702">
        <f t="shared" si="0"/>
        <v>100</v>
      </c>
      <c r="T14" s="3925" t="s">
        <v>13</v>
      </c>
      <c r="U14" s="3702">
        <f t="shared" si="1"/>
        <v>100</v>
      </c>
      <c r="V14" s="3925" t="s">
        <v>13</v>
      </c>
      <c r="W14" s="3702">
        <f t="shared" si="2"/>
        <v>100</v>
      </c>
      <c r="X14" s="493"/>
      <c r="Y14" s="4404"/>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22" t="s">
        <v>1606</v>
      </c>
      <c r="Q15" s="1544" t="str">
        <f t="shared" si="6"/>
        <v>产业集聚程度</v>
      </c>
      <c r="R15" s="3926" t="s">
        <v>13</v>
      </c>
      <c r="S15" s="3928">
        <f t="shared" si="0"/>
        <v>100</v>
      </c>
      <c r="T15" s="3926" t="s">
        <v>13</v>
      </c>
      <c r="U15" s="3928">
        <f t="shared" si="1"/>
        <v>100</v>
      </c>
      <c r="V15" s="3926" t="s">
        <v>13</v>
      </c>
      <c r="W15" s="3928">
        <f t="shared" si="2"/>
        <v>100</v>
      </c>
      <c r="X15" s="946"/>
      <c r="Y15" s="4396"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23"/>
      <c r="Q16" s="1544"/>
      <c r="R16" s="3926"/>
      <c r="S16" s="3928"/>
      <c r="T16" s="3926"/>
      <c r="U16" s="3928"/>
      <c r="V16" s="3926"/>
      <c r="W16" s="3928"/>
      <c r="X16" s="946"/>
      <c r="Y16" s="4397"/>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23"/>
      <c r="Q17" s="1544" t="str">
        <f>B17</f>
        <v>交通便捷度</v>
      </c>
      <c r="R17" s="3926" t="s">
        <v>13</v>
      </c>
      <c r="S17" s="3928">
        <f>F17</f>
        <v>100</v>
      </c>
      <c r="T17" s="3926" t="s">
        <v>13</v>
      </c>
      <c r="U17" s="3928">
        <f>H17</f>
        <v>100</v>
      </c>
      <c r="V17" s="3926" t="s">
        <v>13</v>
      </c>
      <c r="W17" s="3928">
        <f>J17</f>
        <v>100</v>
      </c>
      <c r="X17" s="946"/>
      <c r="Y17" s="4397"/>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23"/>
      <c r="Q18" s="1544"/>
      <c r="R18" s="3926"/>
      <c r="S18" s="3928"/>
      <c r="T18" s="3926"/>
      <c r="U18" s="3928"/>
      <c r="V18" s="3926"/>
      <c r="W18" s="3928"/>
      <c r="X18" s="946"/>
      <c r="Y18" s="4397"/>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23"/>
      <c r="Q19" s="1544" t="str">
        <f>B19</f>
        <v>公共配套设施</v>
      </c>
      <c r="R19" s="3926" t="s">
        <v>13</v>
      </c>
      <c r="S19" s="3928">
        <f>F19</f>
        <v>100</v>
      </c>
      <c r="T19" s="3926" t="s">
        <v>13</v>
      </c>
      <c r="U19" s="3928">
        <f>H19</f>
        <v>100</v>
      </c>
      <c r="V19" s="3926" t="s">
        <v>13</v>
      </c>
      <c r="W19" s="3928">
        <f>J19</f>
        <v>100</v>
      </c>
      <c r="X19" s="946"/>
      <c r="Y19" s="4397"/>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23"/>
      <c r="Q20" s="1544"/>
      <c r="R20" s="3926"/>
      <c r="S20" s="3928"/>
      <c r="T20" s="3926"/>
      <c r="U20" s="3928"/>
      <c r="V20" s="3926"/>
      <c r="W20" s="3928"/>
      <c r="X20" s="946"/>
      <c r="Y20" s="4397"/>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23"/>
      <c r="Q21" s="1544" t="str">
        <f>B21</f>
        <v>基础设施水平</v>
      </c>
      <c r="R21" s="3926" t="s">
        <v>13</v>
      </c>
      <c r="S21" s="3928">
        <f>F21</f>
        <v>100</v>
      </c>
      <c r="T21" s="3926" t="s">
        <v>13</v>
      </c>
      <c r="U21" s="3928">
        <f>H21</f>
        <v>100</v>
      </c>
      <c r="V21" s="3926" t="s">
        <v>13</v>
      </c>
      <c r="W21" s="3928">
        <f>J21</f>
        <v>100</v>
      </c>
      <c r="X21" s="946"/>
      <c r="Y21" s="4397"/>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23"/>
      <c r="Q22" s="1544"/>
      <c r="R22" s="3926"/>
      <c r="S22" s="3928"/>
      <c r="T22" s="3926"/>
      <c r="U22" s="3928"/>
      <c r="V22" s="3926"/>
      <c r="W22" s="3928"/>
      <c r="X22" s="946"/>
      <c r="Y22" s="4397"/>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23"/>
      <c r="Q23" s="1544" t="str">
        <f>B23</f>
        <v>环境质量</v>
      </c>
      <c r="R23" s="3926" t="s">
        <v>13</v>
      </c>
      <c r="S23" s="3928">
        <f>F23</f>
        <v>100</v>
      </c>
      <c r="T23" s="3926" t="s">
        <v>13</v>
      </c>
      <c r="U23" s="3928">
        <f>H23</f>
        <v>100</v>
      </c>
      <c r="V23" s="3926" t="s">
        <v>13</v>
      </c>
      <c r="W23" s="3928">
        <f>J23</f>
        <v>100</v>
      </c>
      <c r="X23" s="946"/>
      <c r="Y23" s="4397"/>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23"/>
      <c r="Q24" s="1544"/>
      <c r="R24" s="3926"/>
      <c r="S24" s="3928"/>
      <c r="T24" s="3926"/>
      <c r="U24" s="3928"/>
      <c r="V24" s="3926"/>
      <c r="W24" s="3928"/>
      <c r="X24" s="946"/>
      <c r="Y24" s="4397"/>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23"/>
      <c r="Q25" s="1544">
        <f>B25</f>
        <v>111</v>
      </c>
      <c r="R25" s="3926" t="s">
        <v>13</v>
      </c>
      <c r="S25" s="3928">
        <f>F25</f>
        <v>100</v>
      </c>
      <c r="T25" s="3926" t="s">
        <v>13</v>
      </c>
      <c r="U25" s="3928">
        <f>H25</f>
        <v>100</v>
      </c>
      <c r="V25" s="3926" t="s">
        <v>13</v>
      </c>
      <c r="W25" s="3928">
        <f>J25</f>
        <v>100</v>
      </c>
      <c r="X25" s="946"/>
      <c r="Y25" s="4397"/>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23"/>
      <c r="Q26" s="1544">
        <f t="shared" ref="Q26:Q40" si="11">B26</f>
        <v>111</v>
      </c>
      <c r="R26" s="3926" t="s">
        <v>13</v>
      </c>
      <c r="S26" s="3928">
        <f>F26</f>
        <v>100</v>
      </c>
      <c r="T26" s="3926" t="s">
        <v>13</v>
      </c>
      <c r="U26" s="3928">
        <f>H26</f>
        <v>100</v>
      </c>
      <c r="V26" s="3926" t="s">
        <v>13</v>
      </c>
      <c r="W26" s="3928">
        <f>J26</f>
        <v>100</v>
      </c>
      <c r="X26" s="946"/>
      <c r="Y26" s="4397"/>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23"/>
      <c r="Q27" s="1742">
        <f t="shared" si="11"/>
        <v>111</v>
      </c>
      <c r="R27" s="3925" t="s">
        <v>13</v>
      </c>
      <c r="S27" s="3702">
        <f>F27</f>
        <v>100</v>
      </c>
      <c r="T27" s="3925" t="s">
        <v>13</v>
      </c>
      <c r="U27" s="3702">
        <f>H27</f>
        <v>100</v>
      </c>
      <c r="V27" s="3925" t="s">
        <v>13</v>
      </c>
      <c r="W27" s="3702">
        <f>J27</f>
        <v>100</v>
      </c>
      <c r="X27" s="493"/>
      <c r="Y27" s="4397"/>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23"/>
      <c r="Q28" s="1544">
        <f t="shared" si="11"/>
        <v>111</v>
      </c>
      <c r="R28" s="3926" t="s">
        <v>13</v>
      </c>
      <c r="S28" s="3928">
        <f t="shared" ref="S28:S40" si="12">F28</f>
        <v>100</v>
      </c>
      <c r="T28" s="3926" t="s">
        <v>13</v>
      </c>
      <c r="U28" s="3928">
        <f t="shared" ref="U28:U40" si="13">H28</f>
        <v>100</v>
      </c>
      <c r="V28" s="3926" t="s">
        <v>13</v>
      </c>
      <c r="W28" s="3928">
        <f t="shared" ref="W28:W40" si="14">J28</f>
        <v>100</v>
      </c>
      <c r="X28" s="946"/>
      <c r="Y28" s="4397"/>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24" t="s">
        <v>1611</v>
      </c>
      <c r="Q29" s="1544" t="str">
        <f t="shared" si="11"/>
        <v>建筑类型</v>
      </c>
      <c r="R29" s="3926" t="s">
        <v>13</v>
      </c>
      <c r="S29" s="3928">
        <f t="shared" si="12"/>
        <v>100</v>
      </c>
      <c r="T29" s="3926" t="s">
        <v>13</v>
      </c>
      <c r="U29" s="3928">
        <f t="shared" si="13"/>
        <v>100</v>
      </c>
      <c r="V29" s="3926" t="s">
        <v>13</v>
      </c>
      <c r="W29" s="3928">
        <f t="shared" si="14"/>
        <v>100</v>
      </c>
      <c r="X29" s="946"/>
      <c r="Y29" s="4401"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25"/>
      <c r="Q30" s="392" t="str">
        <f t="shared" si="11"/>
        <v>项目建筑规模</v>
      </c>
      <c r="R30" s="3927" t="s">
        <v>13</v>
      </c>
      <c r="S30" s="3929" t="e">
        <f t="shared" si="12"/>
        <v>#N/A</v>
      </c>
      <c r="T30" s="3927" t="s">
        <v>13</v>
      </c>
      <c r="U30" s="3929" t="e">
        <f t="shared" si="13"/>
        <v>#N/A</v>
      </c>
      <c r="V30" s="3927" t="s">
        <v>13</v>
      </c>
      <c r="W30" s="3929" t="e">
        <f t="shared" si="14"/>
        <v>#N/A</v>
      </c>
      <c r="X30" s="494"/>
      <c r="Y30" s="4401"/>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25"/>
      <c r="Q31" s="1544" t="str">
        <f t="shared" si="11"/>
        <v>建筑结构</v>
      </c>
      <c r="R31" s="3926" t="s">
        <v>13</v>
      </c>
      <c r="S31" s="3928">
        <f t="shared" si="12"/>
        <v>100</v>
      </c>
      <c r="T31" s="3926" t="s">
        <v>13</v>
      </c>
      <c r="U31" s="3928">
        <f t="shared" si="13"/>
        <v>100</v>
      </c>
      <c r="V31" s="3926" t="s">
        <v>13</v>
      </c>
      <c r="W31" s="3928">
        <f t="shared" si="14"/>
        <v>100</v>
      </c>
      <c r="X31" s="946"/>
      <c r="Y31" s="4401"/>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25"/>
      <c r="Q32" s="1544" t="str">
        <f t="shared" si="11"/>
        <v>公共部分装修</v>
      </c>
      <c r="R32" s="3926" t="s">
        <v>13</v>
      </c>
      <c r="S32" s="3928">
        <f t="shared" si="12"/>
        <v>100</v>
      </c>
      <c r="T32" s="3926" t="s">
        <v>13</v>
      </c>
      <c r="U32" s="3928">
        <f t="shared" si="13"/>
        <v>100</v>
      </c>
      <c r="V32" s="3926" t="s">
        <v>13</v>
      </c>
      <c r="W32" s="3928">
        <f t="shared" si="14"/>
        <v>100</v>
      </c>
      <c r="X32" s="946"/>
      <c r="Y32" s="4401"/>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25"/>
      <c r="Q33" s="1544" t="str">
        <f t="shared" si="11"/>
        <v>成新度</v>
      </c>
      <c r="R33" s="3926" t="s">
        <v>13</v>
      </c>
      <c r="S33" s="3928" t="e">
        <f t="shared" si="12"/>
        <v>#N/A</v>
      </c>
      <c r="T33" s="3926" t="s">
        <v>13</v>
      </c>
      <c r="U33" s="3928" t="e">
        <f t="shared" si="13"/>
        <v>#N/A</v>
      </c>
      <c r="V33" s="3926" t="s">
        <v>13</v>
      </c>
      <c r="W33" s="3928" t="e">
        <f t="shared" si="14"/>
        <v>#N/A</v>
      </c>
      <c r="X33" s="946"/>
      <c r="Y33" s="4401"/>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25"/>
      <c r="Q34" s="1742" t="str">
        <f t="shared" si="11"/>
        <v>物业管理</v>
      </c>
      <c r="R34" s="3925" t="s">
        <v>13</v>
      </c>
      <c r="S34" s="3702">
        <f t="shared" si="12"/>
        <v>100</v>
      </c>
      <c r="T34" s="3925" t="s">
        <v>13</v>
      </c>
      <c r="U34" s="3702">
        <f t="shared" si="13"/>
        <v>100</v>
      </c>
      <c r="V34" s="3925" t="s">
        <v>13</v>
      </c>
      <c r="W34" s="3702">
        <f t="shared" si="14"/>
        <v>100</v>
      </c>
      <c r="X34" s="493"/>
      <c r="Y34" s="4401"/>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25" t="s">
        <v>1611</v>
      </c>
      <c r="Q35" s="1544" t="str">
        <f t="shared" si="11"/>
        <v>市政基础设施</v>
      </c>
      <c r="R35" s="3926" t="s">
        <v>13</v>
      </c>
      <c r="S35" s="3928">
        <f t="shared" si="12"/>
        <v>100</v>
      </c>
      <c r="T35" s="3926" t="s">
        <v>13</v>
      </c>
      <c r="U35" s="3928">
        <f t="shared" si="13"/>
        <v>100</v>
      </c>
      <c r="V35" s="3926" t="s">
        <v>13</v>
      </c>
      <c r="W35" s="3928">
        <f t="shared" si="14"/>
        <v>100</v>
      </c>
      <c r="X35" s="946"/>
      <c r="Y35" s="4401"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25"/>
      <c r="Q36" s="1544" t="str">
        <f t="shared" si="11"/>
        <v>内部装修</v>
      </c>
      <c r="R36" s="3926" t="s">
        <v>13</v>
      </c>
      <c r="S36" s="3928">
        <f t="shared" si="12"/>
        <v>100</v>
      </c>
      <c r="T36" s="3926" t="s">
        <v>13</v>
      </c>
      <c r="U36" s="3928">
        <f t="shared" si="13"/>
        <v>100</v>
      </c>
      <c r="V36" s="3926" t="s">
        <v>13</v>
      </c>
      <c r="W36" s="3928">
        <f t="shared" si="14"/>
        <v>100</v>
      </c>
      <c r="X36" s="946"/>
      <c r="Y36" s="4401"/>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25"/>
      <c r="Q37" s="1544" t="str">
        <f t="shared" si="11"/>
        <v>内部装修状况</v>
      </c>
      <c r="R37" s="3926" t="s">
        <v>13</v>
      </c>
      <c r="S37" s="3928">
        <f t="shared" si="12"/>
        <v>100</v>
      </c>
      <c r="T37" s="3926" t="s">
        <v>13</v>
      </c>
      <c r="U37" s="3928">
        <f t="shared" si="13"/>
        <v>100</v>
      </c>
      <c r="V37" s="3926" t="s">
        <v>13</v>
      </c>
      <c r="W37" s="3928">
        <f t="shared" si="14"/>
        <v>100</v>
      </c>
      <c r="X37" s="946"/>
      <c r="Y37" s="4401"/>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25"/>
      <c r="Q38" s="392">
        <f t="shared" si="11"/>
        <v>111</v>
      </c>
      <c r="R38" s="3927" t="s">
        <v>13</v>
      </c>
      <c r="S38" s="3929">
        <f t="shared" si="12"/>
        <v>100</v>
      </c>
      <c r="T38" s="3927" t="s">
        <v>13</v>
      </c>
      <c r="U38" s="3929">
        <f t="shared" si="13"/>
        <v>100</v>
      </c>
      <c r="V38" s="3927" t="s">
        <v>13</v>
      </c>
      <c r="W38" s="3929">
        <f t="shared" si="14"/>
        <v>100</v>
      </c>
      <c r="X38" s="494"/>
      <c r="Y38" s="4401"/>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25"/>
      <c r="Q39" s="1544">
        <f t="shared" si="11"/>
        <v>111</v>
      </c>
      <c r="R39" s="3926" t="s">
        <v>13</v>
      </c>
      <c r="S39" s="3928">
        <f t="shared" si="12"/>
        <v>100</v>
      </c>
      <c r="T39" s="3926" t="s">
        <v>13</v>
      </c>
      <c r="U39" s="3928">
        <f t="shared" si="13"/>
        <v>100</v>
      </c>
      <c r="V39" s="3926" t="s">
        <v>13</v>
      </c>
      <c r="W39" s="3928">
        <f t="shared" si="14"/>
        <v>100</v>
      </c>
      <c r="X39" s="946"/>
      <c r="Y39" s="4401"/>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26"/>
      <c r="Q40" s="1544">
        <f t="shared" si="11"/>
        <v>111</v>
      </c>
      <c r="R40" s="3926" t="s">
        <v>13</v>
      </c>
      <c r="S40" s="3928">
        <f t="shared" si="12"/>
        <v>100</v>
      </c>
      <c r="T40" s="3926" t="s">
        <v>13</v>
      </c>
      <c r="U40" s="3928">
        <f t="shared" si="13"/>
        <v>100</v>
      </c>
      <c r="V40" s="3926" t="s">
        <v>13</v>
      </c>
      <c r="W40" s="3928">
        <f t="shared" si="14"/>
        <v>100</v>
      </c>
      <c r="X40" s="946"/>
      <c r="Y40" s="4402"/>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389" t="str">
        <f>A41</f>
        <v>成交单价（元/平方米）</v>
      </c>
      <c r="Q41" s="4389"/>
      <c r="R41" s="4390">
        <f>E41</f>
        <v>0</v>
      </c>
      <c r="S41" s="4390"/>
      <c r="T41" s="4390">
        <f>G41</f>
        <v>0</v>
      </c>
      <c r="U41" s="4390"/>
      <c r="V41" s="4390">
        <f>I41</f>
        <v>0</v>
      </c>
      <c r="W41" s="4390"/>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389" t="str">
        <f>A42</f>
        <v>比较价值（元/平方米）</v>
      </c>
      <c r="Q42" s="4389"/>
      <c r="R42" s="4390" t="e">
        <f>IF(F1="售价",ROUND(PRODUCT(R41,AA7:AA40),0),ROUND(PRODUCT(R41,AA7:AA40),1))</f>
        <v>#DIV/0!</v>
      </c>
      <c r="S42" s="4390"/>
      <c r="T42" s="4390" t="e">
        <f>IF(F1="售价",ROUND(PRODUCT(T41,AB7:AB40),0),ROUND(PRODUCT(T41,AB7:AB40),1))</f>
        <v>#DIV/0!</v>
      </c>
      <c r="U42" s="4390"/>
      <c r="V42" s="4390" t="e">
        <f>IF(F1="售价",ROUND(PRODUCT(V41,AC7:AC40),0),ROUND(PRODUCT(V41,AC7:AC40),1))</f>
        <v>#DIV/0!</v>
      </c>
      <c r="W42" s="4390"/>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391" t="str">
        <f>A43</f>
        <v>估价对象XX用房的比较价值（楼面单价，元/平方米）</v>
      </c>
      <c r="Q43" s="4392"/>
      <c r="R43" s="4393" t="e">
        <f>IF(F1="售价",ROUND(IF(D42="简单平均",AVERAGE(R42:V42),R42*F42+T42*H42+V42*J42),0),ROUND(IF(D42="简单平均",AVERAGE(R42:V42),R42*F42+T42*H42+V42*J42),1))</f>
        <v>#DIV/0!</v>
      </c>
      <c r="S43" s="4393"/>
      <c r="T43" s="4393"/>
      <c r="U43" s="4393"/>
      <c r="V43" s="4393"/>
      <c r="W43" s="4393"/>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499" t="s">
        <v>1685</v>
      </c>
      <c r="D4" s="4500"/>
      <c r="E4" s="4501" t="s">
        <v>1686</v>
      </c>
      <c r="F4" s="4502"/>
      <c r="G4" s="4499" t="s">
        <v>1687</v>
      </c>
      <c r="H4" s="4500"/>
      <c r="I4" s="4499" t="s">
        <v>1688</v>
      </c>
      <c r="J4" s="4500"/>
      <c r="K4" s="397" t="s">
        <v>1689</v>
      </c>
      <c r="L4" s="2018"/>
      <c r="M4" s="2019"/>
      <c r="N4" s="2019"/>
      <c r="O4" s="2019"/>
      <c r="P4" s="4532" t="s">
        <v>1690</v>
      </c>
      <c r="Q4" s="4533"/>
      <c r="R4" s="4433" t="s">
        <v>1686</v>
      </c>
      <c r="S4" s="4434"/>
      <c r="T4" s="4433" t="s">
        <v>1687</v>
      </c>
      <c r="U4" s="4434"/>
      <c r="V4" s="4443" t="s">
        <v>1688</v>
      </c>
      <c r="W4" s="4443"/>
      <c r="X4" s="946"/>
      <c r="Y4" s="4433" t="s">
        <v>1690</v>
      </c>
      <c r="Z4" s="4434"/>
      <c r="AA4" s="4405" t="s">
        <v>1686</v>
      </c>
      <c r="AB4" s="4406" t="s">
        <v>1687</v>
      </c>
      <c r="AC4" s="4405" t="s">
        <v>1688</v>
      </c>
    </row>
    <row r="5" spans="1:29" ht="15">
      <c r="A5" s="239"/>
      <c r="B5" s="240"/>
      <c r="C5" s="4512" t="s">
        <v>1588</v>
      </c>
      <c r="D5" s="4513"/>
      <c r="E5" s="4520" t="s">
        <v>1589</v>
      </c>
      <c r="F5" s="4521"/>
      <c r="G5" s="4512" t="s">
        <v>1590</v>
      </c>
      <c r="H5" s="4513"/>
      <c r="I5" s="4512" t="s">
        <v>1591</v>
      </c>
      <c r="J5" s="4513"/>
      <c r="K5" s="397"/>
      <c r="L5" s="2018"/>
      <c r="M5" s="2019"/>
      <c r="N5" s="2019"/>
      <c r="O5" s="2019"/>
      <c r="P5" s="4534"/>
      <c r="Q5" s="4535"/>
      <c r="R5" s="4435"/>
      <c r="S5" s="4436"/>
      <c r="T5" s="4435"/>
      <c r="U5" s="4436"/>
      <c r="V5" s="4443"/>
      <c r="W5" s="4443"/>
      <c r="X5" s="946"/>
      <c r="Y5" s="4435"/>
      <c r="Z5" s="4436"/>
      <c r="AA5" s="4406"/>
      <c r="AB5" s="4406"/>
      <c r="AC5" s="4406"/>
    </row>
    <row r="6" spans="1:29" ht="15.75" thickBot="1">
      <c r="A6" s="241"/>
      <c r="B6" s="242"/>
      <c r="C6" s="4510" t="s">
        <v>1592</v>
      </c>
      <c r="D6" s="4511"/>
      <c r="E6" s="4517" t="s">
        <v>1592</v>
      </c>
      <c r="F6" s="4518"/>
      <c r="G6" s="4510" t="s">
        <v>1592</v>
      </c>
      <c r="H6" s="4511"/>
      <c r="I6" s="4510" t="s">
        <v>1592</v>
      </c>
      <c r="J6" s="4511"/>
      <c r="K6" s="397" t="s">
        <v>1593</v>
      </c>
      <c r="L6" s="2018"/>
      <c r="M6" s="2019"/>
      <c r="N6" s="2019"/>
      <c r="O6" s="2019"/>
      <c r="P6" s="4536"/>
      <c r="Q6" s="4537"/>
      <c r="R6" s="4435"/>
      <c r="S6" s="4436"/>
      <c r="T6" s="4437"/>
      <c r="U6" s="4438"/>
      <c r="V6" s="4443"/>
      <c r="W6" s="4443"/>
      <c r="X6" s="946"/>
      <c r="Y6" s="4437"/>
      <c r="Z6" s="4438"/>
      <c r="AA6" s="4407"/>
      <c r="AB6" s="4407"/>
      <c r="AC6" s="4407"/>
    </row>
    <row r="7" spans="1:29" s="46" customFormat="1" ht="15.75" thickBot="1">
      <c r="A7" s="243" t="s">
        <v>1594</v>
      </c>
      <c r="B7" s="244"/>
      <c r="C7" s="245">
        <f>'数据-取费表'!B2</f>
        <v>46046</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431" t="s">
        <v>1595</v>
      </c>
      <c r="Q7" s="4538"/>
      <c r="R7" s="3932" t="s">
        <v>13</v>
      </c>
      <c r="S7" s="3935">
        <f t="shared" ref="S7:S14" si="0">F7</f>
        <v>0</v>
      </c>
      <c r="T7" s="3932" t="s">
        <v>13</v>
      </c>
      <c r="U7" s="3935">
        <f t="shared" ref="U7:U14" si="1">H7</f>
        <v>0</v>
      </c>
      <c r="V7" s="3932" t="s">
        <v>13</v>
      </c>
      <c r="W7" s="3935">
        <f t="shared" ref="W7:W14" si="2">J7</f>
        <v>0</v>
      </c>
      <c r="X7" s="493"/>
      <c r="Y7" s="4431" t="s">
        <v>1595</v>
      </c>
      <c r="Z7" s="4432"/>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431" t="s">
        <v>1598</v>
      </c>
      <c r="Q8" s="4432"/>
      <c r="R8" s="3932" t="s">
        <v>13</v>
      </c>
      <c r="S8" s="3935">
        <f t="shared" si="0"/>
        <v>100</v>
      </c>
      <c r="T8" s="3932" t="s">
        <v>13</v>
      </c>
      <c r="U8" s="3935">
        <f t="shared" si="1"/>
        <v>100</v>
      </c>
      <c r="V8" s="3932" t="s">
        <v>13</v>
      </c>
      <c r="W8" s="3935">
        <f t="shared" si="2"/>
        <v>100</v>
      </c>
      <c r="X8" s="493"/>
      <c r="Y8" s="4431" t="s">
        <v>1598</v>
      </c>
      <c r="Z8" s="4432"/>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27" t="s">
        <v>1601</v>
      </c>
      <c r="Q9" s="390" t="str">
        <f t="shared" ref="Q9:Q14" si="6">B9</f>
        <v>用途</v>
      </c>
      <c r="R9" s="3932" t="s">
        <v>13</v>
      </c>
      <c r="S9" s="3935">
        <f t="shared" si="0"/>
        <v>100</v>
      </c>
      <c r="T9" s="3932" t="s">
        <v>13</v>
      </c>
      <c r="U9" s="3935">
        <f t="shared" si="1"/>
        <v>100</v>
      </c>
      <c r="V9" s="3932" t="s">
        <v>13</v>
      </c>
      <c r="W9" s="3935">
        <f t="shared" si="2"/>
        <v>100</v>
      </c>
      <c r="X9" s="493"/>
      <c r="Y9" s="4404"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27"/>
      <c r="Q10" s="390" t="str">
        <f t="shared" si="6"/>
        <v>土地使用年限（年）</v>
      </c>
      <c r="R10" s="3932" t="s">
        <v>13</v>
      </c>
      <c r="S10" s="3935">
        <f t="shared" si="0"/>
        <v>100</v>
      </c>
      <c r="T10" s="3932" t="s">
        <v>13</v>
      </c>
      <c r="U10" s="3935">
        <f t="shared" si="1"/>
        <v>100</v>
      </c>
      <c r="V10" s="3932" t="s">
        <v>13</v>
      </c>
      <c r="W10" s="3935">
        <f t="shared" si="2"/>
        <v>100</v>
      </c>
      <c r="X10" s="493"/>
      <c r="Y10" s="4404"/>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27"/>
      <c r="Q11" s="390">
        <f t="shared" si="6"/>
        <v>111</v>
      </c>
      <c r="R11" s="3932" t="s">
        <v>13</v>
      </c>
      <c r="S11" s="3935">
        <f t="shared" si="0"/>
        <v>100</v>
      </c>
      <c r="T11" s="3932" t="s">
        <v>13</v>
      </c>
      <c r="U11" s="3935">
        <f t="shared" si="1"/>
        <v>100</v>
      </c>
      <c r="V11" s="3932" t="s">
        <v>13</v>
      </c>
      <c r="W11" s="3935">
        <f t="shared" si="2"/>
        <v>100</v>
      </c>
      <c r="X11" s="493"/>
      <c r="Y11" s="4404"/>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27"/>
      <c r="Q12" s="390">
        <f t="shared" si="6"/>
        <v>111</v>
      </c>
      <c r="R12" s="3932" t="s">
        <v>13</v>
      </c>
      <c r="S12" s="3935">
        <f t="shared" si="0"/>
        <v>100</v>
      </c>
      <c r="T12" s="3932" t="s">
        <v>13</v>
      </c>
      <c r="U12" s="3935">
        <f t="shared" si="1"/>
        <v>100</v>
      </c>
      <c r="V12" s="3932" t="s">
        <v>13</v>
      </c>
      <c r="W12" s="3935">
        <f t="shared" si="2"/>
        <v>100</v>
      </c>
      <c r="X12" s="493"/>
      <c r="Y12" s="4404"/>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27"/>
      <c r="Q13" s="390">
        <f t="shared" si="6"/>
        <v>111</v>
      </c>
      <c r="R13" s="3932" t="s">
        <v>13</v>
      </c>
      <c r="S13" s="3935">
        <f t="shared" si="0"/>
        <v>100</v>
      </c>
      <c r="T13" s="3932" t="s">
        <v>13</v>
      </c>
      <c r="U13" s="3935">
        <f t="shared" si="1"/>
        <v>100</v>
      </c>
      <c r="V13" s="3932" t="s">
        <v>13</v>
      </c>
      <c r="W13" s="3935">
        <f t="shared" si="2"/>
        <v>100</v>
      </c>
      <c r="X13" s="493"/>
      <c r="Y13" s="4404"/>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396" t="s">
        <v>1606</v>
      </c>
      <c r="Q14" s="943" t="str">
        <f t="shared" si="6"/>
        <v>交通便捷度</v>
      </c>
      <c r="R14" s="3933" t="s">
        <v>13</v>
      </c>
      <c r="S14" s="3936">
        <f t="shared" si="0"/>
        <v>100</v>
      </c>
      <c r="T14" s="3933" t="s">
        <v>13</v>
      </c>
      <c r="U14" s="3936">
        <f t="shared" si="1"/>
        <v>100</v>
      </c>
      <c r="V14" s="3933" t="s">
        <v>13</v>
      </c>
      <c r="W14" s="3936">
        <f t="shared" si="2"/>
        <v>100</v>
      </c>
      <c r="X14" s="946"/>
      <c r="Y14" s="4396"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397"/>
      <c r="Q15" s="943"/>
      <c r="R15" s="3933"/>
      <c r="S15" s="3936"/>
      <c r="T15" s="3933"/>
      <c r="U15" s="3936"/>
      <c r="V15" s="3933"/>
      <c r="W15" s="3936"/>
      <c r="X15" s="946"/>
      <c r="Y15" s="4397"/>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397"/>
      <c r="Q16" s="943" t="str">
        <f>B16</f>
        <v>公共配套设施</v>
      </c>
      <c r="R16" s="3933" t="s">
        <v>13</v>
      </c>
      <c r="S16" s="3936">
        <f>F16</f>
        <v>100</v>
      </c>
      <c r="T16" s="3933" t="s">
        <v>13</v>
      </c>
      <c r="U16" s="3936">
        <f>H16</f>
        <v>100</v>
      </c>
      <c r="V16" s="3933" t="s">
        <v>13</v>
      </c>
      <c r="W16" s="3936">
        <f>J16</f>
        <v>100</v>
      </c>
      <c r="X16" s="946"/>
      <c r="Y16" s="4397"/>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397"/>
      <c r="Q17" s="943"/>
      <c r="R17" s="3933"/>
      <c r="S17" s="3936"/>
      <c r="T17" s="3933"/>
      <c r="U17" s="3936"/>
      <c r="V17" s="3933"/>
      <c r="W17" s="3936"/>
      <c r="X17" s="946"/>
      <c r="Y17" s="4397"/>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397"/>
      <c r="Q18" s="943" t="str">
        <f>B18</f>
        <v>基础设施水平</v>
      </c>
      <c r="R18" s="3933" t="s">
        <v>13</v>
      </c>
      <c r="S18" s="3936">
        <f>F18</f>
        <v>100</v>
      </c>
      <c r="T18" s="3933" t="s">
        <v>13</v>
      </c>
      <c r="U18" s="3936">
        <f>H18</f>
        <v>100</v>
      </c>
      <c r="V18" s="3933" t="s">
        <v>13</v>
      </c>
      <c r="W18" s="3936">
        <f>J18</f>
        <v>100</v>
      </c>
      <c r="X18" s="946"/>
      <c r="Y18" s="4397"/>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397"/>
      <c r="Q19" s="943"/>
      <c r="R19" s="3933"/>
      <c r="S19" s="3936"/>
      <c r="T19" s="3933"/>
      <c r="U19" s="3936"/>
      <c r="V19" s="3933"/>
      <c r="W19" s="3936"/>
      <c r="X19" s="946"/>
      <c r="Y19" s="4397"/>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397"/>
      <c r="Q20" s="943" t="str">
        <f>B20</f>
        <v>自然及人文环境</v>
      </c>
      <c r="R20" s="3933" t="s">
        <v>13</v>
      </c>
      <c r="S20" s="3936">
        <f>F20</f>
        <v>100</v>
      </c>
      <c r="T20" s="3933" t="s">
        <v>13</v>
      </c>
      <c r="U20" s="3936">
        <f>H20</f>
        <v>100</v>
      </c>
      <c r="V20" s="3933" t="s">
        <v>13</v>
      </c>
      <c r="W20" s="3936">
        <f>J20</f>
        <v>100</v>
      </c>
      <c r="X20" s="946"/>
      <c r="Y20" s="4397"/>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397"/>
      <c r="Q21" s="943"/>
      <c r="R21" s="3933"/>
      <c r="S21" s="3936"/>
      <c r="T21" s="3933"/>
      <c r="U21" s="3936"/>
      <c r="V21" s="3933"/>
      <c r="W21" s="3936"/>
      <c r="X21" s="946"/>
      <c r="Y21" s="4397"/>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397"/>
      <c r="Q22" s="943" t="str">
        <f>B22</f>
        <v>楼层</v>
      </c>
      <c r="R22" s="3933" t="s">
        <v>13</v>
      </c>
      <c r="S22" s="3936">
        <f>F22</f>
        <v>100</v>
      </c>
      <c r="T22" s="3933" t="s">
        <v>13</v>
      </c>
      <c r="U22" s="3936">
        <f>H22</f>
        <v>100</v>
      </c>
      <c r="V22" s="3933" t="s">
        <v>13</v>
      </c>
      <c r="W22" s="3936">
        <f>J22</f>
        <v>100</v>
      </c>
      <c r="X22" s="946"/>
      <c r="Y22" s="4397"/>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397"/>
      <c r="Q23" s="943">
        <f>B23</f>
        <v>111</v>
      </c>
      <c r="R23" s="3933" t="s">
        <v>13</v>
      </c>
      <c r="S23" s="3936">
        <f>F23</f>
        <v>100</v>
      </c>
      <c r="T23" s="3933" t="s">
        <v>13</v>
      </c>
      <c r="U23" s="3936">
        <f>H23</f>
        <v>100</v>
      </c>
      <c r="V23" s="3933" t="s">
        <v>13</v>
      </c>
      <c r="W23" s="3936">
        <f>J23</f>
        <v>100</v>
      </c>
      <c r="X23" s="946"/>
      <c r="Y23" s="4397"/>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397"/>
      <c r="Q24" s="943">
        <f t="shared" ref="Q24:Q36" si="11">B24</f>
        <v>111</v>
      </c>
      <c r="R24" s="3933" t="s">
        <v>13</v>
      </c>
      <c r="S24" s="3936">
        <f>F24</f>
        <v>100</v>
      </c>
      <c r="T24" s="3933" t="s">
        <v>13</v>
      </c>
      <c r="U24" s="3936">
        <f>H24</f>
        <v>100</v>
      </c>
      <c r="V24" s="3933" t="s">
        <v>13</v>
      </c>
      <c r="W24" s="3936">
        <f>J24</f>
        <v>100</v>
      </c>
      <c r="X24" s="946"/>
      <c r="Y24" s="4397"/>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397"/>
      <c r="Q25" s="390">
        <f t="shared" si="11"/>
        <v>111</v>
      </c>
      <c r="R25" s="3932" t="s">
        <v>13</v>
      </c>
      <c r="S25" s="3935">
        <f>F25</f>
        <v>100</v>
      </c>
      <c r="T25" s="3932" t="s">
        <v>13</v>
      </c>
      <c r="U25" s="3935">
        <f>H25</f>
        <v>100</v>
      </c>
      <c r="V25" s="3932" t="s">
        <v>13</v>
      </c>
      <c r="W25" s="3935">
        <f>J25</f>
        <v>100</v>
      </c>
      <c r="X25" s="493"/>
      <c r="Y25" s="4397"/>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31"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01"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01"/>
      <c r="Q27" s="391" t="str">
        <f t="shared" si="11"/>
        <v>项目停车位配比</v>
      </c>
      <c r="R27" s="3934" t="s">
        <v>13</v>
      </c>
      <c r="S27" s="3937">
        <f t="shared" si="12"/>
        <v>100</v>
      </c>
      <c r="T27" s="3934" t="s">
        <v>13</v>
      </c>
      <c r="U27" s="3937">
        <f t="shared" si="13"/>
        <v>100</v>
      </c>
      <c r="V27" s="3934" t="s">
        <v>13</v>
      </c>
      <c r="W27" s="3937">
        <f t="shared" si="14"/>
        <v>100</v>
      </c>
      <c r="X27" s="494"/>
      <c r="Y27" s="4401"/>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01"/>
      <c r="Q28" s="943" t="str">
        <f t="shared" si="11"/>
        <v>公共部分装修</v>
      </c>
      <c r="R28" s="3933" t="s">
        <v>13</v>
      </c>
      <c r="S28" s="3936">
        <f t="shared" si="12"/>
        <v>100</v>
      </c>
      <c r="T28" s="3933" t="s">
        <v>13</v>
      </c>
      <c r="U28" s="3936">
        <f t="shared" si="13"/>
        <v>100</v>
      </c>
      <c r="V28" s="3933" t="s">
        <v>13</v>
      </c>
      <c r="W28" s="3936">
        <f t="shared" si="14"/>
        <v>100</v>
      </c>
      <c r="X28" s="946"/>
      <c r="Y28" s="4401"/>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01"/>
      <c r="Q29" s="943" t="str">
        <f t="shared" si="11"/>
        <v>成新率</v>
      </c>
      <c r="R29" s="3933" t="s">
        <v>13</v>
      </c>
      <c r="S29" s="3936" t="e">
        <f t="shared" si="12"/>
        <v>#N/A</v>
      </c>
      <c r="T29" s="3933" t="s">
        <v>13</v>
      </c>
      <c r="U29" s="3936" t="e">
        <f t="shared" si="13"/>
        <v>#N/A</v>
      </c>
      <c r="V29" s="3933" t="s">
        <v>13</v>
      </c>
      <c r="W29" s="3936" t="e">
        <f t="shared" si="14"/>
        <v>#N/A</v>
      </c>
      <c r="X29" s="946"/>
      <c r="Y29" s="4401"/>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01"/>
      <c r="Q30" s="943" t="str">
        <f t="shared" si="11"/>
        <v>物业等级</v>
      </c>
      <c r="R30" s="3933" t="s">
        <v>13</v>
      </c>
      <c r="S30" s="3936">
        <f t="shared" si="12"/>
        <v>100</v>
      </c>
      <c r="T30" s="3933" t="s">
        <v>13</v>
      </c>
      <c r="U30" s="3936">
        <f t="shared" si="13"/>
        <v>100</v>
      </c>
      <c r="V30" s="3933" t="s">
        <v>13</v>
      </c>
      <c r="W30" s="3936">
        <f t="shared" si="14"/>
        <v>100</v>
      </c>
      <c r="X30" s="946"/>
      <c r="Y30" s="4401"/>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01"/>
      <c r="Q31" s="390" t="str">
        <f t="shared" si="11"/>
        <v>停车位面积</v>
      </c>
      <c r="R31" s="3932" t="s">
        <v>13</v>
      </c>
      <c r="S31" s="3935" t="e">
        <f t="shared" si="12"/>
        <v>#N/A</v>
      </c>
      <c r="T31" s="3932" t="s">
        <v>13</v>
      </c>
      <c r="U31" s="3935" t="e">
        <f t="shared" si="13"/>
        <v>#N/A</v>
      </c>
      <c r="V31" s="3932" t="s">
        <v>13</v>
      </c>
      <c r="W31" s="3935" t="e">
        <f t="shared" si="14"/>
        <v>#N/A</v>
      </c>
      <c r="X31" s="493"/>
      <c r="Y31" s="4401"/>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01" t="s">
        <v>1611</v>
      </c>
      <c r="Q32" s="943" t="str">
        <f t="shared" si="11"/>
        <v>车位类型</v>
      </c>
      <c r="R32" s="3933" t="s">
        <v>13</v>
      </c>
      <c r="S32" s="3936">
        <f t="shared" si="12"/>
        <v>100</v>
      </c>
      <c r="T32" s="3933" t="s">
        <v>13</v>
      </c>
      <c r="U32" s="3936">
        <f t="shared" si="13"/>
        <v>100</v>
      </c>
      <c r="V32" s="3933" t="s">
        <v>13</v>
      </c>
      <c r="W32" s="3936">
        <f t="shared" si="14"/>
        <v>100</v>
      </c>
      <c r="X32" s="946"/>
      <c r="Y32" s="4401"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01"/>
      <c r="Q33" s="943" t="str">
        <f t="shared" si="11"/>
        <v>是否直接入户</v>
      </c>
      <c r="R33" s="3933" t="s">
        <v>13</v>
      </c>
      <c r="S33" s="3936">
        <f t="shared" si="12"/>
        <v>100</v>
      </c>
      <c r="T33" s="3933" t="s">
        <v>13</v>
      </c>
      <c r="U33" s="3936">
        <f t="shared" si="13"/>
        <v>100</v>
      </c>
      <c r="V33" s="3933" t="s">
        <v>13</v>
      </c>
      <c r="W33" s="3936">
        <f t="shared" si="14"/>
        <v>100</v>
      </c>
      <c r="X33" s="946"/>
      <c r="Y33" s="4401"/>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01"/>
      <c r="Q34" s="943">
        <f t="shared" si="11"/>
        <v>111</v>
      </c>
      <c r="R34" s="3933" t="s">
        <v>13</v>
      </c>
      <c r="S34" s="3936">
        <f t="shared" si="12"/>
        <v>100</v>
      </c>
      <c r="T34" s="3933" t="s">
        <v>13</v>
      </c>
      <c r="U34" s="3936">
        <f t="shared" si="13"/>
        <v>100</v>
      </c>
      <c r="V34" s="3933" t="s">
        <v>13</v>
      </c>
      <c r="W34" s="3936">
        <f t="shared" si="14"/>
        <v>100</v>
      </c>
      <c r="X34" s="946"/>
      <c r="Y34" s="4401"/>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01"/>
      <c r="Q35" s="391">
        <f t="shared" si="11"/>
        <v>111</v>
      </c>
      <c r="R35" s="3934" t="s">
        <v>13</v>
      </c>
      <c r="S35" s="3937">
        <f t="shared" si="12"/>
        <v>100</v>
      </c>
      <c r="T35" s="3934" t="s">
        <v>13</v>
      </c>
      <c r="U35" s="3937">
        <f t="shared" si="13"/>
        <v>100</v>
      </c>
      <c r="V35" s="3934" t="s">
        <v>13</v>
      </c>
      <c r="W35" s="3937">
        <f t="shared" si="14"/>
        <v>100</v>
      </c>
      <c r="X35" s="494"/>
      <c r="Y35" s="4401"/>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01"/>
      <c r="Q36" s="943">
        <f t="shared" si="11"/>
        <v>111</v>
      </c>
      <c r="R36" s="3933" t="s">
        <v>13</v>
      </c>
      <c r="S36" s="3936">
        <f t="shared" si="12"/>
        <v>100</v>
      </c>
      <c r="T36" s="3933" t="s">
        <v>13</v>
      </c>
      <c r="U36" s="3936">
        <f t="shared" si="13"/>
        <v>100</v>
      </c>
      <c r="V36" s="3933" t="s">
        <v>13</v>
      </c>
      <c r="W36" s="3936">
        <f t="shared" si="14"/>
        <v>100</v>
      </c>
      <c r="X36" s="946"/>
      <c r="Y36" s="4401"/>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27" t="str">
        <f>A37</f>
        <v>成交单价</v>
      </c>
      <c r="Q37" s="4527"/>
      <c r="R37" s="4443">
        <f>E37</f>
        <v>0</v>
      </c>
      <c r="S37" s="4443"/>
      <c r="T37" s="4443">
        <f>G37</f>
        <v>0</v>
      </c>
      <c r="U37" s="4443"/>
      <c r="V37" s="4443">
        <f>I37</f>
        <v>0</v>
      </c>
      <c r="W37" s="4443"/>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27" t="str">
        <f>A38</f>
        <v>比较价值（元/平方米）</v>
      </c>
      <c r="Q38" s="4527"/>
      <c r="R38" s="4443" t="e">
        <f>IF(F1="售价",ROUND(PRODUCT(R37,AA7:AA36),0),ROUND(PRODUCT(R37,AA7:AA36),1))</f>
        <v>#DIV/0!</v>
      </c>
      <c r="S38" s="4443"/>
      <c r="T38" s="4443" t="e">
        <f>IF(F1="售价",ROUND(PRODUCT(T37,AB7:AB36),0),ROUND(PRODUCT(T37,AB7:AB36),1))</f>
        <v>#DIV/0!</v>
      </c>
      <c r="U38" s="4443"/>
      <c r="V38" s="4443" t="e">
        <f>IF(F1="售价",ROUND(PRODUCT(V37,AC7:AC36),0),ROUND(PRODUCT(V37,AC7:AC36),1))</f>
        <v>#DIV/0!</v>
      </c>
      <c r="W38" s="4443"/>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28" t="str">
        <f>A39</f>
        <v>估价对象XX用房的比较价值（楼面单价，元/平方米）</v>
      </c>
      <c r="Q39" s="4529"/>
      <c r="R39" s="4530" t="e">
        <f>IF(F1="售价",ROUND(IF(D38="简单平均",AVERAGE(R38:W38),R38*F38+T38*H38+V38*J38),0),ROUND(IF(D38="简单平均",AVERAGE(R38:V38),R38*F38+T38*H38+V38*J38),1))</f>
        <v>#DIV/0!</v>
      </c>
      <c r="S39" s="4530"/>
      <c r="T39" s="4530"/>
      <c r="U39" s="4530"/>
      <c r="V39" s="4530"/>
      <c r="W39" s="4530"/>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499" t="s">
        <v>1685</v>
      </c>
      <c r="D4" s="4500"/>
      <c r="E4" s="4501" t="s">
        <v>1686</v>
      </c>
      <c r="F4" s="4502"/>
      <c r="G4" s="4499" t="s">
        <v>1687</v>
      </c>
      <c r="H4" s="4500"/>
      <c r="I4" s="4499" t="s">
        <v>1688</v>
      </c>
      <c r="J4" s="4500"/>
      <c r="K4" s="397" t="s">
        <v>1689</v>
      </c>
      <c r="L4" s="2018"/>
      <c r="M4" s="2019"/>
      <c r="N4" s="2019"/>
      <c r="O4" s="2019"/>
      <c r="P4" s="4532" t="s">
        <v>1690</v>
      </c>
      <c r="Q4" s="4533"/>
      <c r="R4" s="4433" t="s">
        <v>1686</v>
      </c>
      <c r="S4" s="4434"/>
      <c r="T4" s="4433" t="s">
        <v>1687</v>
      </c>
      <c r="U4" s="4434"/>
      <c r="V4" s="4443" t="s">
        <v>1688</v>
      </c>
      <c r="W4" s="4443"/>
      <c r="X4" s="946"/>
      <c r="Y4" s="4433" t="s">
        <v>1690</v>
      </c>
      <c r="Z4" s="4434"/>
      <c r="AA4" s="4405" t="s">
        <v>1686</v>
      </c>
      <c r="AB4" s="4406" t="s">
        <v>1687</v>
      </c>
      <c r="AC4" s="4405" t="s">
        <v>1688</v>
      </c>
    </row>
    <row r="5" spans="1:29" ht="15">
      <c r="A5" s="239"/>
      <c r="B5" s="240"/>
      <c r="C5" s="4512" t="s">
        <v>1588</v>
      </c>
      <c r="D5" s="4513"/>
      <c r="E5" s="4520" t="s">
        <v>1589</v>
      </c>
      <c r="F5" s="4521"/>
      <c r="G5" s="4512" t="s">
        <v>1590</v>
      </c>
      <c r="H5" s="4513"/>
      <c r="I5" s="4512" t="s">
        <v>1591</v>
      </c>
      <c r="J5" s="4513"/>
      <c r="K5" s="397"/>
      <c r="L5" s="2018"/>
      <c r="M5" s="2019"/>
      <c r="N5" s="2019"/>
      <c r="O5" s="2019"/>
      <c r="P5" s="4534"/>
      <c r="Q5" s="4535"/>
      <c r="R5" s="4435"/>
      <c r="S5" s="4436"/>
      <c r="T5" s="4435"/>
      <c r="U5" s="4436"/>
      <c r="V5" s="4443"/>
      <c r="W5" s="4443"/>
      <c r="X5" s="946"/>
      <c r="Y5" s="4435"/>
      <c r="Z5" s="4436"/>
      <c r="AA5" s="4406"/>
      <c r="AB5" s="4406"/>
      <c r="AC5" s="4406"/>
    </row>
    <row r="6" spans="1:29" ht="15.75" thickBot="1">
      <c r="A6" s="241"/>
      <c r="B6" s="242"/>
      <c r="C6" s="4510" t="s">
        <v>1592</v>
      </c>
      <c r="D6" s="4511"/>
      <c r="E6" s="4517" t="s">
        <v>1592</v>
      </c>
      <c r="F6" s="4518"/>
      <c r="G6" s="4510" t="s">
        <v>1592</v>
      </c>
      <c r="H6" s="4511"/>
      <c r="I6" s="4510" t="s">
        <v>1592</v>
      </c>
      <c r="J6" s="4511"/>
      <c r="K6" s="397" t="s">
        <v>1593</v>
      </c>
      <c r="L6" s="2018"/>
      <c r="M6" s="2019"/>
      <c r="N6" s="2019"/>
      <c r="O6" s="2019"/>
      <c r="P6" s="4536"/>
      <c r="Q6" s="4537"/>
      <c r="R6" s="4435"/>
      <c r="S6" s="4436"/>
      <c r="T6" s="4437"/>
      <c r="U6" s="4438"/>
      <c r="V6" s="4443"/>
      <c r="W6" s="4443"/>
      <c r="X6" s="946"/>
      <c r="Y6" s="4437"/>
      <c r="Z6" s="4438"/>
      <c r="AA6" s="4407"/>
      <c r="AB6" s="4407"/>
      <c r="AC6" s="4407"/>
    </row>
    <row r="7" spans="1:29" s="46" customFormat="1" ht="15.75" thickBot="1">
      <c r="A7" s="243" t="s">
        <v>1594</v>
      </c>
      <c r="B7" s="244"/>
      <c r="C7" s="245">
        <f>'数据-取费表'!B2</f>
        <v>46046</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431" t="s">
        <v>1595</v>
      </c>
      <c r="Q7" s="4538"/>
      <c r="R7" s="3932" t="s">
        <v>13</v>
      </c>
      <c r="S7" s="3935">
        <f t="shared" ref="S7:S14" si="0">F7</f>
        <v>0</v>
      </c>
      <c r="T7" s="3932" t="s">
        <v>13</v>
      </c>
      <c r="U7" s="3935">
        <f t="shared" ref="U7:U14" si="1">H7</f>
        <v>0</v>
      </c>
      <c r="V7" s="3932" t="s">
        <v>13</v>
      </c>
      <c r="W7" s="3935">
        <f t="shared" ref="W7:W14" si="2">J7</f>
        <v>0</v>
      </c>
      <c r="X7" s="493"/>
      <c r="Y7" s="4431" t="s">
        <v>1595</v>
      </c>
      <c r="Z7" s="4432"/>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431" t="s">
        <v>1598</v>
      </c>
      <c r="Q8" s="4432"/>
      <c r="R8" s="3932" t="s">
        <v>13</v>
      </c>
      <c r="S8" s="3935">
        <f t="shared" si="0"/>
        <v>100</v>
      </c>
      <c r="T8" s="3932" t="s">
        <v>13</v>
      </c>
      <c r="U8" s="3935">
        <f t="shared" si="1"/>
        <v>100</v>
      </c>
      <c r="V8" s="3932" t="s">
        <v>13</v>
      </c>
      <c r="W8" s="3935">
        <f t="shared" si="2"/>
        <v>100</v>
      </c>
      <c r="X8" s="493"/>
      <c r="Y8" s="4431" t="s">
        <v>1598</v>
      </c>
      <c r="Z8" s="4432"/>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27" t="s">
        <v>1601</v>
      </c>
      <c r="Q9" s="390" t="str">
        <f t="shared" ref="Q9:Q14" si="6">B9</f>
        <v>用途</v>
      </c>
      <c r="R9" s="3932" t="s">
        <v>13</v>
      </c>
      <c r="S9" s="3935">
        <f t="shared" si="0"/>
        <v>100</v>
      </c>
      <c r="T9" s="3932" t="s">
        <v>13</v>
      </c>
      <c r="U9" s="3935">
        <f t="shared" si="1"/>
        <v>100</v>
      </c>
      <c r="V9" s="3932" t="s">
        <v>13</v>
      </c>
      <c r="W9" s="3935">
        <f t="shared" si="2"/>
        <v>100</v>
      </c>
      <c r="X9" s="493"/>
      <c r="Y9" s="4404"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27"/>
      <c r="Q10" s="390" t="str">
        <f t="shared" si="6"/>
        <v>土地使用年限（年）</v>
      </c>
      <c r="R10" s="3932" t="s">
        <v>13</v>
      </c>
      <c r="S10" s="3935">
        <f t="shared" si="0"/>
        <v>100</v>
      </c>
      <c r="T10" s="3932" t="s">
        <v>13</v>
      </c>
      <c r="U10" s="3935">
        <f t="shared" si="1"/>
        <v>100</v>
      </c>
      <c r="V10" s="3932" t="s">
        <v>13</v>
      </c>
      <c r="W10" s="3935">
        <f t="shared" si="2"/>
        <v>100</v>
      </c>
      <c r="X10" s="493"/>
      <c r="Y10" s="4404"/>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27"/>
      <c r="Q11" s="390">
        <f t="shared" si="6"/>
        <v>111</v>
      </c>
      <c r="R11" s="3932" t="s">
        <v>13</v>
      </c>
      <c r="S11" s="3935">
        <f t="shared" si="0"/>
        <v>100</v>
      </c>
      <c r="T11" s="3932" t="s">
        <v>13</v>
      </c>
      <c r="U11" s="3935">
        <f t="shared" si="1"/>
        <v>100</v>
      </c>
      <c r="V11" s="3932" t="s">
        <v>13</v>
      </c>
      <c r="W11" s="3935">
        <f t="shared" si="2"/>
        <v>100</v>
      </c>
      <c r="X11" s="493"/>
      <c r="Y11" s="4404"/>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27"/>
      <c r="Q12" s="390">
        <f t="shared" si="6"/>
        <v>111</v>
      </c>
      <c r="R12" s="3932" t="s">
        <v>13</v>
      </c>
      <c r="S12" s="3935">
        <f t="shared" si="0"/>
        <v>100</v>
      </c>
      <c r="T12" s="3932" t="s">
        <v>13</v>
      </c>
      <c r="U12" s="3935">
        <f t="shared" si="1"/>
        <v>100</v>
      </c>
      <c r="V12" s="3932" t="s">
        <v>13</v>
      </c>
      <c r="W12" s="3935">
        <f t="shared" si="2"/>
        <v>100</v>
      </c>
      <c r="X12" s="493"/>
      <c r="Y12" s="4404"/>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27"/>
      <c r="Q13" s="390">
        <f t="shared" si="6"/>
        <v>111</v>
      </c>
      <c r="R13" s="3932" t="s">
        <v>13</v>
      </c>
      <c r="S13" s="3935">
        <f t="shared" si="0"/>
        <v>100</v>
      </c>
      <c r="T13" s="3932" t="s">
        <v>13</v>
      </c>
      <c r="U13" s="3935">
        <f t="shared" si="1"/>
        <v>100</v>
      </c>
      <c r="V13" s="3932" t="s">
        <v>13</v>
      </c>
      <c r="W13" s="3935">
        <f t="shared" si="2"/>
        <v>100</v>
      </c>
      <c r="X13" s="493"/>
      <c r="Y13" s="4404"/>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396" t="s">
        <v>1606</v>
      </c>
      <c r="Q14" s="943" t="str">
        <f t="shared" si="6"/>
        <v>交通便捷度</v>
      </c>
      <c r="R14" s="3933" t="s">
        <v>13</v>
      </c>
      <c r="S14" s="3936">
        <f t="shared" si="0"/>
        <v>100</v>
      </c>
      <c r="T14" s="3933" t="s">
        <v>13</v>
      </c>
      <c r="U14" s="3936">
        <f t="shared" si="1"/>
        <v>100</v>
      </c>
      <c r="V14" s="3933" t="s">
        <v>13</v>
      </c>
      <c r="W14" s="3936">
        <f t="shared" si="2"/>
        <v>100</v>
      </c>
      <c r="X14" s="946"/>
      <c r="Y14" s="4396"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397"/>
      <c r="Q15" s="943"/>
      <c r="R15" s="3933"/>
      <c r="S15" s="3936"/>
      <c r="T15" s="3933"/>
      <c r="U15" s="3936"/>
      <c r="V15" s="3933"/>
      <c r="W15" s="3936"/>
      <c r="X15" s="946"/>
      <c r="Y15" s="4397"/>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397"/>
      <c r="Q16" s="943" t="str">
        <f>B16</f>
        <v>公共配套设施</v>
      </c>
      <c r="R16" s="3933" t="s">
        <v>13</v>
      </c>
      <c r="S16" s="3936">
        <f>F16</f>
        <v>100</v>
      </c>
      <c r="T16" s="3933" t="s">
        <v>13</v>
      </c>
      <c r="U16" s="3936">
        <f>H16</f>
        <v>100</v>
      </c>
      <c r="V16" s="3933" t="s">
        <v>13</v>
      </c>
      <c r="W16" s="3936">
        <f>J16</f>
        <v>100</v>
      </c>
      <c r="X16" s="946"/>
      <c r="Y16" s="4397"/>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397"/>
      <c r="Q17" s="943"/>
      <c r="R17" s="3933"/>
      <c r="S17" s="3936"/>
      <c r="T17" s="3933"/>
      <c r="U17" s="3936"/>
      <c r="V17" s="3933"/>
      <c r="W17" s="3936"/>
      <c r="X17" s="946"/>
      <c r="Y17" s="4397"/>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397"/>
      <c r="Q18" s="943" t="str">
        <f>B18</f>
        <v>基础设施水平</v>
      </c>
      <c r="R18" s="3933" t="s">
        <v>13</v>
      </c>
      <c r="S18" s="3936">
        <f>F18</f>
        <v>100</v>
      </c>
      <c r="T18" s="3933" t="s">
        <v>13</v>
      </c>
      <c r="U18" s="3936">
        <f>H18</f>
        <v>100</v>
      </c>
      <c r="V18" s="3933" t="s">
        <v>13</v>
      </c>
      <c r="W18" s="3936">
        <f>J18</f>
        <v>100</v>
      </c>
      <c r="X18" s="946"/>
      <c r="Y18" s="4397"/>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397"/>
      <c r="Q19" s="943"/>
      <c r="R19" s="3933"/>
      <c r="S19" s="3936"/>
      <c r="T19" s="3933"/>
      <c r="U19" s="3936"/>
      <c r="V19" s="3933"/>
      <c r="W19" s="3936"/>
      <c r="X19" s="946"/>
      <c r="Y19" s="4397"/>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397"/>
      <c r="Q20" s="943" t="str">
        <f>B20</f>
        <v>自然及人文环境</v>
      </c>
      <c r="R20" s="3933" t="s">
        <v>13</v>
      </c>
      <c r="S20" s="3936">
        <f>F20</f>
        <v>100</v>
      </c>
      <c r="T20" s="3933" t="s">
        <v>13</v>
      </c>
      <c r="U20" s="3936">
        <f>H20</f>
        <v>100</v>
      </c>
      <c r="V20" s="3933" t="s">
        <v>13</v>
      </c>
      <c r="W20" s="3936">
        <f>J20</f>
        <v>100</v>
      </c>
      <c r="X20" s="946"/>
      <c r="Y20" s="4397"/>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397"/>
      <c r="Q21" s="943"/>
      <c r="R21" s="3933"/>
      <c r="S21" s="3936"/>
      <c r="T21" s="3933"/>
      <c r="U21" s="3936"/>
      <c r="V21" s="3933"/>
      <c r="W21" s="3936"/>
      <c r="X21" s="946"/>
      <c r="Y21" s="4397"/>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397"/>
      <c r="Q22" s="943" t="str">
        <f>B22</f>
        <v>楼层</v>
      </c>
      <c r="R22" s="3933" t="s">
        <v>13</v>
      </c>
      <c r="S22" s="3936">
        <f>F22</f>
        <v>100</v>
      </c>
      <c r="T22" s="3933" t="s">
        <v>13</v>
      </c>
      <c r="U22" s="3936">
        <f>H22</f>
        <v>100</v>
      </c>
      <c r="V22" s="3933" t="s">
        <v>13</v>
      </c>
      <c r="W22" s="3936">
        <f>J22</f>
        <v>100</v>
      </c>
      <c r="X22" s="946"/>
      <c r="Y22" s="4397"/>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397"/>
      <c r="Q23" s="943">
        <f>B23</f>
        <v>111</v>
      </c>
      <c r="R23" s="3933" t="s">
        <v>13</v>
      </c>
      <c r="S23" s="3936">
        <f>F23</f>
        <v>100</v>
      </c>
      <c r="T23" s="3933" t="s">
        <v>13</v>
      </c>
      <c r="U23" s="3936">
        <f>H23</f>
        <v>100</v>
      </c>
      <c r="V23" s="3933" t="s">
        <v>13</v>
      </c>
      <c r="W23" s="3936">
        <f>J23</f>
        <v>100</v>
      </c>
      <c r="X23" s="946"/>
      <c r="Y23" s="4397"/>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397"/>
      <c r="Q24" s="943">
        <f t="shared" ref="Q24:Q34" si="11">B24</f>
        <v>111</v>
      </c>
      <c r="R24" s="3933" t="s">
        <v>13</v>
      </c>
      <c r="S24" s="3936">
        <f>F24</f>
        <v>100</v>
      </c>
      <c r="T24" s="3933" t="s">
        <v>13</v>
      </c>
      <c r="U24" s="3936">
        <f>H24</f>
        <v>100</v>
      </c>
      <c r="V24" s="3933" t="s">
        <v>13</v>
      </c>
      <c r="W24" s="3936">
        <f>J24</f>
        <v>100</v>
      </c>
      <c r="X24" s="946"/>
      <c r="Y24" s="4397"/>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397"/>
      <c r="Q25" s="390">
        <f t="shared" si="11"/>
        <v>111</v>
      </c>
      <c r="R25" s="3932" t="s">
        <v>13</v>
      </c>
      <c r="S25" s="3935">
        <f>F25</f>
        <v>100</v>
      </c>
      <c r="T25" s="3932" t="s">
        <v>13</v>
      </c>
      <c r="U25" s="3935">
        <f>H25</f>
        <v>100</v>
      </c>
      <c r="V25" s="3932" t="s">
        <v>13</v>
      </c>
      <c r="W25" s="3935">
        <f>J25</f>
        <v>100</v>
      </c>
      <c r="X25" s="493"/>
      <c r="Y25" s="4397"/>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31"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01"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01"/>
      <c r="Q27" s="391" t="str">
        <f t="shared" si="11"/>
        <v>成新率</v>
      </c>
      <c r="R27" s="3934" t="s">
        <v>13</v>
      </c>
      <c r="S27" s="3937" t="e">
        <f t="shared" si="12"/>
        <v>#N/A</v>
      </c>
      <c r="T27" s="3934" t="s">
        <v>13</v>
      </c>
      <c r="U27" s="3937" t="e">
        <f t="shared" si="13"/>
        <v>#N/A</v>
      </c>
      <c r="V27" s="3934" t="s">
        <v>13</v>
      </c>
      <c r="W27" s="3937" t="e">
        <f t="shared" si="14"/>
        <v>#N/A</v>
      </c>
      <c r="X27" s="494"/>
      <c r="Y27" s="4401"/>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01"/>
      <c r="Q28" s="943" t="str">
        <f t="shared" si="11"/>
        <v>物业等级</v>
      </c>
      <c r="R28" s="3933" t="s">
        <v>13</v>
      </c>
      <c r="S28" s="3936">
        <f t="shared" si="12"/>
        <v>100</v>
      </c>
      <c r="T28" s="3933" t="s">
        <v>13</v>
      </c>
      <c r="U28" s="3936">
        <f t="shared" si="13"/>
        <v>100</v>
      </c>
      <c r="V28" s="3933" t="s">
        <v>13</v>
      </c>
      <c r="W28" s="3936">
        <f t="shared" si="14"/>
        <v>100</v>
      </c>
      <c r="X28" s="946"/>
      <c r="Y28" s="4401"/>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01"/>
      <c r="Q29" s="943" t="str">
        <f t="shared" si="11"/>
        <v>有无电梯</v>
      </c>
      <c r="R29" s="3933" t="s">
        <v>13</v>
      </c>
      <c r="S29" s="3936">
        <f t="shared" si="12"/>
        <v>100</v>
      </c>
      <c r="T29" s="3933" t="s">
        <v>13</v>
      </c>
      <c r="U29" s="3936">
        <f t="shared" si="13"/>
        <v>100</v>
      </c>
      <c r="V29" s="3933" t="s">
        <v>13</v>
      </c>
      <c r="W29" s="3936">
        <f t="shared" si="14"/>
        <v>100</v>
      </c>
      <c r="X29" s="946"/>
      <c r="Y29" s="4401"/>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01"/>
      <c r="Q30" s="943" t="str">
        <f t="shared" si="11"/>
        <v>建筑面积</v>
      </c>
      <c r="R30" s="3933" t="s">
        <v>13</v>
      </c>
      <c r="S30" s="3936" t="e">
        <f t="shared" si="12"/>
        <v>#N/A</v>
      </c>
      <c r="T30" s="3933" t="s">
        <v>13</v>
      </c>
      <c r="U30" s="3936" t="e">
        <f t="shared" si="13"/>
        <v>#N/A</v>
      </c>
      <c r="V30" s="3933" t="s">
        <v>13</v>
      </c>
      <c r="W30" s="3936" t="e">
        <f t="shared" si="14"/>
        <v>#N/A</v>
      </c>
      <c r="X30" s="946"/>
      <c r="Y30" s="4401"/>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01"/>
      <c r="Q31" s="390" t="str">
        <f t="shared" si="11"/>
        <v>是否封闭</v>
      </c>
      <c r="R31" s="3932" t="s">
        <v>13</v>
      </c>
      <c r="S31" s="3935">
        <f t="shared" si="12"/>
        <v>100</v>
      </c>
      <c r="T31" s="3932" t="s">
        <v>13</v>
      </c>
      <c r="U31" s="3935">
        <f t="shared" si="13"/>
        <v>100</v>
      </c>
      <c r="V31" s="3932" t="s">
        <v>13</v>
      </c>
      <c r="W31" s="3935">
        <f t="shared" si="14"/>
        <v>100</v>
      </c>
      <c r="X31" s="493"/>
      <c r="Y31" s="4401"/>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01" t="s">
        <v>1611</v>
      </c>
      <c r="Q32" s="943">
        <f t="shared" si="11"/>
        <v>111</v>
      </c>
      <c r="R32" s="3933" t="s">
        <v>13</v>
      </c>
      <c r="S32" s="3936">
        <f t="shared" si="12"/>
        <v>100</v>
      </c>
      <c r="T32" s="3933" t="s">
        <v>13</v>
      </c>
      <c r="U32" s="3936">
        <f t="shared" si="13"/>
        <v>100</v>
      </c>
      <c r="V32" s="3933" t="s">
        <v>13</v>
      </c>
      <c r="W32" s="3936">
        <f t="shared" si="14"/>
        <v>100</v>
      </c>
      <c r="X32" s="946"/>
      <c r="Y32" s="4401"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01"/>
      <c r="Q33" s="943">
        <f t="shared" si="11"/>
        <v>111</v>
      </c>
      <c r="R33" s="3933" t="s">
        <v>13</v>
      </c>
      <c r="S33" s="3936">
        <f t="shared" si="12"/>
        <v>100</v>
      </c>
      <c r="T33" s="3933" t="s">
        <v>13</v>
      </c>
      <c r="U33" s="3936">
        <f t="shared" si="13"/>
        <v>100</v>
      </c>
      <c r="V33" s="3933" t="s">
        <v>13</v>
      </c>
      <c r="W33" s="3936">
        <f t="shared" si="14"/>
        <v>100</v>
      </c>
      <c r="X33" s="946"/>
      <c r="Y33" s="4401"/>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01"/>
      <c r="Q34" s="943">
        <f t="shared" si="11"/>
        <v>111</v>
      </c>
      <c r="R34" s="3933" t="s">
        <v>13</v>
      </c>
      <c r="S34" s="3936">
        <f t="shared" si="12"/>
        <v>100</v>
      </c>
      <c r="T34" s="3933" t="s">
        <v>13</v>
      </c>
      <c r="U34" s="3936">
        <f t="shared" si="13"/>
        <v>100</v>
      </c>
      <c r="V34" s="3933" t="s">
        <v>13</v>
      </c>
      <c r="W34" s="3936">
        <f t="shared" si="14"/>
        <v>100</v>
      </c>
      <c r="X34" s="946"/>
      <c r="Y34" s="4401"/>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27" t="str">
        <f>A35</f>
        <v>成交单价（元/平方米）</v>
      </c>
      <c r="Q35" s="4527"/>
      <c r="R35" s="4443">
        <f>E35</f>
        <v>0</v>
      </c>
      <c r="S35" s="4443"/>
      <c r="T35" s="4443">
        <f>G35</f>
        <v>0</v>
      </c>
      <c r="U35" s="4443"/>
      <c r="V35" s="4443">
        <f>I35</f>
        <v>0</v>
      </c>
      <c r="W35" s="4443"/>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27" t="str">
        <f>A36</f>
        <v>比较价值（元/平方米）</v>
      </c>
      <c r="Q36" s="4527"/>
      <c r="R36" s="4443" t="e">
        <f>IF(F1="售价",ROUND(PRODUCT(R35,AA7:AA34),0),ROUND(PRODUCT(R35,AA7:AA34),1))</f>
        <v>#DIV/0!</v>
      </c>
      <c r="S36" s="4443"/>
      <c r="T36" s="4443" t="e">
        <f>IF(F1="售价",ROUND(PRODUCT(T35,AB7:AB34),0),ROUND(PRODUCT(T35,AB7:AB34),1))</f>
        <v>#DIV/0!</v>
      </c>
      <c r="U36" s="4443"/>
      <c r="V36" s="4443" t="e">
        <f>IF(F1="售价",ROUND(PRODUCT(V35,AC7:AC34),0),ROUND(PRODUCT(V35,AC7:AC34),1))</f>
        <v>#DIV/0!</v>
      </c>
      <c r="W36" s="4443"/>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28" t="str">
        <f>A37</f>
        <v>估价对象XX用房的比较价值（楼面单价，元/平方米）</v>
      </c>
      <c r="Q37" s="4529"/>
      <c r="R37" s="4530" t="e">
        <f>IF(F1="售价",ROUND(IF(D36="简单平均",AVERAGE(R36:W36),R36*F36+T36*H36+V36*J36),0),ROUND(IF(D36="简单平均",AVERAGE(R36:V36),R36*F36+T36*H36+V36*J36),1))</f>
        <v>#DIV/0!</v>
      </c>
      <c r="S37" s="4530"/>
      <c r="T37" s="4530"/>
      <c r="U37" s="4530"/>
      <c r="V37" s="4530"/>
      <c r="W37" s="4530"/>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08" t="s">
        <v>1685</v>
      </c>
      <c r="D6" s="4409"/>
      <c r="E6" s="4410" t="s">
        <v>1686</v>
      </c>
      <c r="F6" s="4411"/>
      <c r="G6" s="4408" t="s">
        <v>1687</v>
      </c>
      <c r="H6" s="4409"/>
      <c r="I6" s="4408" t="s">
        <v>1688</v>
      </c>
      <c r="J6" s="4409"/>
      <c r="K6" s="2967" t="s">
        <v>1689</v>
      </c>
      <c r="L6" s="2018"/>
      <c r="M6" s="2019"/>
      <c r="N6" s="2019"/>
      <c r="O6" s="2019"/>
      <c r="P6" s="4412" t="s">
        <v>1690</v>
      </c>
      <c r="Q6" s="4413"/>
      <c r="R6" s="4418" t="s">
        <v>1686</v>
      </c>
      <c r="S6" s="4419"/>
      <c r="T6" s="4418" t="s">
        <v>1687</v>
      </c>
      <c r="U6" s="4419"/>
      <c r="V6" s="4424" t="s">
        <v>1688</v>
      </c>
      <c r="W6" s="4424"/>
      <c r="X6" s="946"/>
      <c r="Y6" s="4433" t="s">
        <v>1690</v>
      </c>
      <c r="Z6" s="4434"/>
      <c r="AA6" s="4405" t="s">
        <v>1686</v>
      </c>
      <c r="AB6" s="4406" t="s">
        <v>1687</v>
      </c>
      <c r="AC6" s="4405" t="s">
        <v>1688</v>
      </c>
    </row>
    <row r="7" spans="1:29" ht="15">
      <c r="A7" s="239"/>
      <c r="B7" s="240"/>
      <c r="C7" s="4440" t="s">
        <v>1588</v>
      </c>
      <c r="D7" s="4428"/>
      <c r="E7" s="4492" t="s">
        <v>1589</v>
      </c>
      <c r="F7" s="4445"/>
      <c r="G7" s="4440" t="s">
        <v>1590</v>
      </c>
      <c r="H7" s="4428"/>
      <c r="I7" s="4440" t="s">
        <v>1591</v>
      </c>
      <c r="J7" s="4428"/>
      <c r="K7" s="2967"/>
      <c r="L7" s="2018"/>
      <c r="M7" s="2019"/>
      <c r="N7" s="2019"/>
      <c r="O7" s="2019"/>
      <c r="P7" s="4414"/>
      <c r="Q7" s="4415"/>
      <c r="R7" s="4420"/>
      <c r="S7" s="4421"/>
      <c r="T7" s="4420"/>
      <c r="U7" s="4421"/>
      <c r="V7" s="4424"/>
      <c r="W7" s="4424"/>
      <c r="X7" s="946"/>
      <c r="Y7" s="4435"/>
      <c r="Z7" s="4436"/>
      <c r="AA7" s="4406"/>
      <c r="AB7" s="4406"/>
      <c r="AC7" s="4406"/>
    </row>
    <row r="8" spans="1:29" ht="15.75" thickBot="1">
      <c r="A8" s="241"/>
      <c r="B8" s="242"/>
      <c r="C8" s="4425" t="s">
        <v>1592</v>
      </c>
      <c r="D8" s="4426"/>
      <c r="E8" s="4441" t="s">
        <v>1592</v>
      </c>
      <c r="F8" s="4442"/>
      <c r="G8" s="4425" t="s">
        <v>1592</v>
      </c>
      <c r="H8" s="4426"/>
      <c r="I8" s="4425" t="s">
        <v>1592</v>
      </c>
      <c r="J8" s="4426"/>
      <c r="K8" s="2967" t="s">
        <v>1593</v>
      </c>
      <c r="L8" s="2018"/>
      <c r="M8" s="2019"/>
      <c r="N8" s="2019"/>
      <c r="O8" s="2019"/>
      <c r="P8" s="4416"/>
      <c r="Q8" s="4417"/>
      <c r="R8" s="4420"/>
      <c r="S8" s="4421"/>
      <c r="T8" s="4422"/>
      <c r="U8" s="4423"/>
      <c r="V8" s="4424"/>
      <c r="W8" s="4424"/>
      <c r="X8" s="946"/>
      <c r="Y8" s="4437"/>
      <c r="Z8" s="4438"/>
      <c r="AA8" s="4407"/>
      <c r="AB8" s="4407"/>
      <c r="AC8" s="4407"/>
    </row>
    <row r="9" spans="1:29" s="46" customFormat="1" ht="15.75" thickBot="1">
      <c r="A9" s="3228" t="s">
        <v>1594</v>
      </c>
      <c r="B9" s="3229"/>
      <c r="C9" s="2915">
        <f>'数据-取费表'!B2</f>
        <v>46046</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29" t="s">
        <v>1595</v>
      </c>
      <c r="Q9" s="4439"/>
      <c r="R9" s="3925" t="s">
        <v>13</v>
      </c>
      <c r="S9" s="3702">
        <f t="shared" ref="S9:S17" si="0">F9</f>
        <v>0</v>
      </c>
      <c r="T9" s="3925" t="s">
        <v>13</v>
      </c>
      <c r="U9" s="3702">
        <f t="shared" ref="U9:U17" si="1">H9</f>
        <v>0</v>
      </c>
      <c r="V9" s="3925" t="s">
        <v>13</v>
      </c>
      <c r="W9" s="3702">
        <f t="shared" ref="W9:W17" si="2">J9</f>
        <v>0</v>
      </c>
      <c r="X9" s="493"/>
      <c r="Y9" s="4431" t="s">
        <v>1595</v>
      </c>
      <c r="Z9" s="4432"/>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29" t="s">
        <v>1598</v>
      </c>
      <c r="Q10" s="4430"/>
      <c r="R10" s="3925" t="s">
        <v>13</v>
      </c>
      <c r="S10" s="3702">
        <f t="shared" si="0"/>
        <v>100</v>
      </c>
      <c r="T10" s="3925" t="s">
        <v>13</v>
      </c>
      <c r="U10" s="3702">
        <f t="shared" si="1"/>
        <v>100</v>
      </c>
      <c r="V10" s="3925" t="s">
        <v>13</v>
      </c>
      <c r="W10" s="3702">
        <f t="shared" si="2"/>
        <v>100</v>
      </c>
      <c r="X10" s="493"/>
      <c r="Y10" s="4431" t="s">
        <v>1598</v>
      </c>
      <c r="Z10" s="4432"/>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389" t="s">
        <v>1601</v>
      </c>
      <c r="Q11" s="1742" t="str">
        <f t="shared" ref="Q11:Q17" si="6">B11</f>
        <v>用途</v>
      </c>
      <c r="R11" s="3925" t="s">
        <v>13</v>
      </c>
      <c r="S11" s="3702">
        <f t="shared" si="0"/>
        <v>100</v>
      </c>
      <c r="T11" s="3925" t="s">
        <v>13</v>
      </c>
      <c r="U11" s="3702">
        <f t="shared" si="1"/>
        <v>100</v>
      </c>
      <c r="V11" s="3925" t="s">
        <v>13</v>
      </c>
      <c r="W11" s="3702">
        <f t="shared" si="2"/>
        <v>100</v>
      </c>
      <c r="X11" s="493"/>
      <c r="Y11" s="4404"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113.4</v>
      </c>
      <c r="G12" s="2975"/>
      <c r="H12" s="3897">
        <f>ROUND(100/'数据-取费表'!G16,1)</f>
        <v>113.4</v>
      </c>
      <c r="I12" s="2975"/>
      <c r="J12" s="3897">
        <f>ROUND(100/'数据-取费表'!G16,1)</f>
        <v>113.4</v>
      </c>
      <c r="K12" s="3264"/>
      <c r="L12" s="2021"/>
      <c r="M12" s="2022"/>
      <c r="N12" s="2022"/>
      <c r="O12" s="2073"/>
      <c r="P12" s="4389"/>
      <c r="Q12" s="1742" t="str">
        <f t="shared" si="6"/>
        <v>土地使用年限（年）</v>
      </c>
      <c r="R12" s="3925" t="s">
        <v>13</v>
      </c>
      <c r="S12" s="3702">
        <f t="shared" si="0"/>
        <v>113.4</v>
      </c>
      <c r="T12" s="3925" t="s">
        <v>13</v>
      </c>
      <c r="U12" s="3702">
        <f t="shared" si="1"/>
        <v>113.4</v>
      </c>
      <c r="V12" s="3925" t="s">
        <v>13</v>
      </c>
      <c r="W12" s="3702">
        <f t="shared" si="2"/>
        <v>113.4</v>
      </c>
      <c r="X12" s="493"/>
      <c r="Y12" s="4404"/>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389"/>
      <c r="Q13" s="1742" t="str">
        <f t="shared" si="6"/>
        <v>容积率</v>
      </c>
      <c r="R13" s="3925" t="s">
        <v>13</v>
      </c>
      <c r="S13" s="3702" t="e">
        <f t="shared" si="0"/>
        <v>#N/A</v>
      </c>
      <c r="T13" s="3925" t="s">
        <v>13</v>
      </c>
      <c r="U13" s="3702" t="e">
        <f t="shared" si="1"/>
        <v>#N/A</v>
      </c>
      <c r="V13" s="3925" t="s">
        <v>13</v>
      </c>
      <c r="W13" s="3702" t="e">
        <f t="shared" si="2"/>
        <v>#N/A</v>
      </c>
      <c r="X13" s="493"/>
      <c r="Y13" s="4404"/>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389"/>
      <c r="Q14" s="1742" t="str">
        <f t="shared" si="6"/>
        <v>配建</v>
      </c>
      <c r="R14" s="3925" t="s">
        <v>13</v>
      </c>
      <c r="S14" s="3702">
        <f t="shared" si="0"/>
        <v>100</v>
      </c>
      <c r="T14" s="3925" t="s">
        <v>13</v>
      </c>
      <c r="U14" s="3702">
        <f t="shared" si="1"/>
        <v>100</v>
      </c>
      <c r="V14" s="3925" t="s">
        <v>13</v>
      </c>
      <c r="W14" s="3702">
        <f t="shared" si="2"/>
        <v>100</v>
      </c>
      <c r="X14" s="493"/>
      <c r="Y14" s="4404"/>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389"/>
      <c r="Q15" s="1742">
        <f t="shared" si="6"/>
        <v>111</v>
      </c>
      <c r="R15" s="3925" t="s">
        <v>13</v>
      </c>
      <c r="S15" s="3702">
        <f t="shared" si="0"/>
        <v>100</v>
      </c>
      <c r="T15" s="3925" t="s">
        <v>13</v>
      </c>
      <c r="U15" s="3702">
        <f t="shared" si="1"/>
        <v>100</v>
      </c>
      <c r="V15" s="3925" t="s">
        <v>13</v>
      </c>
      <c r="W15" s="3702">
        <f t="shared" si="2"/>
        <v>100</v>
      </c>
      <c r="X15" s="493"/>
      <c r="Y15" s="4404"/>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389"/>
      <c r="Q16" s="1742">
        <f t="shared" si="6"/>
        <v>111</v>
      </c>
      <c r="R16" s="3925" t="s">
        <v>13</v>
      </c>
      <c r="S16" s="3702">
        <f t="shared" si="0"/>
        <v>100</v>
      </c>
      <c r="T16" s="3925" t="s">
        <v>13</v>
      </c>
      <c r="U16" s="3702">
        <f t="shared" si="1"/>
        <v>100</v>
      </c>
      <c r="V16" s="3925" t="s">
        <v>13</v>
      </c>
      <c r="W16" s="3702">
        <f t="shared" si="2"/>
        <v>100</v>
      </c>
      <c r="X16" s="493"/>
      <c r="Y16" s="4404"/>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22" t="s">
        <v>1606</v>
      </c>
      <c r="Q17" s="1544" t="str">
        <f t="shared" si="6"/>
        <v>居住社区成熟度</v>
      </c>
      <c r="R17" s="3926" t="s">
        <v>13</v>
      </c>
      <c r="S17" s="3928">
        <f t="shared" si="0"/>
        <v>100</v>
      </c>
      <c r="T17" s="3926" t="s">
        <v>13</v>
      </c>
      <c r="U17" s="3928">
        <f t="shared" si="1"/>
        <v>100</v>
      </c>
      <c r="V17" s="3926" t="s">
        <v>13</v>
      </c>
      <c r="W17" s="3928">
        <f t="shared" si="2"/>
        <v>100</v>
      </c>
      <c r="X17" s="946"/>
      <c r="Y17" s="4396"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23"/>
      <c r="Q18" s="1544"/>
      <c r="R18" s="3926"/>
      <c r="S18" s="3928"/>
      <c r="T18" s="3926"/>
      <c r="U18" s="3928"/>
      <c r="V18" s="3926"/>
      <c r="W18" s="3928"/>
      <c r="X18" s="946"/>
      <c r="Y18" s="4397"/>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23"/>
      <c r="Q19" s="1544" t="str">
        <f>B19</f>
        <v>商业繁华度</v>
      </c>
      <c r="R19" s="3926" t="s">
        <v>13</v>
      </c>
      <c r="S19" s="3928">
        <f>F19</f>
        <v>100</v>
      </c>
      <c r="T19" s="3926" t="s">
        <v>13</v>
      </c>
      <c r="U19" s="3928">
        <f>H19</f>
        <v>100</v>
      </c>
      <c r="V19" s="3926" t="s">
        <v>13</v>
      </c>
      <c r="W19" s="3928">
        <f>J19</f>
        <v>100</v>
      </c>
      <c r="X19" s="946"/>
      <c r="Y19" s="4397"/>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23"/>
      <c r="Q20" s="1544"/>
      <c r="R20" s="3926"/>
      <c r="S20" s="3928"/>
      <c r="T20" s="3926"/>
      <c r="U20" s="3928"/>
      <c r="V20" s="3926"/>
      <c r="W20" s="3928"/>
      <c r="X20" s="946"/>
      <c r="Y20" s="4397"/>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23"/>
      <c r="Q21" s="1544" t="str">
        <f>B21</f>
        <v>办公集聚程度</v>
      </c>
      <c r="R21" s="3926" t="s">
        <v>13</v>
      </c>
      <c r="S21" s="3928">
        <f>F21</f>
        <v>100</v>
      </c>
      <c r="T21" s="3926" t="s">
        <v>13</v>
      </c>
      <c r="U21" s="3928">
        <f>H21</f>
        <v>100</v>
      </c>
      <c r="V21" s="3926" t="s">
        <v>13</v>
      </c>
      <c r="W21" s="3928">
        <f>J21</f>
        <v>100</v>
      </c>
      <c r="X21" s="946"/>
      <c r="Y21" s="4397"/>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23"/>
      <c r="Q22" s="1544"/>
      <c r="R22" s="3926"/>
      <c r="S22" s="3928"/>
      <c r="T22" s="3926"/>
      <c r="U22" s="3928"/>
      <c r="V22" s="3926"/>
      <c r="W22" s="3928"/>
      <c r="X22" s="946"/>
      <c r="Y22" s="4397"/>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23"/>
      <c r="Q23" s="1544" t="str">
        <f>B23</f>
        <v>交通便捷度</v>
      </c>
      <c r="R23" s="3926" t="s">
        <v>13</v>
      </c>
      <c r="S23" s="3928">
        <f>F23</f>
        <v>100</v>
      </c>
      <c r="T23" s="3926" t="s">
        <v>13</v>
      </c>
      <c r="U23" s="3928">
        <f>H23</f>
        <v>100</v>
      </c>
      <c r="V23" s="3926" t="s">
        <v>13</v>
      </c>
      <c r="W23" s="3928">
        <f>J23</f>
        <v>100</v>
      </c>
      <c r="X23" s="946"/>
      <c r="Y23" s="4397"/>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23"/>
      <c r="Q24" s="1544"/>
      <c r="R24" s="3926"/>
      <c r="S24" s="3928"/>
      <c r="T24" s="3926"/>
      <c r="U24" s="3928"/>
      <c r="V24" s="3926"/>
      <c r="W24" s="3928"/>
      <c r="X24" s="946"/>
      <c r="Y24" s="4397"/>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23"/>
      <c r="Q25" s="1544" t="str">
        <f t="shared" ref="Q25:Q39" si="8">B25</f>
        <v>区域土地利用方向</v>
      </c>
      <c r="R25" s="3926" t="s">
        <v>13</v>
      </c>
      <c r="S25" s="3928">
        <f>F25</f>
        <v>100</v>
      </c>
      <c r="T25" s="3926" t="s">
        <v>13</v>
      </c>
      <c r="U25" s="3928">
        <f>H25</f>
        <v>100</v>
      </c>
      <c r="V25" s="3926" t="s">
        <v>13</v>
      </c>
      <c r="W25" s="3928">
        <f>J25</f>
        <v>100</v>
      </c>
      <c r="X25" s="946"/>
      <c r="Y25" s="4397"/>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23"/>
      <c r="Q26" s="1544"/>
      <c r="R26" s="3926"/>
      <c r="S26" s="3928"/>
      <c r="T26" s="3926"/>
      <c r="U26" s="3928"/>
      <c r="V26" s="3926"/>
      <c r="W26" s="3928"/>
      <c r="X26" s="946"/>
      <c r="Y26" s="4397"/>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23"/>
      <c r="Q27" s="1544" t="str">
        <f t="shared" si="8"/>
        <v>自然及人文环境状况</v>
      </c>
      <c r="R27" s="3926" t="s">
        <v>13</v>
      </c>
      <c r="S27" s="3928">
        <f>F27</f>
        <v>100</v>
      </c>
      <c r="T27" s="3926" t="s">
        <v>13</v>
      </c>
      <c r="U27" s="3928">
        <f>H27</f>
        <v>100</v>
      </c>
      <c r="V27" s="3926" t="s">
        <v>13</v>
      </c>
      <c r="W27" s="3928">
        <f>J27</f>
        <v>100</v>
      </c>
      <c r="X27" s="946"/>
      <c r="Y27" s="4397"/>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23"/>
      <c r="Q28" s="1544"/>
      <c r="R28" s="3926"/>
      <c r="S28" s="3928"/>
      <c r="T28" s="3926"/>
      <c r="U28" s="3928"/>
      <c r="V28" s="3926"/>
      <c r="W28" s="3928"/>
      <c r="X28" s="946"/>
      <c r="Y28" s="4397"/>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23"/>
      <c r="Q29" s="1742" t="str">
        <f t="shared" si="8"/>
        <v>公共配套设施</v>
      </c>
      <c r="R29" s="3925" t="s">
        <v>13</v>
      </c>
      <c r="S29" s="3702">
        <f>F29</f>
        <v>100</v>
      </c>
      <c r="T29" s="3925" t="s">
        <v>13</v>
      </c>
      <c r="U29" s="3702">
        <f>H29</f>
        <v>100</v>
      </c>
      <c r="V29" s="3925" t="s">
        <v>13</v>
      </c>
      <c r="W29" s="3702">
        <f>J29</f>
        <v>100</v>
      </c>
      <c r="X29" s="493"/>
      <c r="Y29" s="4397"/>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23"/>
      <c r="Q30" s="1742"/>
      <c r="R30" s="3925"/>
      <c r="S30" s="3702"/>
      <c r="T30" s="3925"/>
      <c r="U30" s="3702"/>
      <c r="V30" s="3925"/>
      <c r="W30" s="3702"/>
      <c r="X30" s="493"/>
      <c r="Y30" s="4397"/>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23"/>
      <c r="Q31" s="1742" t="str">
        <f t="shared" ref="Q31" si="9">B31</f>
        <v>基础设施水平</v>
      </c>
      <c r="R31" s="3925" t="s">
        <v>13</v>
      </c>
      <c r="S31" s="3702">
        <f>F31</f>
        <v>100</v>
      </c>
      <c r="T31" s="3925" t="s">
        <v>13</v>
      </c>
      <c r="U31" s="3702">
        <f>H31</f>
        <v>100</v>
      </c>
      <c r="V31" s="3925" t="s">
        <v>13</v>
      </c>
      <c r="W31" s="3702">
        <f>J31</f>
        <v>100</v>
      </c>
      <c r="X31" s="493"/>
      <c r="Y31" s="4397"/>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23"/>
      <c r="Q32" s="1742"/>
      <c r="R32" s="3925"/>
      <c r="S32" s="3702"/>
      <c r="T32" s="3925"/>
      <c r="U32" s="3702"/>
      <c r="V32" s="3925"/>
      <c r="W32" s="3702"/>
      <c r="X32" s="493"/>
      <c r="Y32" s="4397"/>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23"/>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397"/>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23"/>
      <c r="Q34" s="1544" t="str">
        <f t="shared" si="8"/>
        <v>毗邻道路的类型与等级</v>
      </c>
      <c r="R34" s="3926" t="s">
        <v>13</v>
      </c>
      <c r="S34" s="3928">
        <f t="shared" si="10"/>
        <v>100</v>
      </c>
      <c r="T34" s="3926" t="s">
        <v>13</v>
      </c>
      <c r="U34" s="3928">
        <f t="shared" si="11"/>
        <v>100</v>
      </c>
      <c r="V34" s="3926" t="s">
        <v>13</v>
      </c>
      <c r="W34" s="3928">
        <f t="shared" si="12"/>
        <v>100</v>
      </c>
      <c r="X34" s="946"/>
      <c r="Y34" s="4397"/>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23"/>
      <c r="Q35" s="1544"/>
      <c r="R35" s="3926"/>
      <c r="S35" s="3928"/>
      <c r="T35" s="3926"/>
      <c r="U35" s="3928"/>
      <c r="V35" s="3926"/>
      <c r="W35" s="3928"/>
      <c r="X35" s="946"/>
      <c r="Y35" s="4397"/>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23"/>
      <c r="Q36" s="1544" t="str">
        <f t="shared" si="8"/>
        <v>土地级别</v>
      </c>
      <c r="R36" s="3926" t="s">
        <v>13</v>
      </c>
      <c r="S36" s="3928">
        <f t="shared" si="10"/>
        <v>100</v>
      </c>
      <c r="T36" s="3926" t="s">
        <v>13</v>
      </c>
      <c r="U36" s="3928">
        <f t="shared" si="11"/>
        <v>100</v>
      </c>
      <c r="V36" s="3926" t="s">
        <v>13</v>
      </c>
      <c r="W36" s="3928">
        <f t="shared" si="12"/>
        <v>100</v>
      </c>
      <c r="X36" s="946"/>
      <c r="Y36" s="4397"/>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23"/>
      <c r="Q37" s="1544">
        <f t="shared" si="8"/>
        <v>111</v>
      </c>
      <c r="R37" s="3926" t="s">
        <v>13</v>
      </c>
      <c r="S37" s="3928">
        <f t="shared" si="10"/>
        <v>100</v>
      </c>
      <c r="T37" s="3926" t="s">
        <v>13</v>
      </c>
      <c r="U37" s="3928">
        <f t="shared" si="11"/>
        <v>100</v>
      </c>
      <c r="V37" s="3926" t="s">
        <v>13</v>
      </c>
      <c r="W37" s="3928">
        <f t="shared" si="12"/>
        <v>100</v>
      </c>
      <c r="X37" s="946"/>
      <c r="Y37" s="4397"/>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24" t="s">
        <v>1611</v>
      </c>
      <c r="Q38" s="1544">
        <f t="shared" si="8"/>
        <v>111</v>
      </c>
      <c r="R38" s="3926" t="s">
        <v>13</v>
      </c>
      <c r="S38" s="3928">
        <f t="shared" si="10"/>
        <v>100</v>
      </c>
      <c r="T38" s="3926" t="s">
        <v>13</v>
      </c>
      <c r="U38" s="3928">
        <f t="shared" si="11"/>
        <v>100</v>
      </c>
      <c r="V38" s="3926" t="s">
        <v>13</v>
      </c>
      <c r="W38" s="3928">
        <f t="shared" si="12"/>
        <v>100</v>
      </c>
      <c r="X38" s="946"/>
      <c r="Y38" s="4401"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25"/>
      <c r="Q39" s="1544">
        <f t="shared" si="8"/>
        <v>111</v>
      </c>
      <c r="R39" s="3927" t="s">
        <v>13</v>
      </c>
      <c r="S39" s="3929">
        <f t="shared" si="10"/>
        <v>100</v>
      </c>
      <c r="T39" s="3927" t="s">
        <v>13</v>
      </c>
      <c r="U39" s="3929">
        <f t="shared" si="11"/>
        <v>100</v>
      </c>
      <c r="V39" s="3927" t="s">
        <v>13</v>
      </c>
      <c r="W39" s="3929">
        <f t="shared" si="12"/>
        <v>100</v>
      </c>
      <c r="X39" s="494"/>
      <c r="Y39" s="4401"/>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25"/>
      <c r="Q40" s="1544" t="str">
        <f>B40</f>
        <v>宗地面积</v>
      </c>
      <c r="R40" s="3926" t="s">
        <v>13</v>
      </c>
      <c r="S40" s="3928" t="e">
        <f t="shared" si="10"/>
        <v>#N/A</v>
      </c>
      <c r="T40" s="3926" t="s">
        <v>13</v>
      </c>
      <c r="U40" s="3928" t="e">
        <f t="shared" si="11"/>
        <v>#N/A</v>
      </c>
      <c r="V40" s="3926" t="s">
        <v>13</v>
      </c>
      <c r="W40" s="3928" t="e">
        <f t="shared" si="12"/>
        <v>#N/A</v>
      </c>
      <c r="X40" s="946"/>
      <c r="Y40" s="4401"/>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25"/>
      <c r="Q41" s="1544" t="str">
        <f t="shared" ref="Q41:Q47" si="14">B41</f>
        <v>宗地形状</v>
      </c>
      <c r="R41" s="3926" t="s">
        <v>13</v>
      </c>
      <c r="S41" s="3928">
        <f t="shared" si="10"/>
        <v>100</v>
      </c>
      <c r="T41" s="3926" t="s">
        <v>13</v>
      </c>
      <c r="U41" s="3928">
        <f t="shared" si="11"/>
        <v>100</v>
      </c>
      <c r="V41" s="3926" t="s">
        <v>13</v>
      </c>
      <c r="W41" s="3928">
        <f t="shared" si="12"/>
        <v>100</v>
      </c>
      <c r="X41" s="946"/>
      <c r="Y41" s="4401"/>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25"/>
      <c r="Q42" s="1544" t="str">
        <f t="shared" si="14"/>
        <v>临街宽度及深度</v>
      </c>
      <c r="R42" s="3926" t="s">
        <v>13</v>
      </c>
      <c r="S42" s="3928">
        <f t="shared" si="10"/>
        <v>100</v>
      </c>
      <c r="T42" s="3926" t="s">
        <v>13</v>
      </c>
      <c r="U42" s="3928">
        <f t="shared" si="11"/>
        <v>100</v>
      </c>
      <c r="V42" s="3926" t="s">
        <v>13</v>
      </c>
      <c r="W42" s="3928">
        <f t="shared" si="12"/>
        <v>100</v>
      </c>
      <c r="X42" s="946"/>
      <c r="Y42" s="4401"/>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25"/>
      <c r="Q43" s="1544" t="str">
        <f t="shared" si="14"/>
        <v>宗地开发程度</v>
      </c>
      <c r="R43" s="3925" t="s">
        <v>13</v>
      </c>
      <c r="S43" s="3702">
        <f t="shared" si="10"/>
        <v>100</v>
      </c>
      <c r="T43" s="3925" t="s">
        <v>13</v>
      </c>
      <c r="U43" s="3702">
        <f t="shared" si="11"/>
        <v>100</v>
      </c>
      <c r="V43" s="3925" t="s">
        <v>13</v>
      </c>
      <c r="W43" s="3702">
        <f t="shared" si="12"/>
        <v>100</v>
      </c>
      <c r="X43" s="493"/>
      <c r="Y43" s="4401"/>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25" t="s">
        <v>1611</v>
      </c>
      <c r="Q44" s="1544" t="str">
        <f t="shared" si="14"/>
        <v>工程地质条件</v>
      </c>
      <c r="R44" s="3926" t="s">
        <v>13</v>
      </c>
      <c r="S44" s="3928">
        <f t="shared" si="10"/>
        <v>100</v>
      </c>
      <c r="T44" s="3926" t="s">
        <v>13</v>
      </c>
      <c r="U44" s="3928">
        <f t="shared" si="11"/>
        <v>100</v>
      </c>
      <c r="V44" s="3926" t="s">
        <v>13</v>
      </c>
      <c r="W44" s="3928">
        <f t="shared" si="12"/>
        <v>100</v>
      </c>
      <c r="X44" s="946"/>
      <c r="Y44" s="4401"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25"/>
      <c r="Q45" s="1544">
        <f t="shared" si="14"/>
        <v>111</v>
      </c>
      <c r="R45" s="3926" t="s">
        <v>13</v>
      </c>
      <c r="S45" s="3928">
        <f t="shared" si="10"/>
        <v>100</v>
      </c>
      <c r="T45" s="3926" t="s">
        <v>13</v>
      </c>
      <c r="U45" s="3928">
        <f t="shared" si="11"/>
        <v>100</v>
      </c>
      <c r="V45" s="3926" t="s">
        <v>13</v>
      </c>
      <c r="W45" s="3928">
        <f t="shared" si="12"/>
        <v>100</v>
      </c>
      <c r="X45" s="946"/>
      <c r="Y45" s="4401"/>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25"/>
      <c r="Q46" s="1544">
        <f t="shared" si="14"/>
        <v>111</v>
      </c>
      <c r="R46" s="3926" t="s">
        <v>13</v>
      </c>
      <c r="S46" s="3928">
        <f t="shared" si="10"/>
        <v>100</v>
      </c>
      <c r="T46" s="3926" t="s">
        <v>13</v>
      </c>
      <c r="U46" s="3928">
        <f t="shared" si="11"/>
        <v>100</v>
      </c>
      <c r="V46" s="3926" t="s">
        <v>13</v>
      </c>
      <c r="W46" s="3928">
        <f t="shared" si="12"/>
        <v>100</v>
      </c>
      <c r="X46" s="946"/>
      <c r="Y46" s="4401"/>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25"/>
      <c r="Q47" s="1544">
        <f t="shared" si="14"/>
        <v>111</v>
      </c>
      <c r="R47" s="3927" t="s">
        <v>13</v>
      </c>
      <c r="S47" s="3929">
        <f t="shared" si="10"/>
        <v>100</v>
      </c>
      <c r="T47" s="3927" t="s">
        <v>13</v>
      </c>
      <c r="U47" s="3929">
        <f t="shared" si="11"/>
        <v>100</v>
      </c>
      <c r="V47" s="3927" t="s">
        <v>13</v>
      </c>
      <c r="W47" s="3929">
        <f t="shared" si="12"/>
        <v>100</v>
      </c>
      <c r="X47" s="494"/>
      <c r="Y47" s="4401"/>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389" t="str">
        <f>A48</f>
        <v>成交单价</v>
      </c>
      <c r="Q48" s="4389"/>
      <c r="R48" s="4390">
        <f>E48</f>
        <v>0</v>
      </c>
      <c r="S48" s="4390"/>
      <c r="T48" s="4390">
        <f>G48</f>
        <v>0</v>
      </c>
      <c r="U48" s="4390"/>
      <c r="V48" s="4390">
        <f>I48</f>
        <v>0</v>
      </c>
      <c r="W48" s="4390"/>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389" t="str">
        <f>A49</f>
        <v>比较价值（元/平方米）</v>
      </c>
      <c r="Q49" s="4389"/>
      <c r="R49" s="4390" t="e">
        <f>ROUND(PRODUCT(R48,AA9:AA47),0)</f>
        <v>#DIV/0!</v>
      </c>
      <c r="S49" s="4390"/>
      <c r="T49" s="4390" t="e">
        <f>ROUND(PRODUCT(T48,AB9:AB47),0)</f>
        <v>#DIV/0!</v>
      </c>
      <c r="U49" s="4390"/>
      <c r="V49" s="4390" t="e">
        <f>ROUND(PRODUCT(V48,AC9:AC47),0)</f>
        <v>#DIV/0!</v>
      </c>
      <c r="W49" s="4390"/>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391" t="str">
        <f>A50</f>
        <v>估价对象XX用房的比较价值（楼面单价，元/平方米）</v>
      </c>
      <c r="Q50" s="4392"/>
      <c r="R50" s="4393" t="e">
        <f>ROUND(IF(D49="简单平均",AVERAGE(R49:W49),R49*F49+T49*H49+V49*J49),0)</f>
        <v>#DIV/0!</v>
      </c>
      <c r="S50" s="4393"/>
      <c r="T50" s="4393"/>
      <c r="U50" s="4393"/>
      <c r="V50" s="4393"/>
      <c r="W50" s="4393"/>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499" t="s">
        <v>1802</v>
      </c>
      <c r="H57" s="4539"/>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73.400000000000006</v>
      </c>
      <c r="F58" s="3225" t="e">
        <f t="shared" ref="F58:F66" si="15">ROUND(B58*E58/10000,0)</f>
        <v>#DIV/0!</v>
      </c>
      <c r="G58" s="4540"/>
      <c r="H58" s="4527"/>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四级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四级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四级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四级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73.400000000000006</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08" t="s">
        <v>1685</v>
      </c>
      <c r="D6" s="4409"/>
      <c r="E6" s="4410" t="s">
        <v>1686</v>
      </c>
      <c r="F6" s="4411"/>
      <c r="G6" s="4408" t="s">
        <v>1687</v>
      </c>
      <c r="H6" s="4409"/>
      <c r="I6" s="4408" t="s">
        <v>1688</v>
      </c>
      <c r="J6" s="4409"/>
      <c r="K6" s="397" t="s">
        <v>1689</v>
      </c>
      <c r="L6" s="2018"/>
      <c r="M6" s="2019"/>
      <c r="N6" s="2019"/>
      <c r="O6" s="2019"/>
      <c r="P6" s="4412" t="s">
        <v>1690</v>
      </c>
      <c r="Q6" s="4413"/>
      <c r="R6" s="4418" t="s">
        <v>1686</v>
      </c>
      <c r="S6" s="4419"/>
      <c r="T6" s="4418" t="s">
        <v>1687</v>
      </c>
      <c r="U6" s="4419"/>
      <c r="V6" s="4424" t="s">
        <v>1688</v>
      </c>
      <c r="W6" s="4424"/>
      <c r="X6" s="946"/>
      <c r="Y6" s="4433" t="s">
        <v>1690</v>
      </c>
      <c r="Z6" s="4434"/>
      <c r="AA6" s="4405" t="s">
        <v>1686</v>
      </c>
      <c r="AB6" s="4406" t="s">
        <v>1687</v>
      </c>
      <c r="AC6" s="4405" t="s">
        <v>1688</v>
      </c>
    </row>
    <row r="7" spans="1:29" ht="15">
      <c r="A7" s="3236"/>
      <c r="B7" s="3301"/>
      <c r="C7" s="4440" t="s">
        <v>1588</v>
      </c>
      <c r="D7" s="4428"/>
      <c r="E7" s="4492" t="s">
        <v>1589</v>
      </c>
      <c r="F7" s="4445"/>
      <c r="G7" s="4440" t="s">
        <v>1590</v>
      </c>
      <c r="H7" s="4428"/>
      <c r="I7" s="4440" t="s">
        <v>1591</v>
      </c>
      <c r="J7" s="4428"/>
      <c r="K7" s="397"/>
      <c r="L7" s="2018"/>
      <c r="M7" s="2019"/>
      <c r="N7" s="2019"/>
      <c r="O7" s="2019"/>
      <c r="P7" s="4414"/>
      <c r="Q7" s="4415"/>
      <c r="R7" s="4420"/>
      <c r="S7" s="4421"/>
      <c r="T7" s="4420"/>
      <c r="U7" s="4421"/>
      <c r="V7" s="4424"/>
      <c r="W7" s="4424"/>
      <c r="X7" s="946"/>
      <c r="Y7" s="4435"/>
      <c r="Z7" s="4436"/>
      <c r="AA7" s="4406"/>
      <c r="AB7" s="4406"/>
      <c r="AC7" s="4406"/>
    </row>
    <row r="8" spans="1:29" ht="15.75" thickBot="1">
      <c r="A8" s="3302"/>
      <c r="B8" s="3303"/>
      <c r="C8" s="4541" t="s">
        <v>1834</v>
      </c>
      <c r="D8" s="4542"/>
      <c r="E8" s="4543" t="s">
        <v>1834</v>
      </c>
      <c r="F8" s="4544"/>
      <c r="G8" s="4541" t="s">
        <v>1834</v>
      </c>
      <c r="H8" s="4542"/>
      <c r="I8" s="4541" t="s">
        <v>1834</v>
      </c>
      <c r="J8" s="4542"/>
      <c r="K8" s="397" t="s">
        <v>1593</v>
      </c>
      <c r="L8" s="2018"/>
      <c r="M8" s="2019"/>
      <c r="N8" s="2019"/>
      <c r="O8" s="2019"/>
      <c r="P8" s="4416"/>
      <c r="Q8" s="4417"/>
      <c r="R8" s="4420"/>
      <c r="S8" s="4421"/>
      <c r="T8" s="4422"/>
      <c r="U8" s="4423"/>
      <c r="V8" s="4424"/>
      <c r="W8" s="4424"/>
      <c r="X8" s="946"/>
      <c r="Y8" s="4437"/>
      <c r="Z8" s="4438"/>
      <c r="AA8" s="4407"/>
      <c r="AB8" s="4407"/>
      <c r="AC8" s="4407"/>
    </row>
    <row r="9" spans="1:29" s="46" customFormat="1" ht="15.75" thickBot="1">
      <c r="A9" s="3228" t="s">
        <v>1594</v>
      </c>
      <c r="B9" s="3229"/>
      <c r="C9" s="2915">
        <f>'数据-取费表'!B2</f>
        <v>46046</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29" t="s">
        <v>1595</v>
      </c>
      <c r="Q9" s="4439"/>
      <c r="R9" s="3925" t="s">
        <v>13</v>
      </c>
      <c r="S9" s="3702">
        <f t="shared" ref="S9:S17" si="0">F9</f>
        <v>0</v>
      </c>
      <c r="T9" s="3925" t="s">
        <v>13</v>
      </c>
      <c r="U9" s="3702">
        <f t="shared" ref="U9:U17" si="1">H9</f>
        <v>0</v>
      </c>
      <c r="V9" s="3925" t="s">
        <v>13</v>
      </c>
      <c r="W9" s="3702">
        <f t="shared" ref="W9:W17" si="2">J9</f>
        <v>0</v>
      </c>
      <c r="X9" s="493"/>
      <c r="Y9" s="4431" t="s">
        <v>1595</v>
      </c>
      <c r="Z9" s="4432"/>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29" t="s">
        <v>1598</v>
      </c>
      <c r="Q10" s="4430"/>
      <c r="R10" s="3925" t="s">
        <v>13</v>
      </c>
      <c r="S10" s="3702">
        <f t="shared" si="0"/>
        <v>0</v>
      </c>
      <c r="T10" s="3925" t="s">
        <v>13</v>
      </c>
      <c r="U10" s="3702">
        <f t="shared" si="1"/>
        <v>0</v>
      </c>
      <c r="V10" s="3925" t="s">
        <v>13</v>
      </c>
      <c r="W10" s="3702">
        <f t="shared" si="2"/>
        <v>0</v>
      </c>
      <c r="X10" s="493"/>
      <c r="Y10" s="4431" t="s">
        <v>1598</v>
      </c>
      <c r="Z10" s="4432"/>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389" t="s">
        <v>1601</v>
      </c>
      <c r="Q11" s="1742" t="str">
        <f t="shared" ref="Q11:Q17" si="6">B11</f>
        <v>用途</v>
      </c>
      <c r="R11" s="3925" t="s">
        <v>13</v>
      </c>
      <c r="S11" s="3702">
        <f t="shared" si="0"/>
        <v>100</v>
      </c>
      <c r="T11" s="3925" t="s">
        <v>13</v>
      </c>
      <c r="U11" s="3702">
        <f t="shared" si="1"/>
        <v>100</v>
      </c>
      <c r="V11" s="3925" t="s">
        <v>13</v>
      </c>
      <c r="W11" s="3702">
        <f t="shared" si="2"/>
        <v>100</v>
      </c>
      <c r="X11" s="493"/>
      <c r="Y11" s="4404"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113.4</v>
      </c>
      <c r="G12" s="2920"/>
      <c r="H12" s="3897">
        <f>ROUND(100/'数据-取费表'!G16,1)</f>
        <v>113.4</v>
      </c>
      <c r="I12" s="2920"/>
      <c r="J12" s="3897">
        <f>ROUND(100/'数据-取费表'!G16,1)</f>
        <v>113.4</v>
      </c>
      <c r="K12" s="445"/>
      <c r="L12" s="2021"/>
      <c r="M12" s="2022"/>
      <c r="N12" s="2022"/>
      <c r="O12" s="2073"/>
      <c r="P12" s="4389"/>
      <c r="Q12" s="1742" t="str">
        <f t="shared" si="6"/>
        <v>土地使用年限（年）</v>
      </c>
      <c r="R12" s="3925" t="s">
        <v>13</v>
      </c>
      <c r="S12" s="3702">
        <f t="shared" si="0"/>
        <v>113.4</v>
      </c>
      <c r="T12" s="3925" t="s">
        <v>13</v>
      </c>
      <c r="U12" s="3702">
        <f t="shared" si="1"/>
        <v>113.4</v>
      </c>
      <c r="V12" s="3925" t="s">
        <v>13</v>
      </c>
      <c r="W12" s="3702">
        <f t="shared" si="2"/>
        <v>113.4</v>
      </c>
      <c r="X12" s="493"/>
      <c r="Y12" s="4404"/>
      <c r="Z12" s="28" t="str">
        <f t="shared" si="7"/>
        <v>土地使用年限（年）</v>
      </c>
      <c r="AA12" s="28">
        <f t="shared" si="3"/>
        <v>0.88183421516754845</v>
      </c>
      <c r="AB12" s="28">
        <f t="shared" si="4"/>
        <v>0.88183421516754845</v>
      </c>
      <c r="AC12" s="28">
        <f t="shared" si="5"/>
        <v>0.88183421516754845</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389"/>
      <c r="Q13" s="1742" t="str">
        <f t="shared" si="6"/>
        <v>容积率</v>
      </c>
      <c r="R13" s="3925" t="s">
        <v>13</v>
      </c>
      <c r="S13" s="3702" t="e">
        <f t="shared" si="0"/>
        <v>#N/A</v>
      </c>
      <c r="T13" s="3925" t="s">
        <v>13</v>
      </c>
      <c r="U13" s="3702" t="e">
        <f t="shared" si="1"/>
        <v>#N/A</v>
      </c>
      <c r="V13" s="3925" t="s">
        <v>13</v>
      </c>
      <c r="W13" s="3702" t="e">
        <f t="shared" si="2"/>
        <v>#N/A</v>
      </c>
      <c r="X13" s="493"/>
      <c r="Y13" s="4404"/>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389"/>
      <c r="Q14" s="1742">
        <f t="shared" si="6"/>
        <v>111</v>
      </c>
      <c r="R14" s="3925" t="s">
        <v>13</v>
      </c>
      <c r="S14" s="3702">
        <f t="shared" si="0"/>
        <v>100</v>
      </c>
      <c r="T14" s="3925" t="s">
        <v>13</v>
      </c>
      <c r="U14" s="3702">
        <f t="shared" si="1"/>
        <v>100</v>
      </c>
      <c r="V14" s="3925" t="s">
        <v>13</v>
      </c>
      <c r="W14" s="3702">
        <f t="shared" si="2"/>
        <v>100</v>
      </c>
      <c r="X14" s="493"/>
      <c r="Y14" s="4404"/>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389"/>
      <c r="Q15" s="1742">
        <f t="shared" si="6"/>
        <v>111</v>
      </c>
      <c r="R15" s="3925" t="s">
        <v>13</v>
      </c>
      <c r="S15" s="3702">
        <f t="shared" si="0"/>
        <v>100</v>
      </c>
      <c r="T15" s="3925" t="s">
        <v>13</v>
      </c>
      <c r="U15" s="3702">
        <f t="shared" si="1"/>
        <v>100</v>
      </c>
      <c r="V15" s="3925" t="s">
        <v>13</v>
      </c>
      <c r="W15" s="3702">
        <f t="shared" si="2"/>
        <v>100</v>
      </c>
      <c r="X15" s="493"/>
      <c r="Y15" s="4404"/>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389"/>
      <c r="Q16" s="1742">
        <f t="shared" si="6"/>
        <v>111</v>
      </c>
      <c r="R16" s="3925" t="s">
        <v>13</v>
      </c>
      <c r="S16" s="3702">
        <f t="shared" si="0"/>
        <v>100</v>
      </c>
      <c r="T16" s="3925" t="s">
        <v>13</v>
      </c>
      <c r="U16" s="3702">
        <f t="shared" si="1"/>
        <v>100</v>
      </c>
      <c r="V16" s="3925" t="s">
        <v>13</v>
      </c>
      <c r="W16" s="3702">
        <f t="shared" si="2"/>
        <v>100</v>
      </c>
      <c r="X16" s="493"/>
      <c r="Y16" s="4404"/>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22" t="s">
        <v>1606</v>
      </c>
      <c r="Q17" s="1544" t="str">
        <f t="shared" si="6"/>
        <v>产业集聚程度</v>
      </c>
      <c r="R17" s="3926" t="s">
        <v>13</v>
      </c>
      <c r="S17" s="3928">
        <f t="shared" si="0"/>
        <v>100</v>
      </c>
      <c r="T17" s="3926" t="s">
        <v>13</v>
      </c>
      <c r="U17" s="3928">
        <f t="shared" si="1"/>
        <v>100</v>
      </c>
      <c r="V17" s="3926" t="s">
        <v>13</v>
      </c>
      <c r="W17" s="3928">
        <f t="shared" si="2"/>
        <v>100</v>
      </c>
      <c r="X17" s="946"/>
      <c r="Y17" s="4396"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23"/>
      <c r="Q18" s="1544"/>
      <c r="R18" s="3926"/>
      <c r="S18" s="3928"/>
      <c r="T18" s="3926"/>
      <c r="U18" s="3928"/>
      <c r="V18" s="3926"/>
      <c r="W18" s="3928"/>
      <c r="X18" s="946"/>
      <c r="Y18" s="4397"/>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23"/>
      <c r="Q19" s="1544" t="str">
        <f>B19</f>
        <v>交通便捷度</v>
      </c>
      <c r="R19" s="3926" t="s">
        <v>13</v>
      </c>
      <c r="S19" s="3928">
        <f>F19</f>
        <v>100</v>
      </c>
      <c r="T19" s="3926" t="s">
        <v>13</v>
      </c>
      <c r="U19" s="3928">
        <f>H19</f>
        <v>100</v>
      </c>
      <c r="V19" s="3926" t="s">
        <v>13</v>
      </c>
      <c r="W19" s="3928">
        <f>J19</f>
        <v>100</v>
      </c>
      <c r="X19" s="946"/>
      <c r="Y19" s="4397"/>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23"/>
      <c r="Q20" s="1544"/>
      <c r="R20" s="3926"/>
      <c r="S20" s="3928"/>
      <c r="T20" s="3926"/>
      <c r="U20" s="3928"/>
      <c r="V20" s="3926"/>
      <c r="W20" s="3928"/>
      <c r="X20" s="946"/>
      <c r="Y20" s="4397"/>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23"/>
      <c r="Q21" s="1544" t="str">
        <f t="shared" ref="Q21:Q35" si="8">B21</f>
        <v>区域土地利用方向</v>
      </c>
      <c r="R21" s="3926" t="s">
        <v>13</v>
      </c>
      <c r="S21" s="3928">
        <f>F21</f>
        <v>100</v>
      </c>
      <c r="T21" s="3926" t="s">
        <v>13</v>
      </c>
      <c r="U21" s="3928">
        <f>H21</f>
        <v>100</v>
      </c>
      <c r="V21" s="3926" t="s">
        <v>13</v>
      </c>
      <c r="W21" s="3928">
        <f>J21</f>
        <v>100</v>
      </c>
      <c r="X21" s="946"/>
      <c r="Y21" s="4397"/>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23"/>
      <c r="Q22" s="1544"/>
      <c r="R22" s="3926"/>
      <c r="S22" s="3928"/>
      <c r="T22" s="3926"/>
      <c r="U22" s="3928"/>
      <c r="V22" s="3926"/>
      <c r="W22" s="3928"/>
      <c r="X22" s="946"/>
      <c r="Y22" s="4397"/>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23"/>
      <c r="Q23" s="1544" t="str">
        <f t="shared" si="8"/>
        <v>环境状况</v>
      </c>
      <c r="R23" s="3926" t="s">
        <v>13</v>
      </c>
      <c r="S23" s="3928">
        <f>F23</f>
        <v>100</v>
      </c>
      <c r="T23" s="3926" t="s">
        <v>13</v>
      </c>
      <c r="U23" s="3928">
        <f>H23</f>
        <v>100</v>
      </c>
      <c r="V23" s="3926" t="s">
        <v>13</v>
      </c>
      <c r="W23" s="3928">
        <f>J23</f>
        <v>100</v>
      </c>
      <c r="X23" s="946"/>
      <c r="Y23" s="4397"/>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23"/>
      <c r="Q24" s="1544"/>
      <c r="R24" s="3926"/>
      <c r="S24" s="3928"/>
      <c r="T24" s="3926"/>
      <c r="U24" s="3928"/>
      <c r="V24" s="3926"/>
      <c r="W24" s="3928"/>
      <c r="X24" s="946"/>
      <c r="Y24" s="4397"/>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23"/>
      <c r="Q25" s="1742" t="str">
        <f t="shared" si="8"/>
        <v>公共配套设施</v>
      </c>
      <c r="R25" s="3925" t="s">
        <v>13</v>
      </c>
      <c r="S25" s="3702">
        <f>F25</f>
        <v>100</v>
      </c>
      <c r="T25" s="3925" t="s">
        <v>13</v>
      </c>
      <c r="U25" s="3702">
        <f>H25</f>
        <v>100</v>
      </c>
      <c r="V25" s="3925" t="s">
        <v>13</v>
      </c>
      <c r="W25" s="3702">
        <f>J25</f>
        <v>100</v>
      </c>
      <c r="X25" s="493"/>
      <c r="Y25" s="4397"/>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23"/>
      <c r="Q26" s="1742"/>
      <c r="R26" s="3925"/>
      <c r="S26" s="3702"/>
      <c r="T26" s="3925"/>
      <c r="U26" s="3702"/>
      <c r="V26" s="3925"/>
      <c r="W26" s="3702"/>
      <c r="X26" s="493"/>
      <c r="Y26" s="4397"/>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23"/>
      <c r="Q27" s="1742" t="str">
        <f t="shared" ref="Q27" si="9">B27</f>
        <v>基础设施水平</v>
      </c>
      <c r="R27" s="3925" t="s">
        <v>13</v>
      </c>
      <c r="S27" s="3702">
        <f>F27</f>
        <v>100</v>
      </c>
      <c r="T27" s="3925" t="s">
        <v>13</v>
      </c>
      <c r="U27" s="3702">
        <f>H27</f>
        <v>100</v>
      </c>
      <c r="V27" s="3925" t="s">
        <v>13</v>
      </c>
      <c r="W27" s="3702">
        <f>J27</f>
        <v>100</v>
      </c>
      <c r="X27" s="493"/>
      <c r="Y27" s="4397"/>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23"/>
      <c r="Q28" s="1742"/>
      <c r="R28" s="3925"/>
      <c r="S28" s="3702"/>
      <c r="T28" s="3925"/>
      <c r="U28" s="3702"/>
      <c r="V28" s="3925"/>
      <c r="W28" s="3702"/>
      <c r="X28" s="493"/>
      <c r="Y28" s="4397"/>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23"/>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397"/>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23"/>
      <c r="Q30" s="1544" t="str">
        <f t="shared" si="8"/>
        <v>毗邻道路的类型与等级</v>
      </c>
      <c r="R30" s="3926" t="s">
        <v>13</v>
      </c>
      <c r="S30" s="3928">
        <f t="shared" si="10"/>
        <v>100</v>
      </c>
      <c r="T30" s="3926" t="s">
        <v>13</v>
      </c>
      <c r="U30" s="3928">
        <f t="shared" si="11"/>
        <v>100</v>
      </c>
      <c r="V30" s="3926" t="s">
        <v>13</v>
      </c>
      <c r="W30" s="3928">
        <f t="shared" si="12"/>
        <v>100</v>
      </c>
      <c r="X30" s="946"/>
      <c r="Y30" s="4397"/>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23"/>
      <c r="Q31" s="1544"/>
      <c r="R31" s="3926"/>
      <c r="S31" s="3928"/>
      <c r="T31" s="3926"/>
      <c r="U31" s="3928"/>
      <c r="V31" s="3926"/>
      <c r="W31" s="3928"/>
      <c r="X31" s="946"/>
      <c r="Y31" s="4397"/>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23"/>
      <c r="Q32" s="1544" t="str">
        <f t="shared" si="8"/>
        <v>土地级别</v>
      </c>
      <c r="R32" s="3926" t="s">
        <v>13</v>
      </c>
      <c r="S32" s="3928">
        <f t="shared" si="10"/>
        <v>100</v>
      </c>
      <c r="T32" s="3926" t="s">
        <v>13</v>
      </c>
      <c r="U32" s="3928">
        <f t="shared" si="11"/>
        <v>100</v>
      </c>
      <c r="V32" s="3926" t="s">
        <v>13</v>
      </c>
      <c r="W32" s="3928">
        <f t="shared" si="12"/>
        <v>100</v>
      </c>
      <c r="X32" s="946"/>
      <c r="Y32" s="4397"/>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23"/>
      <c r="Q33" s="1544">
        <f t="shared" si="8"/>
        <v>111</v>
      </c>
      <c r="R33" s="3926" t="s">
        <v>13</v>
      </c>
      <c r="S33" s="3928">
        <f t="shared" si="10"/>
        <v>100</v>
      </c>
      <c r="T33" s="3926" t="s">
        <v>13</v>
      </c>
      <c r="U33" s="3928">
        <f t="shared" si="11"/>
        <v>100</v>
      </c>
      <c r="V33" s="3926" t="s">
        <v>13</v>
      </c>
      <c r="W33" s="3928">
        <f t="shared" si="12"/>
        <v>100</v>
      </c>
      <c r="X33" s="946"/>
      <c r="Y33" s="4397"/>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24" t="s">
        <v>1611</v>
      </c>
      <c r="Q34" s="1544">
        <f t="shared" si="8"/>
        <v>111</v>
      </c>
      <c r="R34" s="3926" t="s">
        <v>13</v>
      </c>
      <c r="S34" s="3928">
        <f t="shared" si="10"/>
        <v>100</v>
      </c>
      <c r="T34" s="3926" t="s">
        <v>13</v>
      </c>
      <c r="U34" s="3928">
        <f t="shared" si="11"/>
        <v>100</v>
      </c>
      <c r="V34" s="3926" t="s">
        <v>13</v>
      </c>
      <c r="W34" s="3928">
        <f t="shared" si="12"/>
        <v>100</v>
      </c>
      <c r="X34" s="946"/>
      <c r="Y34" s="4401"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25"/>
      <c r="Q35" s="1544">
        <f t="shared" si="8"/>
        <v>111</v>
      </c>
      <c r="R35" s="3927" t="s">
        <v>13</v>
      </c>
      <c r="S35" s="3929">
        <f t="shared" si="10"/>
        <v>100</v>
      </c>
      <c r="T35" s="3927" t="s">
        <v>13</v>
      </c>
      <c r="U35" s="3929">
        <f t="shared" si="11"/>
        <v>100</v>
      </c>
      <c r="V35" s="3927" t="s">
        <v>13</v>
      </c>
      <c r="W35" s="3929">
        <f t="shared" si="12"/>
        <v>100</v>
      </c>
      <c r="X35" s="494"/>
      <c r="Y35" s="4401"/>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25"/>
      <c r="Q36" s="1544" t="str">
        <f>B36</f>
        <v>宗地面积</v>
      </c>
      <c r="R36" s="3926" t="s">
        <v>13</v>
      </c>
      <c r="S36" s="3928" t="e">
        <f t="shared" si="10"/>
        <v>#N/A</v>
      </c>
      <c r="T36" s="3926" t="s">
        <v>13</v>
      </c>
      <c r="U36" s="3928" t="e">
        <f t="shared" si="11"/>
        <v>#N/A</v>
      </c>
      <c r="V36" s="3926" t="s">
        <v>13</v>
      </c>
      <c r="W36" s="3928" t="e">
        <f t="shared" si="12"/>
        <v>#N/A</v>
      </c>
      <c r="X36" s="946"/>
      <c r="Y36" s="4401"/>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25"/>
      <c r="Q37" s="1544" t="str">
        <f t="shared" ref="Q37:Q42" si="14">B37</f>
        <v>宗地形状</v>
      </c>
      <c r="R37" s="3926" t="s">
        <v>13</v>
      </c>
      <c r="S37" s="3928">
        <f t="shared" si="10"/>
        <v>100</v>
      </c>
      <c r="T37" s="3926" t="s">
        <v>13</v>
      </c>
      <c r="U37" s="3928">
        <f t="shared" si="11"/>
        <v>100</v>
      </c>
      <c r="V37" s="3926" t="s">
        <v>13</v>
      </c>
      <c r="W37" s="3928">
        <f t="shared" si="12"/>
        <v>100</v>
      </c>
      <c r="X37" s="946"/>
      <c r="Y37" s="4401"/>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25"/>
      <c r="Q38" s="1544" t="str">
        <f t="shared" si="14"/>
        <v>宗地开发程度</v>
      </c>
      <c r="R38" s="3925" t="s">
        <v>13</v>
      </c>
      <c r="S38" s="3702">
        <f t="shared" si="10"/>
        <v>100</v>
      </c>
      <c r="T38" s="3925" t="s">
        <v>13</v>
      </c>
      <c r="U38" s="3702">
        <f t="shared" si="11"/>
        <v>100</v>
      </c>
      <c r="V38" s="3925" t="s">
        <v>13</v>
      </c>
      <c r="W38" s="3702">
        <f t="shared" si="12"/>
        <v>100</v>
      </c>
      <c r="X38" s="493"/>
      <c r="Y38" s="4401"/>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25" t="s">
        <v>1611</v>
      </c>
      <c r="Q39" s="1544" t="str">
        <f t="shared" si="14"/>
        <v>工程地质条件</v>
      </c>
      <c r="R39" s="3926" t="s">
        <v>13</v>
      </c>
      <c r="S39" s="3928">
        <f t="shared" si="10"/>
        <v>100</v>
      </c>
      <c r="T39" s="3926" t="s">
        <v>13</v>
      </c>
      <c r="U39" s="3928">
        <f t="shared" si="11"/>
        <v>100</v>
      </c>
      <c r="V39" s="3926" t="s">
        <v>13</v>
      </c>
      <c r="W39" s="3928">
        <f t="shared" si="12"/>
        <v>100</v>
      </c>
      <c r="X39" s="946"/>
      <c r="Y39" s="4401"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25"/>
      <c r="Q40" s="1544">
        <f t="shared" si="14"/>
        <v>111</v>
      </c>
      <c r="R40" s="3926" t="s">
        <v>13</v>
      </c>
      <c r="S40" s="3928">
        <f t="shared" si="10"/>
        <v>100</v>
      </c>
      <c r="T40" s="3926" t="s">
        <v>13</v>
      </c>
      <c r="U40" s="3928">
        <f t="shared" si="11"/>
        <v>100</v>
      </c>
      <c r="V40" s="3926" t="s">
        <v>13</v>
      </c>
      <c r="W40" s="3928">
        <f t="shared" si="12"/>
        <v>100</v>
      </c>
      <c r="X40" s="946"/>
      <c r="Y40" s="4401"/>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25"/>
      <c r="Q41" s="1544">
        <f t="shared" si="14"/>
        <v>111</v>
      </c>
      <c r="R41" s="3926" t="s">
        <v>13</v>
      </c>
      <c r="S41" s="3928">
        <f t="shared" si="10"/>
        <v>100</v>
      </c>
      <c r="T41" s="3926" t="s">
        <v>13</v>
      </c>
      <c r="U41" s="3928">
        <f t="shared" si="11"/>
        <v>100</v>
      </c>
      <c r="V41" s="3926" t="s">
        <v>13</v>
      </c>
      <c r="W41" s="3928">
        <f t="shared" si="12"/>
        <v>100</v>
      </c>
      <c r="X41" s="946"/>
      <c r="Y41" s="4401"/>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25"/>
      <c r="Q42" s="1544">
        <f t="shared" si="14"/>
        <v>111</v>
      </c>
      <c r="R42" s="3927" t="s">
        <v>13</v>
      </c>
      <c r="S42" s="3929">
        <f t="shared" si="10"/>
        <v>100</v>
      </c>
      <c r="T42" s="3927" t="s">
        <v>13</v>
      </c>
      <c r="U42" s="3929">
        <f t="shared" si="11"/>
        <v>100</v>
      </c>
      <c r="V42" s="3927" t="s">
        <v>13</v>
      </c>
      <c r="W42" s="3929">
        <f t="shared" si="12"/>
        <v>100</v>
      </c>
      <c r="X42" s="494"/>
      <c r="Y42" s="4401"/>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389" t="str">
        <f>A43</f>
        <v>成交单价</v>
      </c>
      <c r="Q43" s="4389"/>
      <c r="R43" s="4390">
        <f>E43</f>
        <v>0</v>
      </c>
      <c r="S43" s="4390"/>
      <c r="T43" s="4390">
        <f>G43</f>
        <v>0</v>
      </c>
      <c r="U43" s="4390"/>
      <c r="V43" s="4390">
        <f>I43</f>
        <v>0</v>
      </c>
      <c r="W43" s="4390"/>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389" t="str">
        <f>A44</f>
        <v>比较价值（元/平方米）</v>
      </c>
      <c r="Q44" s="4389"/>
      <c r="R44" s="4390" t="e">
        <f>ROUND(PRODUCT(R43,AA9:AA42),0)</f>
        <v>#DIV/0!</v>
      </c>
      <c r="S44" s="4390"/>
      <c r="T44" s="4390" t="e">
        <f>ROUND(PRODUCT(T43,AB9:AB42),0)</f>
        <v>#DIV/0!</v>
      </c>
      <c r="U44" s="4390"/>
      <c r="V44" s="4390" t="e">
        <f>ROUND(PRODUCT(V43,AC9:AC42),0)</f>
        <v>#DIV/0!</v>
      </c>
      <c r="W44" s="4390"/>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391" t="str">
        <f>A45</f>
        <v>估价对象XX用房的比较价值（楼面单价，元/平方米）</v>
      </c>
      <c r="Q45" s="4392"/>
      <c r="R45" s="4393" t="e">
        <f>ROUND(IF(D44="简单平均",AVERAGE(R44:W44),R44*F44+T44*H44+V44*J44),0)</f>
        <v>#DIV/0!</v>
      </c>
      <c r="S45" s="4393"/>
      <c r="T45" s="4393"/>
      <c r="U45" s="4393"/>
      <c r="V45" s="4393"/>
      <c r="W45" s="4393"/>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499" t="s">
        <v>1802</v>
      </c>
      <c r="H52" s="4539"/>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73.400000000000006</v>
      </c>
      <c r="F53" s="3206" t="e">
        <f t="shared" ref="F53:F62" si="15">ROUND(B53*E53/10000,0)</f>
        <v>#DIV/0!</v>
      </c>
      <c r="G53" s="4540"/>
      <c r="H53" s="4527"/>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四级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四级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四级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四级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-1</v>
      </c>
      <c r="C2" s="172" t="s">
        <v>1537</v>
      </c>
      <c r="D2" s="3473"/>
      <c r="E2" s="2089"/>
      <c r="G2" s="2089"/>
      <c r="H2" s="2089"/>
      <c r="I2" s="2089"/>
      <c r="J2" s="2089"/>
      <c r="K2" s="2089"/>
    </row>
    <row r="3" spans="1:33" ht="18" customHeight="1">
      <c r="A3" s="99" t="s">
        <v>1436</v>
      </c>
      <c r="B3" s="2601">
        <f ca="1">ROUND(B2*10000/IF(C1="",'数据-汇总表'!E3,INDIRECT("'数据-取费表'!K"&amp;$K$1)),0)</f>
        <v>-136</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45" t="s">
        <v>3381</v>
      </c>
      <c r="D6" s="4545"/>
      <c r="E6" s="4545"/>
      <c r="F6" s="4545"/>
      <c r="G6" s="4545"/>
      <c r="H6" s="4545"/>
      <c r="I6" s="4545"/>
      <c r="J6" s="4545"/>
      <c r="K6" s="454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9" t="s">
        <v>3394</v>
      </c>
      <c r="B11" s="4550"/>
      <c r="C11" s="4550"/>
      <c r="D11" s="4550"/>
      <c r="E11" s="4550"/>
      <c r="F11" s="4550"/>
      <c r="G11" s="4550"/>
      <c r="H11" s="4550"/>
      <c r="I11" s="4550"/>
      <c r="J11" s="4550"/>
      <c r="K11" s="4551"/>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0.0305V</v>
      </c>
      <c r="D14" s="174"/>
      <c r="E14" s="174"/>
      <c r="F14" s="2757">
        <f>IF(项目基本情况!B8="出让",0,'数据-取费表'!B49+'数据-取费表'!B50)</f>
        <v>3.0499999999999999E-2</v>
      </c>
      <c r="G14" s="3375" t="s">
        <v>3679</v>
      </c>
      <c r="H14" s="25"/>
      <c r="I14" s="25"/>
      <c r="J14" s="25"/>
      <c r="K14" s="27"/>
    </row>
    <row r="15" spans="1:33" s="551" customFormat="1" ht="13.5" customHeight="1">
      <c r="A15" s="2570">
        <v>3</v>
      </c>
      <c r="B15" s="2740" t="s">
        <v>3382</v>
      </c>
      <c r="C15" s="2750">
        <f ca="1">SUM(C16:C19)+C25+C26</f>
        <v>1</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1</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1</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0</v>
      </c>
      <c r="F21" s="2786"/>
      <c r="G21" s="187"/>
      <c r="H21" s="187"/>
      <c r="I21" s="187"/>
      <c r="J21" s="187"/>
      <c r="K21" s="1912"/>
    </row>
    <row r="22" spans="1:33" s="551" customFormat="1" ht="13.5" customHeight="1">
      <c r="A22" s="2784" t="s">
        <v>3391</v>
      </c>
      <c r="B22" s="2785" t="s">
        <v>3402</v>
      </c>
      <c r="C22" s="2792">
        <f ca="1">ROUND(D22*E22/10000,0)</f>
        <v>1</v>
      </c>
      <c r="D22" s="2794">
        <f ca="1">IF(C1="",'数据-汇总表'!E6,IF(INDIRECT("'数据-取费表'!c"&amp;$K$1)="住宅",INDIRECT("'数据-取费表'!s"&amp;$K$1),INDIRECT("'数据-取费表'!k"&amp;$K$1)+INDIRECT("'数据-取费表'!s"&amp;$K$1)))</f>
        <v>73.400000000000006</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73.400000000000006</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73.400000000000006</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0.01</v>
      </c>
      <c r="G25" s="2742"/>
      <c r="H25" s="2742"/>
      <c r="I25" s="2742"/>
      <c r="J25" s="2742"/>
      <c r="K25" s="2773"/>
    </row>
    <row r="26" spans="1:33" s="552" customFormat="1" ht="13.5" customHeight="1">
      <c r="A26" s="2739" t="s">
        <v>3386</v>
      </c>
      <c r="B26" s="2782" t="s">
        <v>3400</v>
      </c>
      <c r="C26" s="2754">
        <f ca="1">ROUND(C16*F26,0)</f>
        <v>0</v>
      </c>
      <c r="D26" s="553"/>
      <c r="E26" s="557"/>
      <c r="F26" s="2758">
        <f>'数据-取费表'!B37</f>
        <v>0</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0</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0.02</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47" t="s">
        <v>3393</v>
      </c>
      <c r="H32" s="4547"/>
      <c r="I32" s="4547"/>
      <c r="J32" s="4547"/>
      <c r="K32" s="4548"/>
    </row>
    <row r="33" spans="1:11" s="177" customFormat="1" ht="13.5" customHeight="1">
      <c r="A33" s="2570">
        <v>8</v>
      </c>
      <c r="B33" s="2744" t="s">
        <v>1562</v>
      </c>
      <c r="C33" s="2793" t="str">
        <f ca="1">C35&amp;"+"&amp;C34&amp;"V"</f>
        <v>0+0V</v>
      </c>
      <c r="D33" s="173"/>
      <c r="E33" s="174"/>
      <c r="F33" s="2761">
        <f ca="1">IF(C1="",'数据-取费表'!Q16,INDIRECT("'数据-取费表'!q"&amp;$K$1))</f>
        <v>0.15</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0</v>
      </c>
      <c r="D35" s="175"/>
      <c r="E35" s="553"/>
      <c r="F35" s="2760"/>
      <c r="G35" s="55"/>
      <c r="H35" s="55"/>
      <c r="I35" s="55"/>
      <c r="J35" s="55"/>
      <c r="K35" s="2768"/>
    </row>
    <row r="36" spans="1:11" s="549" customFormat="1" ht="15">
      <c r="A36" s="2570">
        <v>9</v>
      </c>
      <c r="B36" s="2765" t="s">
        <v>3392</v>
      </c>
      <c r="C36" s="2749">
        <f ca="1">ROUND((C13-C15-C27-C28-C31-C35-C32)/(1+F14+C30+C34),0)</f>
        <v>-1</v>
      </c>
      <c r="D36" s="2766"/>
      <c r="E36" s="2766"/>
      <c r="F36" s="173"/>
      <c r="G36" s="2803" t="s">
        <v>3404</v>
      </c>
      <c r="H36" s="2766"/>
      <c r="I36" s="2766"/>
      <c r="J36" s="2766"/>
      <c r="K36" s="2767"/>
    </row>
    <row r="37" spans="1:11" s="2892" customFormat="1" ht="15.75" thickBot="1">
      <c r="A37" s="2779">
        <v>10</v>
      </c>
      <c r="B37" s="2780" t="s">
        <v>3486</v>
      </c>
      <c r="C37" s="2889">
        <f ca="1">ROUND(C36*(1+F37),0)</f>
        <v>-1</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0.0305V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1</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1</v>
      </c>
      <c r="D53" s="654"/>
      <c r="E53" s="654"/>
      <c r="F53" s="654"/>
      <c r="G53" s="654"/>
    </row>
    <row r="54" spans="1:7" s="3357" customFormat="1">
      <c r="A54" s="3555" t="s">
        <v>3390</v>
      </c>
      <c r="B54" s="3556" t="s">
        <v>3516</v>
      </c>
      <c r="C54" s="3557">
        <f ca="1">C20</f>
        <v>1</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0</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0+0V</v>
      </c>
      <c r="D64" s="654"/>
      <c r="E64" s="654"/>
      <c r="F64" s="654"/>
      <c r="G64" s="654"/>
    </row>
    <row r="65" spans="1:7" s="3357" customFormat="1">
      <c r="A65" s="654">
        <v>5</v>
      </c>
      <c r="B65" s="2783" t="s">
        <v>3506</v>
      </c>
      <c r="C65" s="2753">
        <f ca="1">C36</f>
        <v>-1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t="e">
        <f ca="1">SUMIF(B6:B13,"&lt;&gt;#ref!",B6:B13)</f>
        <v>#DIV/0!</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t="e">
        <f ca="1">SUMIF(INDIRECT("'"&amp;A6&amp;"'"&amp;"!A:A"),"总价",INDIRECT("'"&amp;A6&amp;"'"&amp;"!B:B"))</f>
        <v>#DIV/0!</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t="e">
        <f>C30</f>
        <v>#DIV/0!</v>
      </c>
      <c r="C2" s="1478" t="s">
        <v>1850</v>
      </c>
      <c r="D2" s="68" t="s">
        <v>1851</v>
      </c>
      <c r="E2" s="2545" t="s">
        <v>660</v>
      </c>
      <c r="F2" s="68" t="s">
        <v>1852</v>
      </c>
      <c r="G2" s="69" t="str">
        <f>IF(E2="商业",项目基本情况!B37,IF(E2="办公",项目基本情况!C37,IF(E2="住宅",项目基本情况!D37,IF(E2="工业",项目基本情况!E37,项目基本情况!F37))))</f>
        <v>四级</v>
      </c>
      <c r="H2" s="68" t="s">
        <v>1853</v>
      </c>
      <c r="I2" s="69" t="str">
        <f>IF(E2="商业",项目基本情况!B38,IF(E2="办公",项目基本情况!C38,IF(E2="住宅",项目基本情况!D38,IF(E2="工业",项目基本情况!E38,项目基本情况!F38))))</f>
        <v>Ⅳ-11</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t="e">
        <f t="shared" ref="T2:T16" si="0">ROUND($C$5*$C$22*$C$23*$C$24*S2*$C$28,0)</f>
        <v>#DIV/0!</v>
      </c>
      <c r="U2" s="837"/>
      <c r="V2" s="2488" t="e">
        <f>ROUND(T2*U2/10000,0)</f>
        <v>#DIV/0!</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c r="G3" s="3030">
        <f>IF(F3="宗地容积率",'数据-汇总表'!I4,IF(F3="估价对象容积率",'数据-汇总表'!I6,'数据-汇总表'!I7))</f>
        <v>0</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t="e">
        <f t="shared" si="0"/>
        <v>#DIV/0!</v>
      </c>
      <c r="U3" s="837"/>
      <c r="V3" s="2488" t="e">
        <f t="shared" ref="V3:V16" si="1">ROUND(T3*U3/10000,0)</f>
        <v>#DIV/0!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19290</v>
      </c>
      <c r="N4" s="582">
        <f>SUMPRODUCT((因素修正幅度!B55:B86=I2)*(因素修正幅度!C3:G3=E2)*(因素修正幅度!C55:G86))</f>
        <v>7.2999999999999995E-2</v>
      </c>
      <c r="O4" s="783"/>
      <c r="P4" s="783"/>
      <c r="Q4" s="783"/>
      <c r="R4" s="836">
        <v>3</v>
      </c>
      <c r="S4" s="2488">
        <f>ROUND(SUMPRODUCT((B106:B110=R4)*(C105:N105=G2)*(C106:N110)),4)</f>
        <v>1.0004999999999999</v>
      </c>
      <c r="T4" s="2488" t="e">
        <f t="shared" si="0"/>
        <v>#DIV/0!</v>
      </c>
      <c r="U4" s="837"/>
      <c r="V4" s="248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t="e">
        <f>ROUND(IF(E2="商业",C6*C7*C17+C20,(IF(E2="住宅",C6*C13*C17+C20,IF(E2="办公",C6*C12*C17+C20,C6+C20)))),0)</f>
        <v>#DIV/0!</v>
      </c>
      <c r="D5" s="3032">
        <f>ROUND(C6*C17+C20,0)</f>
        <v>19164</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8">
        <f>ROUND(SUMPRODUCT((B106:B110=R5)*(C105:N105=G2)*(C106:N110)),4)</f>
        <v>0.88239999999999996</v>
      </c>
      <c r="T5" s="2488" t="e">
        <f t="shared" si="0"/>
        <v>#DIV/0!</v>
      </c>
      <c r="U5" s="837"/>
      <c r="V5" s="2488" t="e">
        <f t="shared" si="1"/>
        <v>#DIV/0!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19290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t="e">
        <f t="shared" si="0"/>
        <v>#DIV/0!</v>
      </c>
      <c r="U6" s="837"/>
      <c r="V6" s="2488" t="e">
        <f t="shared" si="1"/>
        <v>#DIV/0!</v>
      </c>
      <c r="W6" s="840"/>
      <c r="X6" s="840"/>
      <c r="Y6" s="840"/>
      <c r="Z6" s="840"/>
      <c r="AA6" s="840"/>
      <c r="AB6" s="840"/>
      <c r="AC6" s="1487"/>
      <c r="AD6" s="1488"/>
      <c r="AE6" s="1488"/>
      <c r="AF6" s="1488"/>
      <c r="AG6" s="1488"/>
      <c r="AH6" s="1488"/>
      <c r="AI6" s="1488"/>
      <c r="AJ6" s="1489"/>
    </row>
    <row r="7" spans="1:36" ht="24.75" thickBot="1">
      <c r="A7" s="2443" t="s">
        <v>3126</v>
      </c>
      <c r="B7" s="1497" t="s">
        <v>1867</v>
      </c>
      <c r="C7" s="3035"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t="e">
        <f t="shared" si="0"/>
        <v>#DIV/0!</v>
      </c>
      <c r="U7" s="837"/>
      <c r="V7" s="2488" t="e">
        <f t="shared" si="1"/>
        <v>#DIV/0!</v>
      </c>
      <c r="W7" s="947" t="s">
        <v>1870</v>
      </c>
      <c r="X7" s="838" t="str">
        <f>G2</f>
        <v>四级</v>
      </c>
      <c r="Y7" s="838" t="s">
        <v>1871</v>
      </c>
      <c r="Z7" s="839">
        <f>G3</f>
        <v>0</v>
      </c>
      <c r="AA7" s="840"/>
      <c r="AB7" s="840"/>
      <c r="AC7" s="841"/>
      <c r="AD7" s="842"/>
      <c r="AE7" s="842"/>
      <c r="AF7" s="842"/>
      <c r="AG7" s="842"/>
      <c r="AH7" s="842"/>
      <c r="AI7" s="842"/>
      <c r="AJ7" s="843"/>
    </row>
    <row r="8" spans="1:36" ht="15">
      <c r="A8" s="2440"/>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t="e">
        <f t="shared" si="0"/>
        <v>#DIV/0!</v>
      </c>
      <c r="U8" s="837"/>
      <c r="V8" s="2488" t="e">
        <f t="shared" si="1"/>
        <v>#DIV/0!</v>
      </c>
      <c r="W8" s="4556" t="s">
        <v>1875</v>
      </c>
      <c r="X8" s="4557"/>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t="e">
        <f t="shared" si="0"/>
        <v>#DIV/0!</v>
      </c>
      <c r="U9" s="837"/>
      <c r="V9" s="2488" t="e">
        <f t="shared" si="1"/>
        <v>#DIV/0!</v>
      </c>
      <c r="W9" s="4558"/>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t="e">
        <f t="shared" si="0"/>
        <v>#DIV/0!</v>
      </c>
      <c r="U10" s="837"/>
      <c r="V10" s="2488" t="e">
        <f t="shared" si="1"/>
        <v>#DIV/0!</v>
      </c>
      <c r="W10" s="4558"/>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t="e">
        <f t="shared" si="0"/>
        <v>#DIV/0!</v>
      </c>
      <c r="U11" s="837"/>
      <c r="V11" s="2488" t="e">
        <f t="shared" si="1"/>
        <v>#DIV/0!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t="e">
        <f t="shared" si="0"/>
        <v>#DIV/0!</v>
      </c>
      <c r="U12" s="837"/>
      <c r="V12" s="2488" t="e">
        <f t="shared" si="1"/>
        <v>#DIV/0!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t="e">
        <f t="shared" si="0"/>
        <v>#DIV/0!</v>
      </c>
      <c r="U13" s="837"/>
      <c r="V13" s="2488" t="e">
        <f t="shared" si="1"/>
        <v>#DIV/0!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t="e">
        <f t="shared" si="0"/>
        <v>#DIV/0!</v>
      </c>
      <c r="U14" s="837"/>
      <c r="V14" s="2488" t="e">
        <f t="shared" si="1"/>
        <v>#DIV/0!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t="e">
        <f t="shared" si="0"/>
        <v>#DIV/0!</v>
      </c>
      <c r="U15" s="837"/>
      <c r="V15" s="2488" t="e">
        <f t="shared" si="1"/>
        <v>#DIV/0!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t="e">
        <f t="shared" si="0"/>
        <v>#DIV/0!</v>
      </c>
      <c r="U16" s="837"/>
      <c r="V16" s="2488" t="e">
        <f t="shared" si="1"/>
        <v>#DIV/0!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559" t="s">
        <v>3143</v>
      </c>
      <c r="B20" s="66" t="s">
        <v>1909</v>
      </c>
      <c r="C20" s="3041">
        <f>ROUND(IF(F21="与级别开发程度一致",0,(G21-E21)/C21),0)</f>
        <v>-126</v>
      </c>
      <c r="D20" s="2472" t="s">
        <v>1913</v>
      </c>
      <c r="E20" s="2473"/>
      <c r="F20" s="4565" t="s">
        <v>1910</v>
      </c>
      <c r="G20" s="4566"/>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15" thickBot="1">
      <c r="A21" s="4560"/>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15.7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46046</v>
      </c>
      <c r="H23" s="2474"/>
      <c r="I23" s="2475" t="str">
        <f>IF(H23="季度增幅（自定义）",SUMIF(N25:N28,E2,O25:O28),"")</f>
        <v/>
      </c>
      <c r="J23" s="2560"/>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0.89300000000000002</v>
      </c>
      <c r="D24" s="1534" t="s">
        <v>1922</v>
      </c>
      <c r="E24" s="928">
        <f>存贷款利率!E28/100</f>
        <v>4.3499999999999997E-2</v>
      </c>
      <c r="F24" s="1534" t="s">
        <v>1914</v>
      </c>
      <c r="G24" s="533">
        <f>SUMIF(M30:Q30,E2,M33:Q33)</f>
        <v>5.5E-2</v>
      </c>
      <c r="H24" s="1534" t="s">
        <v>1923</v>
      </c>
      <c r="I24" s="534">
        <f>SUMIF('数据-取费表'!C6:C15,E2,'数据-取费表'!F6:F15)/COUNTIF('数据-取费表'!C6:C15,E2)</f>
        <v>28.98</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c r="C25" s="324">
        <f>IF(B25="容积率修正",IF(G3&lt;10,D26,J26),C27)</f>
        <v>0</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t="e">
        <f>IF(B25="容积率修正",E33+SUM(I37:I42),SUM(V2:V16)+SUM(I37:I42))</f>
        <v>#DIV/0!</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t="e">
        <f>E34+SUM(I37:I42)</f>
        <v>#DIV/0!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t="e">
        <f>ROUND(C5*C22*C23*C24*C25*C28,0)</f>
        <v>#DIV/0!</v>
      </c>
      <c r="D33" s="3053"/>
      <c r="E33" s="3055" t="e">
        <f>ROUND(C33*D33/10000,0)</f>
        <v>#DIV/0!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t="e">
        <f>ROUND(IF(B25="楼层修正",SUM(V2:V16)*M40,C34*D34/10000),0)</f>
        <v>#DIV/0!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63"/>
      <c r="B37" s="1584" t="s">
        <v>1951</v>
      </c>
      <c r="C37" s="3050">
        <f>ROUND(D5*C22*C23*C24*C28*F37,0)</f>
        <v>0</v>
      </c>
      <c r="D37" s="3053"/>
      <c r="E37" s="3052">
        <f>ROUND(C37*D37/10000,0)</f>
        <v>0</v>
      </c>
      <c r="F37" s="3017">
        <f>SUMIF(修正!A59:A70,G2,修正!B59:B70)</f>
        <v>0.6</v>
      </c>
      <c r="G37" s="3052">
        <f>ROUND(IF(E2="工业",C37*$M$42,C37*$M$41),0)</f>
        <v>0</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64"/>
      <c r="B38" s="1516" t="s">
        <v>1952</v>
      </c>
      <c r="C38" s="3050">
        <f>ROUND(D5*C22*C23*C24*C28*F38,0)</f>
        <v>0</v>
      </c>
      <c r="D38" s="3053"/>
      <c r="E38" s="3052">
        <f t="shared" ref="E38:E42" si="4">ROUND(C38*D38/10000,0)</f>
        <v>0</v>
      </c>
      <c r="F38" s="3017">
        <f>SUMIF(修正!A59:A70,G2,修正!C59:C70)</f>
        <v>0.3</v>
      </c>
      <c r="G38" s="3052">
        <f>ROUND(IF(E2="工业",C38*$M$42,C38*$M$41),0)</f>
        <v>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64"/>
      <c r="B39" s="1516" t="s">
        <v>3146</v>
      </c>
      <c r="C39" s="3050">
        <f>ROUND(D5*C22*C23*C24*C28*F39,0)</f>
        <v>0</v>
      </c>
      <c r="D39" s="3053"/>
      <c r="E39" s="3052">
        <f t="shared" si="4"/>
        <v>0</v>
      </c>
      <c r="F39" s="3017">
        <f>SUMIF(修正!A59:A70,G2,修正!D59:D70)</f>
        <v>0.25</v>
      </c>
      <c r="G39" s="3052">
        <f>ROUND(IF(E2="工业",C39*$M$42,C39*$M$41),0)</f>
        <v>0</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0</v>
      </c>
      <c r="D40" s="3053"/>
      <c r="E40" s="3052">
        <f t="shared" si="4"/>
        <v>0</v>
      </c>
      <c r="F40" s="3048">
        <f>SUMIF(修正!A59:A70,G2,修正!E59:E70)</f>
        <v>0.25</v>
      </c>
      <c r="G40" s="3052">
        <f>ROUND(IF(E2="工业",C40*$M$42,C40*$M$41),0)</f>
        <v>0</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c r="D50" s="735">
        <f t="shared" ref="D50:D58" si="7">SUMIF($J$49:$N$49,C50,J50:N50)</f>
        <v>0</v>
      </c>
      <c r="E50" s="517">
        <f>ROUND(SUM(D50:D58),4)</f>
        <v>0</v>
      </c>
      <c r="F50" s="1338">
        <f>IF(E2="商业",SUMIF(L1:L12,G2,N1:N12),"——")</f>
        <v>7.2999999999999995E-2</v>
      </c>
      <c r="G50" s="733"/>
      <c r="H50" s="736">
        <f t="shared" ref="H50:H58" si="8">IFERROR(ROUNDDOWN($F$50*I50/2,4),"——")</f>
        <v>1.09E-2</v>
      </c>
      <c r="I50" s="249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c r="D51" s="735">
        <f t="shared" si="7"/>
        <v>0</v>
      </c>
      <c r="E51" s="518"/>
      <c r="F51" s="1338"/>
      <c r="G51" s="733"/>
      <c r="H51" s="736">
        <f t="shared" si="8"/>
        <v>8.0000000000000002E-3</v>
      </c>
      <c r="I51" s="249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5" t="s">
        <v>3156</v>
      </c>
      <c r="B52" s="942">
        <f>估价对象房地状况!C19</f>
        <v>0</v>
      </c>
      <c r="C52" s="1519"/>
      <c r="D52" s="735">
        <f t="shared" si="7"/>
        <v>0</v>
      </c>
      <c r="E52" s="518"/>
      <c r="F52" s="1338"/>
      <c r="G52" s="733"/>
      <c r="H52" s="736">
        <f t="shared" si="8"/>
        <v>4.3E-3</v>
      </c>
      <c r="I52" s="249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1969</v>
      </c>
      <c r="B53" s="1603" t="s">
        <v>1970</v>
      </c>
      <c r="C53" s="1519"/>
      <c r="D53" s="735">
        <f t="shared" si="7"/>
        <v>0</v>
      </c>
      <c r="E53" s="518"/>
      <c r="F53" s="1338"/>
      <c r="G53" s="733"/>
      <c r="H53" s="736">
        <f t="shared" si="8"/>
        <v>1.8E-3</v>
      </c>
      <c r="I53" s="249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f>估价对象房地状况!C24</f>
        <v>0</v>
      </c>
      <c r="C54" s="1519"/>
      <c r="D54" s="735">
        <f t="shared" si="7"/>
        <v>0</v>
      </c>
      <c r="E54" s="518"/>
      <c r="F54" s="1338"/>
      <c r="G54" s="733"/>
      <c r="H54" s="736">
        <f t="shared" si="8"/>
        <v>2.8999999999999998E-3</v>
      </c>
      <c r="I54" s="249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1972</v>
      </c>
      <c r="B55" s="1604" t="s">
        <v>1973</v>
      </c>
      <c r="C55" s="1519"/>
      <c r="D55" s="735">
        <f t="shared" si="7"/>
        <v>0</v>
      </c>
      <c r="E55" s="518"/>
      <c r="F55" s="1338"/>
      <c r="G55" s="733"/>
      <c r="H55" s="736">
        <f t="shared" si="8"/>
        <v>1.8E-3</v>
      </c>
      <c r="I55" s="249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1974</v>
      </c>
      <c r="B56" s="922">
        <f>估价对象房地状况!C21</f>
        <v>0</v>
      </c>
      <c r="C56" s="1519"/>
      <c r="D56" s="735">
        <f t="shared" si="7"/>
        <v>0</v>
      </c>
      <c r="E56" s="518"/>
      <c r="F56" s="1338"/>
      <c r="G56" s="733"/>
      <c r="H56" s="736">
        <f t="shared" si="8"/>
        <v>1.8E-3</v>
      </c>
      <c r="I56" s="249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1975</v>
      </c>
      <c r="B57" s="942">
        <f>估价对象房地状况!C22</f>
        <v>0</v>
      </c>
      <c r="C57" s="1519"/>
      <c r="D57" s="735">
        <f t="shared" si="7"/>
        <v>0</v>
      </c>
      <c r="E57" s="518"/>
      <c r="F57" s="1338"/>
      <c r="G57" s="733"/>
      <c r="H57" s="736">
        <f t="shared" si="8"/>
        <v>2.8999999999999998E-3</v>
      </c>
      <c r="I57" s="249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c r="D58" s="735">
        <f t="shared" si="7"/>
        <v>0</v>
      </c>
      <c r="E58" s="519"/>
      <c r="F58" s="1338"/>
      <c r="G58" s="733"/>
      <c r="H58" s="736">
        <f t="shared" si="8"/>
        <v>1.8E-3</v>
      </c>
      <c r="I58" s="249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49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2"/>
        <v>0</v>
      </c>
      <c r="E62" s="518"/>
      <c r="F62" s="1338"/>
      <c r="G62" s="733"/>
      <c r="H62" s="736" t="str">
        <f t="shared" si="13"/>
        <v>——</v>
      </c>
      <c r="I62" s="249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2"/>
        <v>0</v>
      </c>
      <c r="E63" s="518"/>
      <c r="F63" s="1338"/>
      <c r="G63" s="733"/>
      <c r="H63" s="736" t="str">
        <f t="shared" si="13"/>
        <v>——</v>
      </c>
      <c r="I63" s="249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2"/>
        <v>0</v>
      </c>
      <c r="E64" s="518"/>
      <c r="F64" s="1338"/>
      <c r="G64" s="733"/>
      <c r="H64" s="736" t="str">
        <f t="shared" si="13"/>
        <v>——</v>
      </c>
      <c r="I64" s="249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2"/>
        <v>0</v>
      </c>
      <c r="E65" s="518"/>
      <c r="F65" s="1338"/>
      <c r="G65" s="733"/>
      <c r="H65" s="736" t="str">
        <f t="shared" si="13"/>
        <v>——</v>
      </c>
      <c r="I65" s="249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2"/>
        <v>0</v>
      </c>
      <c r="E66" s="518"/>
      <c r="F66" s="1338"/>
      <c r="G66" s="733"/>
      <c r="H66" s="736" t="str">
        <f t="shared" si="13"/>
        <v>——</v>
      </c>
      <c r="I66" s="249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2"/>
        <v>0</v>
      </c>
      <c r="E67" s="518"/>
      <c r="F67" s="1338"/>
      <c r="G67" s="733"/>
      <c r="H67" s="736" t="str">
        <f t="shared" si="13"/>
        <v>——</v>
      </c>
      <c r="I67" s="249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2"/>
        <v>0</v>
      </c>
      <c r="E68" s="518"/>
      <c r="F68" s="1338"/>
      <c r="G68" s="733"/>
      <c r="H68" s="736" t="str">
        <f t="shared" si="13"/>
        <v>——</v>
      </c>
      <c r="I68" s="249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2"/>
        <v>0</v>
      </c>
      <c r="E69" s="519"/>
      <c r="F69" s="1338"/>
      <c r="G69" s="733"/>
      <c r="H69" s="736" t="str">
        <f t="shared" si="13"/>
        <v>——</v>
      </c>
      <c r="I69" s="249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7"/>
        <v>0</v>
      </c>
      <c r="E73" s="520"/>
      <c r="F73" s="1338"/>
      <c r="G73" s="733"/>
      <c r="H73" s="736" t="str">
        <f t="shared" si="18"/>
        <v>——</v>
      </c>
      <c r="I73" s="249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7"/>
        <v>0</v>
      </c>
      <c r="E74" s="520"/>
      <c r="F74" s="1338"/>
      <c r="G74" s="733"/>
      <c r="H74" s="736" t="str">
        <f t="shared" si="18"/>
        <v>——</v>
      </c>
      <c r="I74" s="249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7"/>
        <v>0</v>
      </c>
      <c r="E75" s="520"/>
      <c r="F75" s="1338"/>
      <c r="G75" s="733"/>
      <c r="H75" s="736" t="str">
        <f t="shared" si="18"/>
        <v>——</v>
      </c>
      <c r="I75" s="249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1974</v>
      </c>
      <c r="B76" s="922">
        <f>估价对象房地状况!C21</f>
        <v>0</v>
      </c>
      <c r="C76" s="1519"/>
      <c r="D76" s="735">
        <f t="shared" si="17"/>
        <v>0</v>
      </c>
      <c r="E76" s="520"/>
      <c r="F76" s="1338"/>
      <c r="G76" s="733"/>
      <c r="H76" s="736" t="str">
        <f t="shared" si="18"/>
        <v>——</v>
      </c>
      <c r="I76" s="249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1975</v>
      </c>
      <c r="B77" s="922">
        <f>估价对象房地状况!C22</f>
        <v>0</v>
      </c>
      <c r="C77" s="1519"/>
      <c r="D77" s="735">
        <f t="shared" si="17"/>
        <v>0</v>
      </c>
      <c r="E77" s="520"/>
      <c r="F77" s="1338"/>
      <c r="G77" s="733"/>
      <c r="H77" s="736" t="str">
        <f t="shared" si="18"/>
        <v>——</v>
      </c>
      <c r="I77" s="249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1972</v>
      </c>
      <c r="B78" s="1604" t="s">
        <v>1973</v>
      </c>
      <c r="C78" s="1519"/>
      <c r="D78" s="735">
        <f t="shared" si="17"/>
        <v>0</v>
      </c>
      <c r="E78" s="520"/>
      <c r="F78" s="1338"/>
      <c r="G78" s="733"/>
      <c r="H78" s="736" t="str">
        <f t="shared" si="18"/>
        <v>——</v>
      </c>
      <c r="I78" s="249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1976</v>
      </c>
      <c r="B79" s="1602">
        <f>估价对象房地状况!C20</f>
        <v>0</v>
      </c>
      <c r="C79" s="1519"/>
      <c r="D79" s="735">
        <f t="shared" si="17"/>
        <v>0</v>
      </c>
      <c r="E79" s="520"/>
      <c r="F79" s="1338"/>
      <c r="G79" s="733"/>
      <c r="H79" s="736" t="str">
        <f t="shared" si="18"/>
        <v>——</v>
      </c>
      <c r="I79" s="2493">
        <v>0.12</v>
      </c>
      <c r="J79" s="734">
        <f t="shared" si="19"/>
        <v>0</v>
      </c>
      <c r="K79" s="734">
        <f t="shared" si="20"/>
        <v>0</v>
      </c>
      <c r="L79" s="734">
        <v>0</v>
      </c>
      <c r="M79" s="734">
        <f t="shared" si="21"/>
        <v>0</v>
      </c>
      <c r="N79" s="734">
        <f t="shared" si="21"/>
        <v>0</v>
      </c>
      <c r="Z79" s="1477"/>
      <c r="AA79" s="1527"/>
      <c r="AG79" s="785"/>
      <c r="AK79" s="1527"/>
    </row>
    <row r="80" spans="1:37" ht="24.75" thickBot="1">
      <c r="A80" s="1606" t="s">
        <v>1983</v>
      </c>
      <c r="B80" s="1610"/>
      <c r="C80" s="1519"/>
      <c r="D80" s="735">
        <f t="shared" si="17"/>
        <v>0</v>
      </c>
      <c r="E80" s="521"/>
      <c r="F80" s="1338"/>
      <c r="G80" s="733"/>
      <c r="H80" s="736" t="str">
        <f t="shared" si="18"/>
        <v>——</v>
      </c>
      <c r="I80" s="2494">
        <v>0.05</v>
      </c>
      <c r="J80" s="734">
        <f t="shared" si="19"/>
        <v>0</v>
      </c>
      <c r="K80" s="734">
        <f t="shared" si="20"/>
        <v>0</v>
      </c>
      <c r="L80" s="734">
        <v>0</v>
      </c>
      <c r="M80" s="734">
        <f t="shared" si="21"/>
        <v>0</v>
      </c>
      <c r="N80" s="734">
        <f t="shared" si="21"/>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1968</v>
      </c>
      <c r="B84" s="942">
        <f>估价对象房地状况!G16</f>
        <v>0</v>
      </c>
      <c r="C84" s="1519"/>
      <c r="D84" s="735">
        <f t="shared" si="22"/>
        <v>0</v>
      </c>
      <c r="E84" s="520"/>
      <c r="F84" s="1338"/>
      <c r="G84" s="733"/>
      <c r="H84" s="736" t="str">
        <f t="shared" si="23"/>
        <v>——</v>
      </c>
      <c r="I84" s="2493">
        <v>0.3</v>
      </c>
      <c r="J84" s="734">
        <f t="shared" si="24"/>
        <v>0</v>
      </c>
      <c r="K84" s="734">
        <f t="shared" si="25"/>
        <v>0</v>
      </c>
      <c r="L84" s="734">
        <v>0</v>
      </c>
      <c r="M84" s="734">
        <f t="shared" si="26"/>
        <v>0</v>
      </c>
      <c r="N84" s="734">
        <f t="shared" si="26"/>
        <v>0</v>
      </c>
      <c r="Z84" s="1477"/>
      <c r="AA84" s="1527"/>
      <c r="AG84" s="785"/>
      <c r="AK84" s="1527"/>
    </row>
    <row r="85" spans="1:37" ht="36">
      <c r="A85" s="2495" t="s">
        <v>3157</v>
      </c>
      <c r="B85" s="942">
        <f>估价对象房地状况!G17</f>
        <v>0</v>
      </c>
      <c r="C85" s="1519"/>
      <c r="D85" s="735">
        <f t="shared" si="22"/>
        <v>0</v>
      </c>
      <c r="E85" s="520"/>
      <c r="F85" s="1338"/>
      <c r="G85" s="733"/>
      <c r="H85" s="736" t="str">
        <f t="shared" si="23"/>
        <v>——</v>
      </c>
      <c r="I85" s="2493">
        <v>0.1</v>
      </c>
      <c r="J85" s="734">
        <f t="shared" si="24"/>
        <v>0</v>
      </c>
      <c r="K85" s="734">
        <f t="shared" si="25"/>
        <v>0</v>
      </c>
      <c r="L85" s="734">
        <v>0</v>
      </c>
      <c r="M85" s="734">
        <f t="shared" si="26"/>
        <v>0</v>
      </c>
      <c r="N85" s="734">
        <f t="shared" si="26"/>
        <v>0</v>
      </c>
      <c r="Z85" s="1477"/>
      <c r="AA85" s="1527"/>
      <c r="AG85" s="785"/>
      <c r="AK85" s="1527"/>
    </row>
    <row r="86" spans="1:37" ht="14.25">
      <c r="A86" s="1599" t="s">
        <v>1982</v>
      </c>
      <c r="B86" s="942">
        <f>估价对象房地状况!G22</f>
        <v>0</v>
      </c>
      <c r="C86" s="1519"/>
      <c r="D86" s="735">
        <f t="shared" si="22"/>
        <v>0</v>
      </c>
      <c r="E86" s="520"/>
      <c r="F86" s="1338"/>
      <c r="G86" s="733"/>
      <c r="H86" s="736" t="str">
        <f t="shared" si="23"/>
        <v>——</v>
      </c>
      <c r="I86" s="2493">
        <v>0.05</v>
      </c>
      <c r="J86" s="734">
        <f t="shared" si="24"/>
        <v>0</v>
      </c>
      <c r="K86" s="734">
        <f t="shared" si="25"/>
        <v>0</v>
      </c>
      <c r="L86" s="734">
        <v>0</v>
      </c>
      <c r="M86" s="734">
        <f t="shared" si="26"/>
        <v>0</v>
      </c>
      <c r="N86" s="734">
        <f t="shared" si="26"/>
        <v>0</v>
      </c>
      <c r="Z86" s="1477"/>
      <c r="AA86" s="1527"/>
      <c r="AG86" s="785"/>
      <c r="AK86" s="1527"/>
    </row>
    <row r="87" spans="1:37" ht="24">
      <c r="A87" s="1599" t="s">
        <v>1974</v>
      </c>
      <c r="B87" s="922">
        <f>估价对象房地状况!G19</f>
        <v>0</v>
      </c>
      <c r="C87" s="1519"/>
      <c r="D87" s="735">
        <f t="shared" si="22"/>
        <v>0</v>
      </c>
      <c r="E87" s="520"/>
      <c r="F87" s="1338"/>
      <c r="G87" s="733"/>
      <c r="H87" s="736" t="str">
        <f t="shared" si="23"/>
        <v>——</v>
      </c>
      <c r="I87" s="2493">
        <v>0.06</v>
      </c>
      <c r="J87" s="734">
        <f t="shared" si="24"/>
        <v>0</v>
      </c>
      <c r="K87" s="734">
        <f t="shared" si="25"/>
        <v>0</v>
      </c>
      <c r="L87" s="734">
        <v>0</v>
      </c>
      <c r="M87" s="734">
        <f t="shared" si="26"/>
        <v>0</v>
      </c>
      <c r="N87" s="734">
        <f t="shared" si="26"/>
        <v>0</v>
      </c>
    </row>
    <row r="88" spans="1:37" ht="24">
      <c r="A88" s="1599" t="s">
        <v>1975</v>
      </c>
      <c r="B88" s="922">
        <f>估价对象房地状况!G20</f>
        <v>0</v>
      </c>
      <c r="C88" s="1519"/>
      <c r="D88" s="735">
        <f t="shared" si="22"/>
        <v>0</v>
      </c>
      <c r="E88" s="520"/>
      <c r="F88" s="1338"/>
      <c r="G88" s="733"/>
      <c r="H88" s="736" t="str">
        <f t="shared" si="23"/>
        <v>——</v>
      </c>
      <c r="I88" s="2493">
        <v>0.12</v>
      </c>
      <c r="J88" s="734">
        <f t="shared" si="24"/>
        <v>0</v>
      </c>
      <c r="K88" s="734">
        <f t="shared" si="25"/>
        <v>0</v>
      </c>
      <c r="L88" s="734">
        <v>0</v>
      </c>
      <c r="M88" s="734">
        <f t="shared" si="26"/>
        <v>0</v>
      </c>
      <c r="N88" s="734">
        <f t="shared" si="26"/>
        <v>0</v>
      </c>
    </row>
    <row r="89" spans="1:37" ht="24">
      <c r="A89" s="1599" t="s">
        <v>1972</v>
      </c>
      <c r="B89" s="1604" t="s">
        <v>1986</v>
      </c>
      <c r="C89" s="1519"/>
      <c r="D89" s="735">
        <f t="shared" si="22"/>
        <v>0</v>
      </c>
      <c r="E89" s="520"/>
      <c r="F89" s="1338"/>
      <c r="G89" s="733"/>
      <c r="H89" s="736" t="str">
        <f t="shared" si="23"/>
        <v>——</v>
      </c>
      <c r="I89" s="2493">
        <v>0.06</v>
      </c>
      <c r="J89" s="734">
        <f t="shared" si="24"/>
        <v>0</v>
      </c>
      <c r="K89" s="734">
        <f t="shared" si="25"/>
        <v>0</v>
      </c>
      <c r="L89" s="734">
        <v>0</v>
      </c>
      <c r="M89" s="734">
        <f t="shared" si="26"/>
        <v>0</v>
      </c>
      <c r="N89" s="734">
        <f t="shared" si="26"/>
        <v>0</v>
      </c>
    </row>
    <row r="90" spans="1:37" ht="15" thickBot="1">
      <c r="A90" s="1606" t="s">
        <v>1987</v>
      </c>
      <c r="B90" s="1611">
        <f>估价对象房地状况!G18</f>
        <v>0</v>
      </c>
      <c r="C90" s="1519"/>
      <c r="D90" s="735">
        <f t="shared" si="22"/>
        <v>0</v>
      </c>
      <c r="E90" s="521"/>
      <c r="F90" s="1338"/>
      <c r="G90" s="733"/>
      <c r="H90" s="736" t="str">
        <f t="shared" si="23"/>
        <v>——</v>
      </c>
      <c r="I90" s="2494">
        <v>0.05</v>
      </c>
      <c r="J90" s="734">
        <f t="shared" si="24"/>
        <v>0</v>
      </c>
      <c r="K90" s="734">
        <f t="shared" si="25"/>
        <v>0</v>
      </c>
      <c r="L90" s="734">
        <v>0</v>
      </c>
      <c r="M90" s="734">
        <f t="shared" si="26"/>
        <v>0</v>
      </c>
      <c r="N90" s="734">
        <f t="shared" si="26"/>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7">K93+$G93</f>
        <v>0</v>
      </c>
      <c r="K93" s="1544">
        <f t="shared" ref="K93:K101" si="28">$L93+$G93</f>
        <v>0</v>
      </c>
      <c r="L93" s="1544">
        <v>0</v>
      </c>
      <c r="M93" s="1544">
        <f t="shared" ref="M93:N101" si="29">L93-$G93</f>
        <v>0</v>
      </c>
      <c r="N93" s="1544">
        <f t="shared" si="29"/>
        <v>0</v>
      </c>
    </row>
    <row r="94" spans="1:37" ht="14.25">
      <c r="A94" s="2505" t="s">
        <v>3160</v>
      </c>
      <c r="B94" s="2496">
        <f>估价对象房地状况!C18</f>
        <v>0</v>
      </c>
      <c r="C94" s="1519"/>
      <c r="D94" s="1892">
        <f t="shared" ref="D94:D101" si="30">SUMIF($J$60:$N$60,C94,J94:N94)</f>
        <v>0</v>
      </c>
      <c r="E94" s="2509"/>
      <c r="F94" s="1338"/>
      <c r="G94" s="2499"/>
      <c r="H94" s="2544" t="str">
        <f>IFERROR(ROUNDDOWN($F$93*I94/2,4),"——")</f>
        <v>——</v>
      </c>
      <c r="I94" s="2493">
        <v>0.26</v>
      </c>
      <c r="J94" s="1544">
        <f t="shared" si="27"/>
        <v>0</v>
      </c>
      <c r="K94" s="1544">
        <f t="shared" si="28"/>
        <v>0</v>
      </c>
      <c r="L94" s="1544">
        <v>0</v>
      </c>
      <c r="M94" s="1544">
        <f t="shared" si="29"/>
        <v>0</v>
      </c>
      <c r="N94" s="1544">
        <f t="shared" si="29"/>
        <v>0</v>
      </c>
    </row>
    <row r="95" spans="1:37" ht="36">
      <c r="A95" s="2495" t="s">
        <v>3156</v>
      </c>
      <c r="B95" s="2496">
        <f>估价对象房地状况!C19</f>
        <v>0</v>
      </c>
      <c r="C95" s="1519"/>
      <c r="D95" s="1892">
        <f t="shared" si="30"/>
        <v>0</v>
      </c>
      <c r="E95" s="2509"/>
      <c r="F95" s="1338"/>
      <c r="G95" s="2499"/>
      <c r="H95" s="2544" t="str">
        <f t="shared" ref="H95:H101" si="31">IFERROR(ROUNDDOWN($F$93*I95/2,4),"——")</f>
        <v>——</v>
      </c>
      <c r="I95" s="2493">
        <v>0.11</v>
      </c>
      <c r="J95" s="1544">
        <f t="shared" si="27"/>
        <v>0</v>
      </c>
      <c r="K95" s="1544">
        <f t="shared" si="28"/>
        <v>0</v>
      </c>
      <c r="L95" s="1544">
        <v>0</v>
      </c>
      <c r="M95" s="1544">
        <f t="shared" si="29"/>
        <v>0</v>
      </c>
      <c r="N95" s="1544">
        <f t="shared" si="29"/>
        <v>0</v>
      </c>
    </row>
    <row r="96" spans="1:37" ht="36.75">
      <c r="A96" s="2505" t="s">
        <v>3161</v>
      </c>
      <c r="B96" s="2511" t="s">
        <v>3172</v>
      </c>
      <c r="C96" s="1519"/>
      <c r="D96" s="1892">
        <f t="shared" si="30"/>
        <v>0</v>
      </c>
      <c r="E96" s="2509"/>
      <c r="F96" s="1338"/>
      <c r="G96" s="2499"/>
      <c r="H96" s="2544" t="str">
        <f t="shared" si="31"/>
        <v>——</v>
      </c>
      <c r="I96" s="2493">
        <v>0.05</v>
      </c>
      <c r="J96" s="1544">
        <f t="shared" si="27"/>
        <v>0</v>
      </c>
      <c r="K96" s="1544">
        <f t="shared" si="28"/>
        <v>0</v>
      </c>
      <c r="L96" s="1544">
        <v>0</v>
      </c>
      <c r="M96" s="1544">
        <f t="shared" si="29"/>
        <v>0</v>
      </c>
      <c r="N96" s="1544">
        <f t="shared" si="29"/>
        <v>0</v>
      </c>
    </row>
    <row r="97" spans="1:14" ht="24">
      <c r="A97" s="2505" t="s">
        <v>3162</v>
      </c>
      <c r="B97" s="2496">
        <f>估价对象房地状况!C24</f>
        <v>0</v>
      </c>
      <c r="C97" s="1519"/>
      <c r="D97" s="1892">
        <f t="shared" si="30"/>
        <v>0</v>
      </c>
      <c r="E97" s="2509"/>
      <c r="F97" s="1338"/>
      <c r="G97" s="2499"/>
      <c r="H97" s="2544" t="str">
        <f t="shared" si="31"/>
        <v>——</v>
      </c>
      <c r="I97" s="2493">
        <v>0.05</v>
      </c>
      <c r="J97" s="1544">
        <f t="shared" si="27"/>
        <v>0</v>
      </c>
      <c r="K97" s="1544">
        <f t="shared" si="28"/>
        <v>0</v>
      </c>
      <c r="L97" s="1544">
        <v>0</v>
      </c>
      <c r="M97" s="1544">
        <f t="shared" si="29"/>
        <v>0</v>
      </c>
      <c r="N97" s="1544">
        <f t="shared" si="29"/>
        <v>0</v>
      </c>
    </row>
    <row r="98" spans="1:14" ht="24">
      <c r="A98" s="2505" t="s">
        <v>3163</v>
      </c>
      <c r="B98" s="2512" t="s">
        <v>3173</v>
      </c>
      <c r="C98" s="1519"/>
      <c r="D98" s="1892">
        <f t="shared" si="30"/>
        <v>0</v>
      </c>
      <c r="E98" s="2509"/>
      <c r="F98" s="1338"/>
      <c r="G98" s="2499"/>
      <c r="H98" s="2544" t="str">
        <f t="shared" si="31"/>
        <v>——</v>
      </c>
      <c r="I98" s="2493">
        <v>0.06</v>
      </c>
      <c r="J98" s="1544">
        <f t="shared" si="27"/>
        <v>0</v>
      </c>
      <c r="K98" s="1544">
        <f t="shared" si="28"/>
        <v>0</v>
      </c>
      <c r="L98" s="1544">
        <v>0</v>
      </c>
      <c r="M98" s="1544">
        <f t="shared" si="29"/>
        <v>0</v>
      </c>
      <c r="N98" s="1544">
        <f t="shared" si="29"/>
        <v>0</v>
      </c>
    </row>
    <row r="99" spans="1:14" ht="24">
      <c r="A99" s="2505" t="s">
        <v>3164</v>
      </c>
      <c r="B99" s="2496">
        <f>估价对象房地状况!C21</f>
        <v>0</v>
      </c>
      <c r="C99" s="1519"/>
      <c r="D99" s="1892">
        <f t="shared" si="30"/>
        <v>0</v>
      </c>
      <c r="E99" s="2509"/>
      <c r="F99" s="1338"/>
      <c r="G99" s="2499"/>
      <c r="H99" s="2544" t="str">
        <f t="shared" si="31"/>
        <v>——</v>
      </c>
      <c r="I99" s="2493">
        <v>0.06</v>
      </c>
      <c r="J99" s="1544">
        <f t="shared" si="27"/>
        <v>0</v>
      </c>
      <c r="K99" s="1544">
        <f t="shared" si="28"/>
        <v>0</v>
      </c>
      <c r="L99" s="1544">
        <v>0</v>
      </c>
      <c r="M99" s="1544">
        <f t="shared" si="29"/>
        <v>0</v>
      </c>
      <c r="N99" s="1544">
        <f t="shared" si="29"/>
        <v>0</v>
      </c>
    </row>
    <row r="100" spans="1:14" ht="24">
      <c r="A100" s="2505" t="s">
        <v>3165</v>
      </c>
      <c r="B100" s="2496">
        <f>估价对象房地状况!C22</f>
        <v>0</v>
      </c>
      <c r="C100" s="1519"/>
      <c r="D100" s="1892">
        <f t="shared" si="30"/>
        <v>0</v>
      </c>
      <c r="E100" s="2509"/>
      <c r="F100" s="1338"/>
      <c r="G100" s="2499"/>
      <c r="H100" s="2544" t="str">
        <f t="shared" si="31"/>
        <v>——</v>
      </c>
      <c r="I100" s="2493">
        <v>0.09</v>
      </c>
      <c r="J100" s="1544">
        <f t="shared" si="27"/>
        <v>0</v>
      </c>
      <c r="K100" s="1544">
        <f t="shared" si="28"/>
        <v>0</v>
      </c>
      <c r="L100" s="1544">
        <v>0</v>
      </c>
      <c r="M100" s="1544">
        <f t="shared" si="29"/>
        <v>0</v>
      </c>
      <c r="N100" s="1544">
        <f t="shared" si="29"/>
        <v>0</v>
      </c>
    </row>
    <row r="101" spans="1:14" ht="24.75" thickBot="1">
      <c r="A101" s="2506" t="s">
        <v>3166</v>
      </c>
      <c r="B101" s="2513">
        <f>估价对象房地状况!C20</f>
        <v>0</v>
      </c>
      <c r="C101" s="1519"/>
      <c r="D101" s="1892">
        <f t="shared" si="30"/>
        <v>0</v>
      </c>
      <c r="E101" s="2510"/>
      <c r="F101" s="1338"/>
      <c r="G101" s="2499"/>
      <c r="H101" s="2544" t="str">
        <f t="shared" si="31"/>
        <v>——</v>
      </c>
      <c r="I101" s="2494">
        <v>7.0000000000000007E-2</v>
      </c>
      <c r="J101" s="1544">
        <f t="shared" si="27"/>
        <v>0</v>
      </c>
      <c r="K101" s="1544">
        <f t="shared" si="28"/>
        <v>0</v>
      </c>
      <c r="L101" s="1544">
        <v>0</v>
      </c>
      <c r="M101" s="1544">
        <f t="shared" si="29"/>
        <v>0</v>
      </c>
      <c r="N101" s="1544">
        <f t="shared" si="29"/>
        <v>0</v>
      </c>
    </row>
    <row r="103" spans="1:14">
      <c r="A103" s="4561" t="s">
        <v>3181</v>
      </c>
      <c r="B103" s="4561"/>
      <c r="C103" s="4561"/>
      <c r="D103" s="4561"/>
      <c r="E103" s="4561"/>
      <c r="F103" s="4561"/>
      <c r="G103" s="4561"/>
      <c r="H103" s="4561"/>
      <c r="I103" s="4561"/>
      <c r="J103" s="4561"/>
      <c r="K103" s="1330"/>
      <c r="L103" s="1330"/>
      <c r="M103" s="1330"/>
      <c r="N103" s="1330"/>
    </row>
    <row r="104" spans="1:14">
      <c r="A104" s="4562" t="s">
        <v>3182</v>
      </c>
      <c r="B104" s="4562" t="s">
        <v>3183</v>
      </c>
      <c r="C104" s="2515" t="s">
        <v>3184</v>
      </c>
      <c r="D104" s="2516"/>
      <c r="E104" s="2516"/>
      <c r="F104" s="2516"/>
      <c r="G104" s="2516"/>
      <c r="H104" s="2516"/>
      <c r="I104" s="2516"/>
      <c r="J104" s="2517"/>
      <c r="K104" s="2518"/>
      <c r="L104" s="2518"/>
      <c r="M104" s="2518"/>
      <c r="N104" s="2518"/>
    </row>
    <row r="105" spans="1:14">
      <c r="A105" s="4562"/>
      <c r="B105" s="4562"/>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552"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553"/>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553"/>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553"/>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553"/>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553"/>
      <c r="B111" s="2519" t="s">
        <v>3155</v>
      </c>
      <c r="C111" s="2520">
        <f>$I$3</f>
        <v>0</v>
      </c>
      <c r="D111" s="2520">
        <f t="shared" ref="D111:M111" si="32">$I$3</f>
        <v>0</v>
      </c>
      <c r="E111" s="2520">
        <f t="shared" si="32"/>
        <v>0</v>
      </c>
      <c r="F111" s="2520">
        <f t="shared" si="32"/>
        <v>0</v>
      </c>
      <c r="G111" s="2520">
        <f t="shared" si="32"/>
        <v>0</v>
      </c>
      <c r="H111" s="2520">
        <f t="shared" si="32"/>
        <v>0</v>
      </c>
      <c r="I111" s="2520">
        <f t="shared" si="32"/>
        <v>0</v>
      </c>
      <c r="J111" s="2520">
        <f t="shared" si="32"/>
        <v>0</v>
      </c>
      <c r="K111" s="2520">
        <f t="shared" si="32"/>
        <v>0</v>
      </c>
      <c r="L111" s="2520">
        <f t="shared" si="32"/>
        <v>0</v>
      </c>
      <c r="M111" s="2520">
        <f t="shared" si="32"/>
        <v>0</v>
      </c>
      <c r="N111" s="2520">
        <f>$I$3</f>
        <v>0</v>
      </c>
    </row>
    <row r="112" spans="1:14">
      <c r="A112" s="4554"/>
      <c r="B112" s="2519">
        <v>6</v>
      </c>
      <c r="C112" s="2514">
        <f>(-0.5556*(C111^2)-0.2719*C111+8944)*(10^(-4))</f>
        <v>0.89440000000000008</v>
      </c>
      <c r="D112" s="2514">
        <f>(-0.5556*(D111^2)-0.2719*D111+8944)*(10^(-4))</f>
        <v>0.89440000000000008</v>
      </c>
      <c r="E112" s="2514">
        <f>(-0.7912*(E111^2)-11.3794*E111+8482)*(10^(-4))</f>
        <v>0.84820000000000007</v>
      </c>
      <c r="F112" s="2514">
        <f t="shared" ref="F112:I112" si="33">(-0.7912*(F111^2)-11.3794*F111+8482)*(10^(-4))</f>
        <v>0.84820000000000007</v>
      </c>
      <c r="G112" s="2514">
        <f t="shared" si="33"/>
        <v>0.84820000000000007</v>
      </c>
      <c r="H112" s="2514">
        <f t="shared" si="33"/>
        <v>0.84820000000000007</v>
      </c>
      <c r="I112" s="2514">
        <f t="shared" si="33"/>
        <v>0.84820000000000007</v>
      </c>
      <c r="J112" s="2514">
        <f>(-0.989*(J111^2)-63.78*J111+7771)*(10^(-4))</f>
        <v>0.77710000000000001</v>
      </c>
      <c r="K112" s="2514">
        <f t="shared" ref="K112:N112" si="34">(-0.989*(K111^2)-63.78*K111+7771)*(10^(-4))</f>
        <v>0.77710000000000001</v>
      </c>
      <c r="L112" s="2514">
        <f t="shared" si="34"/>
        <v>0.77710000000000001</v>
      </c>
      <c r="M112" s="2514">
        <f t="shared" si="34"/>
        <v>0.77710000000000001</v>
      </c>
      <c r="N112" s="2514">
        <f t="shared" si="34"/>
        <v>0.77710000000000001</v>
      </c>
    </row>
    <row r="113" spans="1:14">
      <c r="A113" s="4555" t="s">
        <v>3198</v>
      </c>
      <c r="B113" s="4555"/>
      <c r="C113" s="4555"/>
      <c r="D113" s="4555"/>
      <c r="E113" s="4555"/>
      <c r="F113" s="4555"/>
      <c r="G113" s="4555"/>
      <c r="H113" s="4555"/>
      <c r="I113" s="4555"/>
      <c r="J113" s="4555"/>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四级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5">I118</f>
        <v>0.84860000000000002</v>
      </c>
      <c r="K118" s="2514">
        <f t="shared" si="35"/>
        <v>0.84860000000000002</v>
      </c>
      <c r="L118" s="2514">
        <f t="shared" si="35"/>
        <v>0.84860000000000002</v>
      </c>
      <c r="M118" s="2534">
        <f t="shared" si="35"/>
        <v>0.84860000000000002</v>
      </c>
      <c r="N118" s="2522"/>
    </row>
    <row r="119" spans="1:14">
      <c r="A119" s="2482" t="s">
        <v>3216</v>
      </c>
      <c r="B119" s="2514">
        <f>ROUND(0.993-0.0112*B116,4)</f>
        <v>0.99299999999999999</v>
      </c>
      <c r="C119" s="2514">
        <f>B119</f>
        <v>0.99299999999999999</v>
      </c>
      <c r="D119" s="2514">
        <f>ROUND(0.9415-0.0142*B116,4)</f>
        <v>0.9415</v>
      </c>
      <c r="E119" s="2514">
        <f t="shared" ref="E119:H120" si="36">D119</f>
        <v>0.9415</v>
      </c>
      <c r="F119" s="2514">
        <f t="shared" si="36"/>
        <v>0.9415</v>
      </c>
      <c r="G119" s="2514">
        <f t="shared" si="36"/>
        <v>0.9415</v>
      </c>
      <c r="H119" s="2514">
        <f t="shared" si="36"/>
        <v>0.9415</v>
      </c>
      <c r="I119" s="2514">
        <f>ROUND(0.838-0.0182*B116,4)</f>
        <v>0.83799999999999997</v>
      </c>
      <c r="J119" s="2514">
        <f t="shared" si="35"/>
        <v>0.83799999999999997</v>
      </c>
      <c r="K119" s="2514">
        <f t="shared" si="35"/>
        <v>0.83799999999999997</v>
      </c>
      <c r="L119" s="2514">
        <f t="shared" si="35"/>
        <v>0.83799999999999997</v>
      </c>
      <c r="M119" s="2534">
        <f t="shared" si="35"/>
        <v>0.83799999999999997</v>
      </c>
      <c r="N119" s="2522"/>
    </row>
    <row r="120" spans="1:14">
      <c r="A120" s="2482" t="s">
        <v>3217</v>
      </c>
      <c r="B120" s="2514">
        <f>ROUND(0.9448-0.0115*B116,4)</f>
        <v>0.94479999999999997</v>
      </c>
      <c r="C120" s="2514">
        <f>B120</f>
        <v>0.94479999999999997</v>
      </c>
      <c r="D120" s="2514">
        <f>ROUND(0.937-0.0145*B116,4)</f>
        <v>0.93700000000000006</v>
      </c>
      <c r="E120" s="2514">
        <f t="shared" si="36"/>
        <v>0.93700000000000006</v>
      </c>
      <c r="F120" s="2514">
        <f t="shared" si="36"/>
        <v>0.93700000000000006</v>
      </c>
      <c r="G120" s="2514">
        <f t="shared" si="36"/>
        <v>0.93700000000000006</v>
      </c>
      <c r="H120" s="2514">
        <f t="shared" si="36"/>
        <v>0.93700000000000006</v>
      </c>
      <c r="I120" s="2514">
        <f>ROUND(0.7965-0.0185*B116,4)</f>
        <v>0.79649999999999999</v>
      </c>
      <c r="J120" s="2514">
        <f t="shared" si="35"/>
        <v>0.79649999999999999</v>
      </c>
      <c r="K120" s="2514">
        <f t="shared" si="35"/>
        <v>0.79649999999999999</v>
      </c>
      <c r="L120" s="2514">
        <f t="shared" si="35"/>
        <v>0.79649999999999999</v>
      </c>
      <c r="M120" s="2534">
        <f t="shared" si="35"/>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5"/>
        <v>0.59050000000000002</v>
      </c>
      <c r="K121" s="2536">
        <f t="shared" si="35"/>
        <v>0.59050000000000002</v>
      </c>
      <c r="L121" s="2536">
        <f t="shared" si="35"/>
        <v>0.59050000000000002</v>
      </c>
      <c r="M121" s="2537">
        <f t="shared" si="35"/>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7">D122</f>
        <v>0.89549999999999996</v>
      </c>
      <c r="F122" s="2514">
        <f t="shared" si="37"/>
        <v>0.89549999999999996</v>
      </c>
      <c r="G122" s="2514">
        <f t="shared" si="37"/>
        <v>0.89549999999999996</v>
      </c>
      <c r="H122" s="2514">
        <f t="shared" si="37"/>
        <v>0.89549999999999996</v>
      </c>
      <c r="I122" s="2514">
        <f>ROUND(0.7632-0.0166*B116,4)</f>
        <v>0.76319999999999999</v>
      </c>
      <c r="J122" s="2514">
        <f t="shared" si="35"/>
        <v>0.76319999999999999</v>
      </c>
      <c r="K122" s="2514">
        <f t="shared" si="35"/>
        <v>0.76319999999999999</v>
      </c>
      <c r="L122" s="2514">
        <f t="shared" si="35"/>
        <v>0.76319999999999999</v>
      </c>
      <c r="M122" s="2534">
        <f t="shared" si="35"/>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7"/>
      <c r="C2" s="4187"/>
      <c r="D2" s="4187"/>
      <c r="E2" s="4187"/>
    </row>
    <row r="3" spans="1:5" ht="18">
      <c r="A3" s="4188" t="str">
        <f>IF(项目基本情况!B9="房地产市场价值","估价结果一览表（市场价值不需“结果表-1”）","估价结果一览表")</f>
        <v>估价结果一览表</v>
      </c>
      <c r="B3" s="4188"/>
      <c r="C3" s="4188"/>
      <c r="D3" s="4188"/>
      <c r="E3" s="4188"/>
    </row>
    <row r="4" spans="1:5" ht="19.5" thickBot="1">
      <c r="A4" s="1072"/>
      <c r="B4" s="4186" t="s">
        <v>903</v>
      </c>
      <c r="C4" s="4186"/>
      <c r="D4" s="4186"/>
      <c r="E4" s="1072"/>
    </row>
    <row r="5" spans="1:5" ht="16.5" thickTop="1">
      <c r="B5" s="4184" t="s">
        <v>895</v>
      </c>
      <c r="C5" s="1073" t="s">
        <v>896</v>
      </c>
      <c r="D5" s="568">
        <f ca="1">结果表!H101</f>
        <v>203.8245</v>
      </c>
    </row>
    <row r="6" spans="1:5" ht="15.75">
      <c r="B6" s="4184"/>
      <c r="C6" s="1073" t="s">
        <v>897</v>
      </c>
      <c r="D6" s="568" t="str">
        <f ca="1">NUMBERSTRING(INT(D5*10000),2)&amp;"元整"</f>
        <v>贰佰零叁万捌仟贰佰肆拾伍元整</v>
      </c>
    </row>
    <row r="7" spans="1:5" ht="15.75">
      <c r="B7" s="4189"/>
      <c r="C7" s="1074" t="s">
        <v>898</v>
      </c>
      <c r="D7" s="569">
        <f ca="1">结果表!H102</f>
        <v>27769</v>
      </c>
    </row>
    <row r="8" spans="1:5" ht="15.75">
      <c r="B8" s="4190" t="str">
        <f>结果表!E103</f>
        <v>2.估价师知悉的法定优先受偿款</v>
      </c>
      <c r="C8" s="1075" t="s">
        <v>899</v>
      </c>
      <c r="D8" s="569">
        <f>结果表!H103</f>
        <v>0</v>
      </c>
    </row>
    <row r="9" spans="1:5" ht="15.75">
      <c r="B9" s="4192"/>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83" t="str">
        <f>结果表!E107</f>
        <v>3.房地产抵押价值</v>
      </c>
      <c r="C13" s="1078" t="s">
        <v>896</v>
      </c>
      <c r="D13" s="571">
        <f ca="1">结果表!H107</f>
        <v>203.8245</v>
      </c>
    </row>
    <row r="14" spans="1:5" ht="15.75">
      <c r="B14" s="4184"/>
      <c r="C14" s="1073" t="s">
        <v>897</v>
      </c>
      <c r="D14" s="568" t="str">
        <f ca="1">NUMBERSTRING(INT(D13*10000),2)&amp;"元整"</f>
        <v>贰佰零叁万捌仟贰佰肆拾伍元整</v>
      </c>
    </row>
    <row r="15" spans="1:5" ht="15">
      <c r="B15" s="4189"/>
      <c r="C15" s="1074" t="s">
        <v>907</v>
      </c>
      <c r="D15" s="576">
        <f ca="1">结果表!H108</f>
        <v>27769</v>
      </c>
    </row>
    <row r="16" spans="1:5" ht="15">
      <c r="B16" s="4190" t="str">
        <f>结果表!E109</f>
        <v>——</v>
      </c>
      <c r="C16" s="1078" t="s">
        <v>908</v>
      </c>
      <c r="D16" s="1079" t="str">
        <f>结果表!H109</f>
        <v>——</v>
      </c>
    </row>
    <row r="17" spans="1:5" ht="15.75">
      <c r="B17" s="4191"/>
      <c r="C17" s="1073" t="s">
        <v>909</v>
      </c>
      <c r="D17" s="568" t="e">
        <f>NUMBERSTRING(INT(D16*10000),2)&amp;"元整"</f>
        <v>#VALUE!</v>
      </c>
    </row>
    <row r="18" spans="1:5" ht="15">
      <c r="B18" s="4192"/>
      <c r="C18" s="1074" t="s">
        <v>898</v>
      </c>
      <c r="D18" s="576" t="str">
        <f>结果表!H110</f>
        <v>——</v>
      </c>
    </row>
    <row r="19" spans="1:5" ht="15.75">
      <c r="B19" s="4183" t="str">
        <f>结果表!E111</f>
        <v>——</v>
      </c>
      <c r="C19" s="1078" t="s">
        <v>896</v>
      </c>
      <c r="D19" s="569" t="str">
        <f>结果表!H111</f>
        <v>——</v>
      </c>
    </row>
    <row r="20" spans="1:5" ht="15.75">
      <c r="B20" s="4184"/>
      <c r="C20" s="1073" t="s">
        <v>909</v>
      </c>
      <c r="D20" s="568" t="e">
        <f>NUMBERSTRING(INT(D19*10000),2)&amp;"元整"</f>
        <v>#VALUE!</v>
      </c>
    </row>
    <row r="21" spans="1:5" ht="15.75" thickBot="1">
      <c r="B21" s="4185"/>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-41</v>
      </c>
      <c r="C2" s="172" t="s">
        <v>1537</v>
      </c>
      <c r="D2" s="172"/>
      <c r="E2" s="2089"/>
      <c r="F2" s="2089"/>
      <c r="G2" s="2089"/>
      <c r="H2" s="2089"/>
      <c r="I2" s="2089"/>
      <c r="J2" s="2089"/>
      <c r="K2" s="2089"/>
    </row>
    <row r="3" spans="1:33" ht="18" customHeight="1">
      <c r="A3" s="99" t="s">
        <v>1436</v>
      </c>
      <c r="B3" s="2601">
        <f ca="1">ROUND(B2*10000/IF(C1="",'数据-汇总表'!E3,INDIRECT("'数据-取费表'!K"&amp;$K$1)),0)</f>
        <v>-5586</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45" t="s">
        <v>3381</v>
      </c>
      <c r="D6" s="4545"/>
      <c r="E6" s="4545"/>
      <c r="F6" s="4545"/>
      <c r="G6" s="4545"/>
      <c r="H6" s="4545"/>
      <c r="I6" s="4545"/>
      <c r="J6" s="4545"/>
      <c r="K6" s="454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7" t="s">
        <v>3534</v>
      </c>
      <c r="B11" s="4568"/>
      <c r="C11" s="4568"/>
      <c r="D11" s="4568"/>
      <c r="E11" s="4568"/>
      <c r="F11" s="4568"/>
      <c r="G11" s="4568"/>
      <c r="H11" s="4568"/>
      <c r="I11" s="4568"/>
      <c r="J11" s="4568"/>
      <c r="K11" s="4569"/>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41</v>
      </c>
      <c r="D15" s="558"/>
      <c r="E15" s="174"/>
      <c r="F15" s="3374"/>
      <c r="G15" s="3499" t="s">
        <v>3553</v>
      </c>
      <c r="H15" s="554"/>
      <c r="I15" s="554"/>
      <c r="J15" s="554"/>
      <c r="K15" s="555"/>
    </row>
    <row r="16" spans="1:33" s="551" customFormat="1" ht="13.5" customHeight="1">
      <c r="A16" s="3513" t="s">
        <v>3603</v>
      </c>
      <c r="B16" s="3378" t="s">
        <v>3536</v>
      </c>
      <c r="C16" s="3379">
        <f ca="1">SUM(C17:C22)</f>
        <v>38</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33</v>
      </c>
      <c r="D17" s="3381"/>
      <c r="E17" s="3382"/>
      <c r="F17" s="3394"/>
      <c r="G17" s="3500"/>
      <c r="H17" s="3497"/>
      <c r="I17" s="3497"/>
      <c r="J17" s="3497"/>
      <c r="K17" s="3512"/>
    </row>
    <row r="18" spans="1:33" s="551" customFormat="1" ht="13.5" customHeight="1">
      <c r="A18" s="3514" t="s">
        <v>3542</v>
      </c>
      <c r="B18" s="3366" t="s">
        <v>3543</v>
      </c>
      <c r="C18" s="2578">
        <f ca="1">ROUND(C17*F18,0)</f>
        <v>2</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3</v>
      </c>
      <c r="D20" s="3376">
        <f ca="1">IF(C1="",'数据-汇总表'!E3,INDIRECT("'数据-取费表'!K"&amp;$K$1)+INDIRECT("'数据-取费表'!S"&amp;$K$1))</f>
        <v>73.400000000000006</v>
      </c>
      <c r="E20" s="3377">
        <f>'数据-取费表'!B35</f>
        <v>350</v>
      </c>
      <c r="F20" s="3376"/>
      <c r="G20" s="2574"/>
      <c r="H20" s="3497"/>
      <c r="I20" s="3497"/>
      <c r="J20" s="554"/>
      <c r="K20" s="555"/>
    </row>
    <row r="21" spans="1:33" s="551" customFormat="1" ht="13.5" customHeight="1">
      <c r="A21" s="3514" t="s">
        <v>3557</v>
      </c>
      <c r="B21" s="3368" t="s">
        <v>3514</v>
      </c>
      <c r="C21" s="2578">
        <f ca="1">ROUND(C17*F21,0)</f>
        <v>0</v>
      </c>
      <c r="D21" s="3383"/>
      <c r="E21" s="3383"/>
      <c r="F21" s="3395">
        <f>'数据-取费表'!B36</f>
        <v>0.01</v>
      </c>
      <c r="G21" s="2574"/>
      <c r="H21" s="556"/>
      <c r="I21" s="556"/>
      <c r="J21" s="556"/>
      <c r="K21" s="3515"/>
    </row>
    <row r="22" spans="1:33" s="551" customFormat="1" ht="13.5" customHeight="1">
      <c r="A22" s="3514" t="s">
        <v>3558</v>
      </c>
      <c r="B22" s="3368" t="s">
        <v>3565</v>
      </c>
      <c r="C22" s="2578">
        <f ca="1">ROUND(C17*F22,0)</f>
        <v>0</v>
      </c>
      <c r="D22" s="3383"/>
      <c r="E22" s="3383"/>
      <c r="F22" s="3395">
        <f>'数据-取费表'!B37</f>
        <v>0</v>
      </c>
      <c r="G22" s="2574"/>
      <c r="H22" s="556"/>
      <c r="I22" s="556"/>
      <c r="J22" s="556"/>
      <c r="K22" s="3515"/>
    </row>
    <row r="23" spans="1:33" s="552" customFormat="1" ht="13.5" customHeight="1">
      <c r="A23" s="3513" t="s">
        <v>3604</v>
      </c>
      <c r="B23" s="3378" t="s">
        <v>3500</v>
      </c>
      <c r="C23" s="2583">
        <f ca="1">ROUND(C16*F23,0)</f>
        <v>1</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0.02V建</v>
      </c>
      <c r="D24" s="3384"/>
      <c r="E24" s="3384"/>
      <c r="F24" s="3396">
        <f>'数据-取费表'!B39</f>
        <v>0.02</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1+0.0004V建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1</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4.0000000000000002E-4</v>
      </c>
      <c r="D27" s="3164"/>
      <c r="E27" s="3164"/>
      <c r="F27" s="3394"/>
      <c r="G27" s="3503"/>
      <c r="H27" s="3497"/>
      <c r="I27" s="3497"/>
      <c r="J27" s="3497"/>
      <c r="K27" s="3512"/>
    </row>
    <row r="28" spans="1:33" s="551" customFormat="1" ht="13.5" customHeight="1">
      <c r="A28" s="3513" t="s">
        <v>3549</v>
      </c>
      <c r="B28" s="3378" t="s">
        <v>3566</v>
      </c>
      <c r="C28" s="2735" t="str">
        <f ca="1">C29&amp;"+"&amp;C30&amp;"V建"</f>
        <v>6+0.003V建</v>
      </c>
      <c r="D28" s="1048"/>
      <c r="E28" s="1048"/>
      <c r="F28" s="3397">
        <f ca="1">IF(C1="",'数据-取费表'!Q16,INDIRECT("'数据-取费表'!q"&amp;$K$1))</f>
        <v>0.15</v>
      </c>
      <c r="G28" s="4570" t="s">
        <v>3550</v>
      </c>
      <c r="H28" s="3497"/>
      <c r="I28" s="3497"/>
      <c r="J28" s="3497"/>
      <c r="K28" s="3512"/>
    </row>
    <row r="29" spans="1:33" s="551" customFormat="1" ht="13.5" customHeight="1">
      <c r="A29" s="3514" t="s">
        <v>3562</v>
      </c>
      <c r="B29" s="3368" t="s">
        <v>3567</v>
      </c>
      <c r="C29" s="2736">
        <f ca="1">ROUND((C16+C23)*F28,0)</f>
        <v>6</v>
      </c>
      <c r="D29" s="1048"/>
      <c r="E29" s="1048"/>
      <c r="F29" s="2815"/>
      <c r="G29" s="4570"/>
      <c r="H29" s="3504"/>
      <c r="I29" s="3504"/>
      <c r="J29" s="3504"/>
      <c r="K29" s="3517"/>
    </row>
    <row r="30" spans="1:33" s="559" customFormat="1" ht="13.5" customHeight="1">
      <c r="A30" s="3514" t="s">
        <v>3563</v>
      </c>
      <c r="B30" s="3368" t="s">
        <v>3568</v>
      </c>
      <c r="C30" s="2578">
        <f ca="1">ROUND(F24*F28,4)</f>
        <v>3.0000000000000001E-3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47</v>
      </c>
      <c r="D32" s="3389"/>
      <c r="E32" s="3390"/>
      <c r="F32" s="3376"/>
      <c r="G32" s="3507" t="s">
        <v>3540</v>
      </c>
      <c r="H32" s="3508"/>
      <c r="I32" s="3508"/>
      <c r="J32" s="3508"/>
      <c r="K32" s="3518"/>
    </row>
    <row r="33" spans="1:11" s="177" customFormat="1" ht="13.5" customHeight="1">
      <c r="A33" s="3513" t="s">
        <v>3561</v>
      </c>
      <c r="B33" s="3391" t="s">
        <v>3551</v>
      </c>
      <c r="C33" s="3392">
        <f ca="1">ROUND(C32*(1-F33),0)</f>
        <v>6</v>
      </c>
      <c r="D33" s="3393"/>
      <c r="E33" s="3164"/>
      <c r="F33" s="3396">
        <f>IF('数据-取费表'!B24=0,'数据-取费表'!N16,1)</f>
        <v>0.87</v>
      </c>
      <c r="G33" s="3499" t="s">
        <v>3552</v>
      </c>
      <c r="H33" s="3504"/>
      <c r="I33" s="3504"/>
      <c r="J33" s="3504"/>
      <c r="K33" s="3517"/>
    </row>
    <row r="34" spans="1:11" s="549" customFormat="1" ht="15.75" thickBot="1">
      <c r="A34" s="3519">
        <v>4</v>
      </c>
      <c r="B34" s="3520" t="s">
        <v>3609</v>
      </c>
      <c r="C34" s="3521">
        <f ca="1">C13-C15</f>
        <v>-41</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zoomScaleNormal="100" zoomScaleSheetLayoutView="100" workbookViewId="0">
      <selection activeCell="J40" sqref="J40"/>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5</v>
      </c>
      <c r="C2" s="95" t="s">
        <v>1435</v>
      </c>
      <c r="D2" s="95"/>
      <c r="E2" s="2587"/>
      <c r="F2" s="95"/>
      <c r="G2" s="95"/>
    </row>
    <row r="3" spans="1:7" s="96" customFormat="1" ht="15.75">
      <c r="A3" s="99" t="s">
        <v>1436</v>
      </c>
      <c r="B3" s="2601">
        <f ca="1">ROUND(B2*10000/(IF(C1="",'数据-汇总表'!E3,INDIRECT("'数据-取费表'!k"&amp;$G$1))),0)</f>
        <v>681</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3.0499999999999999E-2</v>
      </c>
      <c r="G19" s="3490"/>
    </row>
    <row r="20" spans="1:9" s="2611" customFormat="1" ht="15.75">
      <c r="A20" s="3422" t="s">
        <v>3614</v>
      </c>
      <c r="B20" s="2580" t="s">
        <v>3587</v>
      </c>
      <c r="C20" s="2612">
        <f ca="1">C21+C24+C25</f>
        <v>4</v>
      </c>
      <c r="D20" s="3484"/>
      <c r="E20" s="3485"/>
      <c r="F20" s="2635"/>
      <c r="G20" s="3491"/>
    </row>
    <row r="21" spans="1:9" s="119" customFormat="1" ht="15">
      <c r="A21" s="3427" t="s">
        <v>3610</v>
      </c>
      <c r="B21" s="3405" t="s">
        <v>3322</v>
      </c>
      <c r="C21" s="2640">
        <f>IF(G21="已包含在土地购买价格中","0",IF(C1="",'数据-取费表'!B29,IF(G22="全部缴纳",C22+C23,H22)))</f>
        <v>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0</v>
      </c>
      <c r="F22" s="2631"/>
      <c r="G22" s="1376"/>
      <c r="H22" s="795"/>
      <c r="I22" s="1377" t="s">
        <v>1451</v>
      </c>
    </row>
    <row r="23" spans="1:9" s="110" customFormat="1">
      <c r="A23" s="2582" t="s">
        <v>3594</v>
      </c>
      <c r="B23" s="3406" t="s">
        <v>1452</v>
      </c>
      <c r="C23" s="2639">
        <f ca="1">ROUND(D23*E23/10000,0)</f>
        <v>1</v>
      </c>
      <c r="D23" s="3398">
        <f ca="1">IF(C1="",'数据-汇总表'!E6,IF(INDIRECT("'数据-取费表'!c"&amp;$G$1)="住宅",INDIRECT("'数据-取费表'!s"&amp;$G$1),INDIRECT("'数据-取费表'!k"&amp;$G$1)+INDIRECT("'数据-取费表'!s"&amp;$G$1)))</f>
        <v>73.400000000000006</v>
      </c>
      <c r="E23" s="3398">
        <f>'数据-取费表'!B28</f>
        <v>200</v>
      </c>
      <c r="F23" s="2631"/>
      <c r="G23" s="3492"/>
    </row>
    <row r="24" spans="1:9" s="110" customFormat="1" ht="13.5">
      <c r="A24" s="3371" t="s">
        <v>3595</v>
      </c>
      <c r="B24" s="3407" t="s">
        <v>3611</v>
      </c>
      <c r="C24" s="2640">
        <f ca="1">IF(G24="已包含在土地取得成本中","0",ROUND(D24*E24/10000,0))</f>
        <v>1</v>
      </c>
      <c r="D24" s="3399">
        <f ca="1">D22+D23</f>
        <v>73.400000000000006</v>
      </c>
      <c r="E24" s="3399">
        <f>'数据-取费表'!B31</f>
        <v>130</v>
      </c>
      <c r="F24" s="3408"/>
      <c r="G24" s="1375"/>
    </row>
    <row r="25" spans="1:9" s="110" customFormat="1" ht="13.5">
      <c r="A25" s="3371" t="s">
        <v>337</v>
      </c>
      <c r="B25" s="3407" t="s">
        <v>3612</v>
      </c>
      <c r="C25" s="2640">
        <f ca="1">ROUND(E25*D25/10000,0)</f>
        <v>3</v>
      </c>
      <c r="D25" s="3399">
        <f ca="1">D24</f>
        <v>73.400000000000006</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1</v>
      </c>
      <c r="D30" s="2616"/>
      <c r="E30" s="297"/>
      <c r="F30" s="3413">
        <f ca="1">IF(C1="",'数据-取费表'!Q16,INDIRECT("'数据-取费表'!q"&amp;$G$1))</f>
        <v>0.15</v>
      </c>
      <c r="G30" s="3495"/>
    </row>
    <row r="31" spans="1:9" s="110" customFormat="1" ht="15.75">
      <c r="A31" s="2581" t="s">
        <v>3600</v>
      </c>
      <c r="B31" s="2580" t="s">
        <v>3592</v>
      </c>
      <c r="C31" s="2603">
        <f ca="1">C7+C20+C29+C30</f>
        <v>5</v>
      </c>
      <c r="D31" s="2593"/>
      <c r="E31" s="2593"/>
      <c r="F31" s="2592"/>
      <c r="G31" s="2594" t="s">
        <v>3623</v>
      </c>
    </row>
    <row r="32" spans="1:9" s="110" customFormat="1" ht="15.75">
      <c r="A32" s="2581" t="s">
        <v>3591</v>
      </c>
      <c r="B32" s="2580" t="s">
        <v>3590</v>
      </c>
      <c r="C32" s="3478">
        <f ca="1">ROUND(C31*F32,0)</f>
        <v>1</v>
      </c>
      <c r="D32" s="131"/>
      <c r="E32" s="132"/>
      <c r="F32" s="3414">
        <v>0.1</v>
      </c>
      <c r="G32" s="3496"/>
    </row>
    <row r="33" spans="1:7" s="110" customFormat="1" ht="15.75">
      <c r="A33" s="3477">
        <v>8</v>
      </c>
      <c r="B33" s="2580" t="s">
        <v>3602</v>
      </c>
      <c r="C33" s="2603">
        <f ca="1">C31+C32</f>
        <v>6</v>
      </c>
      <c r="D33" s="2593"/>
      <c r="E33" s="2593"/>
      <c r="F33" s="3415"/>
      <c r="G33" s="2594" t="s">
        <v>3622</v>
      </c>
    </row>
    <row r="34" spans="1:7" s="119" customFormat="1" ht="16.5" thickBot="1">
      <c r="A34" s="3429">
        <v>9</v>
      </c>
      <c r="B34" s="3430" t="s">
        <v>3601</v>
      </c>
      <c r="C34" s="2603">
        <f ca="1">ROUND(C33*F34,0)</f>
        <v>5</v>
      </c>
      <c r="D34" s="3431"/>
      <c r="E34" s="3431"/>
      <c r="F34" s="3480">
        <f>'数据-取费表'!AS16</f>
        <v>0.75700000000000001</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82" t="s">
        <v>2496</v>
      </c>
      <c r="B20" s="4575" t="s">
        <v>2517</v>
      </c>
      <c r="C20" s="2569" t="s">
        <v>2328</v>
      </c>
      <c r="D20" s="2569"/>
      <c r="E20" s="3194">
        <v>1</v>
      </c>
      <c r="F20" s="2292" t="s">
        <v>2329</v>
      </c>
      <c r="G20" s="2292"/>
    </row>
    <row r="21" spans="1:13" ht="19.5" customHeight="1">
      <c r="A21" s="4583"/>
      <c r="B21" s="4571"/>
      <c r="C21" s="2301" t="s">
        <v>2330</v>
      </c>
      <c r="D21" s="2301"/>
      <c r="E21" s="3195">
        <v>1</v>
      </c>
      <c r="F21" s="2292" t="s">
        <v>2331</v>
      </c>
      <c r="G21" s="2292"/>
    </row>
    <row r="22" spans="1:13" ht="19.5" customHeight="1">
      <c r="A22" s="4583"/>
      <c r="B22" s="4571"/>
      <c r="C22" s="2301" t="s">
        <v>2332</v>
      </c>
      <c r="D22" s="2301"/>
      <c r="E22" s="3195">
        <v>0.9</v>
      </c>
      <c r="F22" s="2292" t="s">
        <v>2333</v>
      </c>
      <c r="G22" s="2292"/>
    </row>
    <row r="23" spans="1:13" ht="19.5" customHeight="1">
      <c r="A23" s="4583"/>
      <c r="B23" s="4571"/>
      <c r="C23" s="2301" t="s">
        <v>2334</v>
      </c>
      <c r="D23" s="2301"/>
      <c r="E23" s="3195">
        <v>0.9</v>
      </c>
      <c r="F23" s="2292" t="s">
        <v>2335</v>
      </c>
      <c r="G23" s="2292"/>
    </row>
    <row r="24" spans="1:13" ht="19.5" customHeight="1">
      <c r="A24" s="4583"/>
      <c r="B24" s="4571"/>
      <c r="C24" s="2301" t="s">
        <v>2336</v>
      </c>
      <c r="D24" s="2301"/>
      <c r="E24" s="3195">
        <v>0.8</v>
      </c>
      <c r="F24" s="2292" t="s">
        <v>2337</v>
      </c>
      <c r="G24" s="2292"/>
    </row>
    <row r="25" spans="1:13" ht="19.5" customHeight="1">
      <c r="A25" s="4583"/>
      <c r="B25" s="4571"/>
      <c r="C25" s="2301" t="s">
        <v>2338</v>
      </c>
      <c r="D25" s="2301"/>
      <c r="E25" s="3195">
        <v>0.8</v>
      </c>
      <c r="F25" s="2292"/>
      <c r="G25" s="2292"/>
    </row>
    <row r="26" spans="1:13" ht="19.5" customHeight="1">
      <c r="A26" s="4583"/>
      <c r="B26" s="4571"/>
      <c r="C26" s="2301" t="s">
        <v>3277</v>
      </c>
      <c r="D26" s="2301"/>
      <c r="E26" s="3195">
        <v>0.43</v>
      </c>
      <c r="F26" s="2292"/>
      <c r="G26" s="2292"/>
    </row>
    <row r="27" spans="1:13" ht="19.5" customHeight="1" thickBot="1">
      <c r="A27" s="4584"/>
      <c r="B27" s="4576"/>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77" t="s">
        <v>2520</v>
      </c>
      <c r="B29" s="4580" t="s">
        <v>2501</v>
      </c>
      <c r="C29" s="2290" t="s">
        <v>2341</v>
      </c>
      <c r="D29" s="2291"/>
      <c r="E29" s="3194">
        <v>1</v>
      </c>
      <c r="F29" s="2292" t="s">
        <v>2342</v>
      </c>
      <c r="G29" s="2292"/>
    </row>
    <row r="30" spans="1:13" ht="19.5" customHeight="1">
      <c r="A30" s="4578"/>
      <c r="B30" s="4574"/>
      <c r="C30" s="2293" t="s">
        <v>2343</v>
      </c>
      <c r="D30" s="2294"/>
      <c r="E30" s="3195">
        <v>1</v>
      </c>
      <c r="F30" s="2292" t="s">
        <v>2344</v>
      </c>
      <c r="G30" s="2292"/>
    </row>
    <row r="31" spans="1:13" ht="19.5" customHeight="1">
      <c r="A31" s="4578"/>
      <c r="B31" s="4574"/>
      <c r="C31" s="2293" t="s">
        <v>2345</v>
      </c>
      <c r="D31" s="2294"/>
      <c r="E31" s="3195">
        <v>0.8</v>
      </c>
      <c r="F31" s="2292" t="s">
        <v>2346</v>
      </c>
      <c r="G31" s="2292"/>
    </row>
    <row r="32" spans="1:13" ht="19.5" customHeight="1">
      <c r="A32" s="4578"/>
      <c r="B32" s="4574"/>
      <c r="C32" s="2293" t="s">
        <v>2347</v>
      </c>
      <c r="D32" s="2294"/>
      <c r="E32" s="3195">
        <v>0.8</v>
      </c>
      <c r="F32" s="2292" t="s">
        <v>2348</v>
      </c>
      <c r="G32" s="2292"/>
    </row>
    <row r="33" spans="1:7" ht="19.5" customHeight="1">
      <c r="A33" s="4578"/>
      <c r="B33" s="4574"/>
      <c r="C33" s="2293" t="s">
        <v>2349</v>
      </c>
      <c r="D33" s="2294"/>
      <c r="E33" s="3195">
        <v>0.8</v>
      </c>
      <c r="F33" s="2292" t="s">
        <v>2350</v>
      </c>
      <c r="G33" s="2292"/>
    </row>
    <row r="34" spans="1:7" ht="19.5" customHeight="1">
      <c r="A34" s="4578"/>
      <c r="B34" s="4574"/>
      <c r="C34" s="2293" t="s">
        <v>2351</v>
      </c>
      <c r="D34" s="2294"/>
      <c r="E34" s="3195">
        <v>0.7</v>
      </c>
      <c r="F34" s="2292" t="s">
        <v>2352</v>
      </c>
      <c r="G34" s="2292"/>
    </row>
    <row r="35" spans="1:7" ht="19.5" customHeight="1">
      <c r="A35" s="4578"/>
      <c r="B35" s="4574"/>
      <c r="C35" s="2293" t="s">
        <v>2353</v>
      </c>
      <c r="D35" s="2294"/>
      <c r="E35" s="3195">
        <v>0.8</v>
      </c>
      <c r="F35" s="2292" t="s">
        <v>2354</v>
      </c>
      <c r="G35" s="2292"/>
    </row>
    <row r="36" spans="1:7" ht="19.5" customHeight="1">
      <c r="A36" s="4578"/>
      <c r="B36" s="4574"/>
      <c r="C36" s="2293" t="s">
        <v>2355</v>
      </c>
      <c r="D36" s="2294"/>
      <c r="E36" s="3195">
        <v>0.6</v>
      </c>
      <c r="F36" s="2292" t="s">
        <v>2356</v>
      </c>
      <c r="G36" s="2292"/>
    </row>
    <row r="37" spans="1:7" ht="19.5" customHeight="1">
      <c r="A37" s="4578"/>
      <c r="B37" s="4574"/>
      <c r="C37" s="2293" t="s">
        <v>2357</v>
      </c>
      <c r="D37" s="2294"/>
      <c r="E37" s="3195">
        <v>0.2</v>
      </c>
      <c r="F37" s="2292" t="s">
        <v>2358</v>
      </c>
      <c r="G37" s="2292"/>
    </row>
    <row r="38" spans="1:7" ht="19.5" customHeight="1">
      <c r="A38" s="4578"/>
      <c r="B38" s="4574"/>
      <c r="C38" s="2293" t="s">
        <v>2359</v>
      </c>
      <c r="D38" s="2294"/>
      <c r="E38" s="3195">
        <v>0.2</v>
      </c>
      <c r="F38" s="2292" t="s">
        <v>2360</v>
      </c>
      <c r="G38" s="2292"/>
    </row>
    <row r="39" spans="1:7" ht="19.5" customHeight="1">
      <c r="A39" s="4578"/>
      <c r="B39" s="4572" t="s">
        <v>2521</v>
      </c>
      <c r="C39" s="2293" t="s">
        <v>2361</v>
      </c>
      <c r="D39" s="2294"/>
      <c r="E39" s="3195">
        <v>0.6</v>
      </c>
      <c r="F39" s="2292" t="s">
        <v>2362</v>
      </c>
      <c r="G39" s="2292"/>
    </row>
    <row r="40" spans="1:7" ht="19.5" customHeight="1">
      <c r="A40" s="4578"/>
      <c r="B40" s="4574"/>
      <c r="C40" s="2293" t="s">
        <v>2363</v>
      </c>
      <c r="D40" s="2294"/>
      <c r="E40" s="3195">
        <v>0.6</v>
      </c>
      <c r="F40" s="2292" t="s">
        <v>2364</v>
      </c>
      <c r="G40" s="2292"/>
    </row>
    <row r="41" spans="1:7" ht="19.5" customHeight="1" thickBot="1">
      <c r="A41" s="4579"/>
      <c r="B41" s="4581"/>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82" t="s">
        <v>2499</v>
      </c>
      <c r="B43" s="4580" t="s">
        <v>2523</v>
      </c>
      <c r="C43" s="2290" t="s">
        <v>2368</v>
      </c>
      <c r="D43" s="2291"/>
      <c r="E43" s="3194">
        <v>1</v>
      </c>
      <c r="F43" s="2292" t="s">
        <v>2369</v>
      </c>
      <c r="G43" s="2292"/>
    </row>
    <row r="44" spans="1:7" ht="19.5" customHeight="1">
      <c r="A44" s="4583"/>
      <c r="B44" s="4574"/>
      <c r="C44" s="2293" t="s">
        <v>2370</v>
      </c>
      <c r="D44" s="2294"/>
      <c r="E44" s="3195">
        <v>1</v>
      </c>
      <c r="F44" s="2292" t="s">
        <v>2371</v>
      </c>
      <c r="G44" s="2292"/>
    </row>
    <row r="45" spans="1:7" ht="19.5" customHeight="1">
      <c r="A45" s="4583"/>
      <c r="B45" s="4573"/>
      <c r="C45" s="2293" t="s">
        <v>2372</v>
      </c>
      <c r="D45" s="2294"/>
      <c r="E45" s="3195">
        <v>1.5</v>
      </c>
      <c r="F45" s="2292" t="s">
        <v>2373</v>
      </c>
      <c r="G45" s="2292"/>
    </row>
    <row r="46" spans="1:7" ht="19.5" customHeight="1">
      <c r="A46" s="4583"/>
      <c r="B46" s="2301" t="s">
        <v>2524</v>
      </c>
      <c r="C46" s="2293" t="s">
        <v>2525</v>
      </c>
      <c r="D46" s="2294"/>
      <c r="E46" s="3195">
        <v>2</v>
      </c>
      <c r="F46" s="2292" t="s">
        <v>2374</v>
      </c>
      <c r="G46" s="2292"/>
    </row>
    <row r="47" spans="1:7" ht="19.5" customHeight="1">
      <c r="A47" s="4583"/>
      <c r="B47" s="4572" t="s">
        <v>2526</v>
      </c>
      <c r="C47" s="2293" t="s">
        <v>2375</v>
      </c>
      <c r="D47" s="2294"/>
      <c r="E47" s="3195">
        <v>1</v>
      </c>
      <c r="F47" s="2292" t="s">
        <v>2376</v>
      </c>
      <c r="G47" s="2292"/>
    </row>
    <row r="48" spans="1:7" ht="19.5" customHeight="1">
      <c r="A48" s="4583"/>
      <c r="B48" s="4574"/>
      <c r="C48" s="2293" t="s">
        <v>2377</v>
      </c>
      <c r="D48" s="2294"/>
      <c r="E48" s="3195">
        <v>1</v>
      </c>
      <c r="F48" s="2292" t="s">
        <v>2378</v>
      </c>
      <c r="G48" s="2292"/>
    </row>
    <row r="49" spans="1:7" ht="19.5" customHeight="1">
      <c r="A49" s="4583"/>
      <c r="B49" s="4574"/>
      <c r="C49" s="2293" t="s">
        <v>2379</v>
      </c>
      <c r="D49" s="2294"/>
      <c r="E49" s="3195">
        <v>1</v>
      </c>
      <c r="F49" s="2292" t="s">
        <v>2380</v>
      </c>
      <c r="G49" s="2292"/>
    </row>
    <row r="50" spans="1:7" ht="19.5" customHeight="1">
      <c r="A50" s="4583"/>
      <c r="B50" s="4574"/>
      <c r="C50" s="2293" t="s">
        <v>2381</v>
      </c>
      <c r="D50" s="2294"/>
      <c r="E50" s="3195">
        <v>1</v>
      </c>
      <c r="F50" s="2292" t="s">
        <v>2382</v>
      </c>
      <c r="G50" s="2292"/>
    </row>
    <row r="51" spans="1:7" ht="19.5" customHeight="1">
      <c r="A51" s="4583"/>
      <c r="B51" s="4574"/>
      <c r="C51" s="2293" t="s">
        <v>2383</v>
      </c>
      <c r="D51" s="2294"/>
      <c r="E51" s="3195">
        <v>1</v>
      </c>
      <c r="F51" s="2292" t="s">
        <v>2384</v>
      </c>
      <c r="G51" s="2292"/>
    </row>
    <row r="52" spans="1:7" ht="19.5" customHeight="1">
      <c r="A52" s="4583"/>
      <c r="B52" s="4574"/>
      <c r="C52" s="2293" t="s">
        <v>2385</v>
      </c>
      <c r="D52" s="2294"/>
      <c r="E52" s="3195">
        <v>1</v>
      </c>
      <c r="F52" s="2292" t="s">
        <v>2386</v>
      </c>
      <c r="G52" s="2292"/>
    </row>
    <row r="53" spans="1:7" ht="19.5" customHeight="1" thickBot="1">
      <c r="A53" s="4584"/>
      <c r="B53" s="4581"/>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72" t="s">
        <v>2540</v>
      </c>
      <c r="C75" s="2281" t="s">
        <v>2541</v>
      </c>
      <c r="D75" s="2281" t="s">
        <v>2542</v>
      </c>
      <c r="E75" s="3200">
        <v>0.2</v>
      </c>
      <c r="F75" s="3201">
        <v>25</v>
      </c>
    </row>
    <row r="76" spans="1:7" ht="24">
      <c r="A76" s="2301">
        <v>2</v>
      </c>
      <c r="B76" s="4574"/>
      <c r="C76" s="2281" t="s">
        <v>2543</v>
      </c>
      <c r="D76" s="2281" t="s">
        <v>2544</v>
      </c>
      <c r="E76" s="3200">
        <v>0.2</v>
      </c>
      <c r="F76" s="3201">
        <v>25</v>
      </c>
    </row>
    <row r="77" spans="1:7" ht="24">
      <c r="A77" s="2301">
        <v>3</v>
      </c>
      <c r="B77" s="4574"/>
      <c r="C77" s="2281" t="s">
        <v>2545</v>
      </c>
      <c r="D77" s="2281" t="s">
        <v>2546</v>
      </c>
      <c r="E77" s="3200">
        <v>0.2</v>
      </c>
      <c r="F77" s="3201">
        <v>25</v>
      </c>
    </row>
    <row r="78" spans="1:7" ht="13.5">
      <c r="A78" s="2301">
        <v>4</v>
      </c>
      <c r="B78" s="4574"/>
      <c r="C78" s="2281" t="s">
        <v>2547</v>
      </c>
      <c r="D78" s="2281" t="s">
        <v>2548</v>
      </c>
      <c r="E78" s="3200">
        <v>0.15</v>
      </c>
      <c r="F78" s="3201">
        <v>20</v>
      </c>
    </row>
    <row r="79" spans="1:7" ht="24">
      <c r="A79" s="2301">
        <v>5</v>
      </c>
      <c r="B79" s="4574"/>
      <c r="C79" s="2281" t="s">
        <v>2549</v>
      </c>
      <c r="D79" s="2281" t="s">
        <v>2550</v>
      </c>
      <c r="E79" s="3200">
        <v>0.15</v>
      </c>
      <c r="F79" s="3201">
        <v>20</v>
      </c>
    </row>
    <row r="80" spans="1:7" ht="24">
      <c r="A80" s="2301">
        <v>6</v>
      </c>
      <c r="B80" s="4574"/>
      <c r="C80" s="2281" t="s">
        <v>2551</v>
      </c>
      <c r="D80" s="2281" t="s">
        <v>2552</v>
      </c>
      <c r="E80" s="3200">
        <v>0.15</v>
      </c>
      <c r="F80" s="3201">
        <v>20</v>
      </c>
    </row>
    <row r="81" spans="1:6" ht="24">
      <c r="A81" s="2301">
        <v>7</v>
      </c>
      <c r="B81" s="4574"/>
      <c r="C81" s="2281" t="s">
        <v>2553</v>
      </c>
      <c r="D81" s="2281" t="s">
        <v>2554</v>
      </c>
      <c r="E81" s="3200">
        <v>0.15</v>
      </c>
      <c r="F81" s="3201">
        <v>20</v>
      </c>
    </row>
    <row r="82" spans="1:6" ht="24">
      <c r="A82" s="2301">
        <v>8</v>
      </c>
      <c r="B82" s="4574"/>
      <c r="C82" s="2281" t="s">
        <v>2555</v>
      </c>
      <c r="D82" s="2281" t="s">
        <v>2556</v>
      </c>
      <c r="E82" s="3200">
        <v>0.1</v>
      </c>
      <c r="F82" s="3201">
        <v>15</v>
      </c>
    </row>
    <row r="83" spans="1:6" ht="24">
      <c r="A83" s="2301">
        <v>9</v>
      </c>
      <c r="B83" s="4574"/>
      <c r="C83" s="2281" t="s">
        <v>2557</v>
      </c>
      <c r="D83" s="2281" t="s">
        <v>2558</v>
      </c>
      <c r="E83" s="3200">
        <v>0.1</v>
      </c>
      <c r="F83" s="3201">
        <v>15</v>
      </c>
    </row>
    <row r="84" spans="1:6" ht="24">
      <c r="A84" s="2301">
        <v>10</v>
      </c>
      <c r="B84" s="4574"/>
      <c r="C84" s="2281" t="s">
        <v>2559</v>
      </c>
      <c r="D84" s="2281" t="s">
        <v>2560</v>
      </c>
      <c r="E84" s="3200">
        <v>0.1</v>
      </c>
      <c r="F84" s="3201">
        <v>15</v>
      </c>
    </row>
    <row r="85" spans="1:6" ht="24">
      <c r="A85" s="2301">
        <v>11</v>
      </c>
      <c r="B85" s="4574"/>
      <c r="C85" s="2281" t="s">
        <v>2561</v>
      </c>
      <c r="D85" s="2281" t="s">
        <v>2562</v>
      </c>
      <c r="E85" s="3200">
        <v>0.1</v>
      </c>
      <c r="F85" s="3201">
        <v>15</v>
      </c>
    </row>
    <row r="86" spans="1:6" ht="24">
      <c r="A86" s="2301">
        <v>12</v>
      </c>
      <c r="B86" s="4574"/>
      <c r="C86" s="2281" t="s">
        <v>2563</v>
      </c>
      <c r="D86" s="2281" t="s">
        <v>2564</v>
      </c>
      <c r="E86" s="3200">
        <v>0.1</v>
      </c>
      <c r="F86" s="3201">
        <v>15</v>
      </c>
    </row>
    <row r="87" spans="1:6" ht="13.5">
      <c r="A87" s="2301">
        <v>13</v>
      </c>
      <c r="B87" s="4574"/>
      <c r="C87" s="2281" t="s">
        <v>2565</v>
      </c>
      <c r="D87" s="2281" t="s">
        <v>2566</v>
      </c>
      <c r="E87" s="3200">
        <v>0.1</v>
      </c>
      <c r="F87" s="3201">
        <v>15</v>
      </c>
    </row>
    <row r="88" spans="1:6" ht="13.5">
      <c r="A88" s="2301">
        <v>14</v>
      </c>
      <c r="B88" s="4574"/>
      <c r="C88" s="2281" t="s">
        <v>2567</v>
      </c>
      <c r="D88" s="2281" t="s">
        <v>2568</v>
      </c>
      <c r="E88" s="3200">
        <v>0.1</v>
      </c>
      <c r="F88" s="3201">
        <v>15</v>
      </c>
    </row>
    <row r="89" spans="1:6" ht="13.5">
      <c r="A89" s="2301">
        <v>15</v>
      </c>
      <c r="B89" s="4574"/>
      <c r="C89" s="2281" t="s">
        <v>2569</v>
      </c>
      <c r="D89" s="2281" t="s">
        <v>2570</v>
      </c>
      <c r="E89" s="3200">
        <v>0.1</v>
      </c>
      <c r="F89" s="3201">
        <v>15</v>
      </c>
    </row>
    <row r="90" spans="1:6" ht="24">
      <c r="A90" s="2301">
        <v>16</v>
      </c>
      <c r="B90" s="4574"/>
      <c r="C90" s="2281" t="s">
        <v>2571</v>
      </c>
      <c r="D90" s="2281" t="s">
        <v>2572</v>
      </c>
      <c r="E90" s="3200">
        <v>0.1</v>
      </c>
      <c r="F90" s="3201">
        <v>15</v>
      </c>
    </row>
    <row r="91" spans="1:6" ht="24">
      <c r="A91" s="2301">
        <v>17</v>
      </c>
      <c r="B91" s="4573"/>
      <c r="C91" s="2281" t="s">
        <v>2573</v>
      </c>
      <c r="D91" s="2281" t="s">
        <v>2574</v>
      </c>
      <c r="E91" s="3200">
        <v>0.1</v>
      </c>
      <c r="F91" s="3201">
        <v>15</v>
      </c>
    </row>
    <row r="92" spans="1:6" ht="13.5">
      <c r="A92" s="2301">
        <v>18</v>
      </c>
      <c r="B92" s="4572" t="s">
        <v>2575</v>
      </c>
      <c r="C92" s="2281" t="s">
        <v>2576</v>
      </c>
      <c r="D92" s="2281" t="s">
        <v>2577</v>
      </c>
      <c r="E92" s="3200">
        <v>0.2</v>
      </c>
      <c r="F92" s="3201">
        <v>25</v>
      </c>
    </row>
    <row r="93" spans="1:6" ht="24">
      <c r="A93" s="2301">
        <v>19</v>
      </c>
      <c r="B93" s="4574"/>
      <c r="C93" s="2281" t="s">
        <v>2578</v>
      </c>
      <c r="D93" s="2281" t="s">
        <v>2579</v>
      </c>
      <c r="E93" s="3200">
        <v>0.2</v>
      </c>
      <c r="F93" s="3201">
        <v>25</v>
      </c>
    </row>
    <row r="94" spans="1:6" ht="13.5">
      <c r="A94" s="2301">
        <v>20</v>
      </c>
      <c r="B94" s="4574"/>
      <c r="C94" s="2281" t="s">
        <v>2580</v>
      </c>
      <c r="D94" s="2281" t="s">
        <v>2581</v>
      </c>
      <c r="E94" s="3200">
        <v>0.15</v>
      </c>
      <c r="F94" s="3201">
        <v>20</v>
      </c>
    </row>
    <row r="95" spans="1:6" ht="13.5">
      <c r="A95" s="2301">
        <v>21</v>
      </c>
      <c r="B95" s="4574"/>
      <c r="C95" s="2281" t="s">
        <v>2582</v>
      </c>
      <c r="D95" s="2281" t="s">
        <v>2583</v>
      </c>
      <c r="E95" s="3200">
        <v>0.15</v>
      </c>
      <c r="F95" s="3201">
        <v>20</v>
      </c>
    </row>
    <row r="96" spans="1:6" ht="13.5">
      <c r="A96" s="2301">
        <v>22</v>
      </c>
      <c r="B96" s="4574"/>
      <c r="C96" s="2281" t="s">
        <v>2584</v>
      </c>
      <c r="D96" s="2281" t="s">
        <v>2585</v>
      </c>
      <c r="E96" s="3200">
        <v>0.15</v>
      </c>
      <c r="F96" s="3201">
        <v>20</v>
      </c>
    </row>
    <row r="97" spans="1:6" ht="36">
      <c r="A97" s="2301">
        <v>23</v>
      </c>
      <c r="B97" s="4574"/>
      <c r="C97" s="2281" t="s">
        <v>2586</v>
      </c>
      <c r="D97" s="2281" t="s">
        <v>2587</v>
      </c>
      <c r="E97" s="3200">
        <v>0.15</v>
      </c>
      <c r="F97" s="3201">
        <v>20</v>
      </c>
    </row>
    <row r="98" spans="1:6" ht="13.5">
      <c r="A98" s="2301">
        <v>24</v>
      </c>
      <c r="B98" s="4574"/>
      <c r="C98" s="2281" t="s">
        <v>2588</v>
      </c>
      <c r="D98" s="2281" t="s">
        <v>2589</v>
      </c>
      <c r="E98" s="3200">
        <v>0.1</v>
      </c>
      <c r="F98" s="3201">
        <v>15</v>
      </c>
    </row>
    <row r="99" spans="1:6" ht="13.5">
      <c r="A99" s="2301">
        <v>25</v>
      </c>
      <c r="B99" s="4574"/>
      <c r="C99" s="2281" t="s">
        <v>2590</v>
      </c>
      <c r="D99" s="2281" t="s">
        <v>2591</v>
      </c>
      <c r="E99" s="3200">
        <v>0.1</v>
      </c>
      <c r="F99" s="3201">
        <v>15</v>
      </c>
    </row>
    <row r="100" spans="1:6" ht="24">
      <c r="A100" s="2301">
        <v>26</v>
      </c>
      <c r="B100" s="4574"/>
      <c r="C100" s="2281" t="s">
        <v>2592</v>
      </c>
      <c r="D100" s="2281" t="s">
        <v>2593</v>
      </c>
      <c r="E100" s="3200">
        <v>0.1</v>
      </c>
      <c r="F100" s="3201">
        <v>15</v>
      </c>
    </row>
    <row r="101" spans="1:6" ht="24">
      <c r="A101" s="2301">
        <v>27</v>
      </c>
      <c r="B101" s="4574"/>
      <c r="C101" s="2281" t="s">
        <v>2594</v>
      </c>
      <c r="D101" s="2281" t="s">
        <v>2595</v>
      </c>
      <c r="E101" s="3200">
        <v>0.1</v>
      </c>
      <c r="F101" s="3201">
        <v>15</v>
      </c>
    </row>
    <row r="102" spans="1:6" ht="13.5">
      <c r="A102" s="2301">
        <v>28</v>
      </c>
      <c r="B102" s="4574"/>
      <c r="C102" s="2281" t="s">
        <v>2596</v>
      </c>
      <c r="D102" s="2281" t="s">
        <v>2597</v>
      </c>
      <c r="E102" s="3200">
        <v>0.1</v>
      </c>
      <c r="F102" s="3201">
        <v>15</v>
      </c>
    </row>
    <row r="103" spans="1:6" ht="13.5">
      <c r="A103" s="2301">
        <v>29</v>
      </c>
      <c r="B103" s="4574"/>
      <c r="C103" s="2281" t="s">
        <v>2598</v>
      </c>
      <c r="D103" s="2281" t="s">
        <v>2599</v>
      </c>
      <c r="E103" s="3200">
        <v>0.1</v>
      </c>
      <c r="F103" s="3201">
        <v>15</v>
      </c>
    </row>
    <row r="104" spans="1:6" ht="13.5">
      <c r="A104" s="2301">
        <v>30</v>
      </c>
      <c r="B104" s="4574"/>
      <c r="C104" s="2281" t="s">
        <v>2600</v>
      </c>
      <c r="D104" s="2281" t="s">
        <v>2601</v>
      </c>
      <c r="E104" s="3200">
        <v>0.1</v>
      </c>
      <c r="F104" s="3201">
        <v>15</v>
      </c>
    </row>
    <row r="105" spans="1:6" ht="24">
      <c r="A105" s="2301">
        <v>31</v>
      </c>
      <c r="B105" s="4574"/>
      <c r="C105" s="2281" t="s">
        <v>2602</v>
      </c>
      <c r="D105" s="2281" t="s">
        <v>2603</v>
      </c>
      <c r="E105" s="3200">
        <v>0.1</v>
      </c>
      <c r="F105" s="3201">
        <v>15</v>
      </c>
    </row>
    <row r="106" spans="1:6" ht="24">
      <c r="A106" s="2301">
        <v>32</v>
      </c>
      <c r="B106" s="4574"/>
      <c r="C106" s="2281" t="s">
        <v>2604</v>
      </c>
      <c r="D106" s="2281" t="s">
        <v>2605</v>
      </c>
      <c r="E106" s="3200">
        <v>0.1</v>
      </c>
      <c r="F106" s="3201">
        <v>15</v>
      </c>
    </row>
    <row r="107" spans="1:6" ht="24">
      <c r="A107" s="2301">
        <v>33</v>
      </c>
      <c r="B107" s="4574"/>
      <c r="C107" s="2281" t="s">
        <v>2606</v>
      </c>
      <c r="D107" s="2281" t="s">
        <v>2607</v>
      </c>
      <c r="E107" s="3200">
        <v>0.1</v>
      </c>
      <c r="F107" s="3201">
        <v>15</v>
      </c>
    </row>
    <row r="108" spans="1:6" ht="24">
      <c r="A108" s="2301">
        <v>34</v>
      </c>
      <c r="B108" s="4573"/>
      <c r="C108" s="2281" t="s">
        <v>2608</v>
      </c>
      <c r="D108" s="2281" t="s">
        <v>2609</v>
      </c>
      <c r="E108" s="3200">
        <v>0.1</v>
      </c>
      <c r="F108" s="3201">
        <v>15</v>
      </c>
    </row>
    <row r="109" spans="1:6" ht="24">
      <c r="A109" s="2301">
        <v>35</v>
      </c>
      <c r="B109" s="4572" t="s">
        <v>2610</v>
      </c>
      <c r="C109" s="2301" t="s">
        <v>2611</v>
      </c>
      <c r="D109" s="2281" t="s">
        <v>2612</v>
      </c>
      <c r="E109" s="3200">
        <v>0.15</v>
      </c>
      <c r="F109" s="3201">
        <v>20</v>
      </c>
    </row>
    <row r="110" spans="1:6" ht="13.5">
      <c r="A110" s="2301">
        <v>36</v>
      </c>
      <c r="B110" s="4574"/>
      <c r="C110" s="2301" t="s">
        <v>2613</v>
      </c>
      <c r="D110" s="2281" t="s">
        <v>2614</v>
      </c>
      <c r="E110" s="3200">
        <v>0.15</v>
      </c>
      <c r="F110" s="3201">
        <v>20</v>
      </c>
    </row>
    <row r="111" spans="1:6" ht="13.5">
      <c r="A111" s="2301">
        <v>37</v>
      </c>
      <c r="B111" s="4574"/>
      <c r="C111" s="2301" t="s">
        <v>2615</v>
      </c>
      <c r="D111" s="2281" t="s">
        <v>2616</v>
      </c>
      <c r="E111" s="3200">
        <v>0.15</v>
      </c>
      <c r="F111" s="3201">
        <v>20</v>
      </c>
    </row>
    <row r="112" spans="1:6" ht="13.5">
      <c r="A112" s="2301">
        <v>38</v>
      </c>
      <c r="B112" s="4574"/>
      <c r="C112" s="2301" t="s">
        <v>2617</v>
      </c>
      <c r="D112" s="2281" t="s">
        <v>2618</v>
      </c>
      <c r="E112" s="3200">
        <v>0.1</v>
      </c>
      <c r="F112" s="3201">
        <v>15</v>
      </c>
    </row>
    <row r="113" spans="1:6" ht="24">
      <c r="A113" s="2301">
        <v>39</v>
      </c>
      <c r="B113" s="4574"/>
      <c r="C113" s="2301" t="s">
        <v>2619</v>
      </c>
      <c r="D113" s="2281" t="s">
        <v>2620</v>
      </c>
      <c r="E113" s="3200">
        <v>0.1</v>
      </c>
      <c r="F113" s="3201">
        <v>15</v>
      </c>
    </row>
    <row r="114" spans="1:6" ht="24">
      <c r="A114" s="2301">
        <v>40</v>
      </c>
      <c r="B114" s="4573"/>
      <c r="C114" s="2301" t="s">
        <v>2621</v>
      </c>
      <c r="D114" s="2281" t="s">
        <v>2622</v>
      </c>
      <c r="E114" s="3200">
        <v>0.1</v>
      </c>
      <c r="F114" s="3201">
        <v>15</v>
      </c>
    </row>
    <row r="115" spans="1:6" ht="13.5">
      <c r="A115" s="2301">
        <v>41</v>
      </c>
      <c r="B115" s="4571" t="s">
        <v>2623</v>
      </c>
      <c r="C115" s="2301" t="s">
        <v>2624</v>
      </c>
      <c r="D115" s="2281" t="s">
        <v>2625</v>
      </c>
      <c r="E115" s="3200">
        <v>0.1</v>
      </c>
      <c r="F115" s="3201">
        <v>15</v>
      </c>
    </row>
    <row r="116" spans="1:6" ht="13.5">
      <c r="A116" s="2301">
        <v>42</v>
      </c>
      <c r="B116" s="4571"/>
      <c r="C116" s="2301" t="s">
        <v>2626</v>
      </c>
      <c r="D116" s="2281" t="s">
        <v>2627</v>
      </c>
      <c r="E116" s="3200">
        <v>0.1</v>
      </c>
      <c r="F116" s="3201">
        <v>15</v>
      </c>
    </row>
    <row r="117" spans="1:6" ht="24">
      <c r="A117" s="2301">
        <v>43</v>
      </c>
      <c r="B117" s="4571"/>
      <c r="C117" s="2301" t="s">
        <v>2628</v>
      </c>
      <c r="D117" s="2281" t="s">
        <v>2629</v>
      </c>
      <c r="E117" s="3200">
        <v>0.1</v>
      </c>
      <c r="F117" s="3201">
        <v>15</v>
      </c>
    </row>
    <row r="118" spans="1:6" ht="13.5">
      <c r="A118" s="2301">
        <v>44</v>
      </c>
      <c r="B118" s="4572" t="s">
        <v>2630</v>
      </c>
      <c r="C118" s="2301" t="s">
        <v>2631</v>
      </c>
      <c r="D118" s="2281" t="s">
        <v>2632</v>
      </c>
      <c r="E118" s="3200">
        <v>0.1</v>
      </c>
      <c r="F118" s="3201">
        <v>15</v>
      </c>
    </row>
    <row r="119" spans="1:6" ht="24">
      <c r="A119" s="2301">
        <v>45</v>
      </c>
      <c r="B119" s="4573"/>
      <c r="C119" s="2281" t="s">
        <v>2633</v>
      </c>
      <c r="D119" s="2281" t="s">
        <v>2634</v>
      </c>
      <c r="E119" s="3200">
        <v>0.1</v>
      </c>
      <c r="F119" s="3201">
        <v>15</v>
      </c>
    </row>
    <row r="120" spans="1:6" ht="24">
      <c r="A120" s="2301">
        <v>46</v>
      </c>
      <c r="B120" s="4572" t="s">
        <v>2635</v>
      </c>
      <c r="C120" s="2301" t="s">
        <v>2636</v>
      </c>
      <c r="D120" s="2281" t="s">
        <v>2637</v>
      </c>
      <c r="E120" s="3200">
        <v>0.1</v>
      </c>
      <c r="F120" s="3201">
        <v>15</v>
      </c>
    </row>
    <row r="121" spans="1:6" ht="24">
      <c r="A121" s="2301">
        <v>47</v>
      </c>
      <c r="B121" s="4573"/>
      <c r="C121" s="2301" t="s">
        <v>2638</v>
      </c>
      <c r="D121" s="2281" t="s">
        <v>2639</v>
      </c>
      <c r="E121" s="3200">
        <v>0.1</v>
      </c>
      <c r="F121" s="3201">
        <v>15</v>
      </c>
    </row>
    <row r="122" spans="1:6" ht="13.5">
      <c r="A122" s="2301">
        <v>48</v>
      </c>
      <c r="B122" s="4572" t="s">
        <v>2640</v>
      </c>
      <c r="C122" s="2301" t="s">
        <v>2641</v>
      </c>
      <c r="D122" s="2281" t="s">
        <v>2642</v>
      </c>
      <c r="E122" s="3200">
        <v>0.1</v>
      </c>
      <c r="F122" s="3201">
        <v>15</v>
      </c>
    </row>
    <row r="123" spans="1:6" ht="13.5">
      <c r="A123" s="2301">
        <v>49</v>
      </c>
      <c r="B123" s="4573"/>
      <c r="C123" s="2301" t="s">
        <v>2643</v>
      </c>
      <c r="D123" s="2281" t="s">
        <v>2644</v>
      </c>
      <c r="E123" s="3200">
        <v>0.1</v>
      </c>
      <c r="F123" s="3201">
        <v>15</v>
      </c>
    </row>
    <row r="124" spans="1:6" ht="24">
      <c r="A124" s="2301">
        <v>50</v>
      </c>
      <c r="B124" s="4571" t="s">
        <v>2645</v>
      </c>
      <c r="C124" s="2301" t="s">
        <v>2646</v>
      </c>
      <c r="D124" s="2281" t="s">
        <v>2647</v>
      </c>
      <c r="E124" s="3200">
        <v>0.1</v>
      </c>
      <c r="F124" s="3201">
        <v>15</v>
      </c>
    </row>
    <row r="125" spans="1:6" ht="24">
      <c r="A125" s="2301">
        <v>51</v>
      </c>
      <c r="B125" s="4571"/>
      <c r="C125" s="2301" t="s">
        <v>2648</v>
      </c>
      <c r="D125" s="2281" t="s">
        <v>2649</v>
      </c>
      <c r="E125" s="3200">
        <v>0.1</v>
      </c>
      <c r="F125" s="3201">
        <v>15</v>
      </c>
    </row>
    <row r="126" spans="1:6" ht="24">
      <c r="A126" s="2301">
        <v>52</v>
      </c>
      <c r="B126" s="4571" t="s">
        <v>2650</v>
      </c>
      <c r="C126" s="2301" t="s">
        <v>2651</v>
      </c>
      <c r="D126" s="2281" t="s">
        <v>2652</v>
      </c>
      <c r="E126" s="3200">
        <v>0.1</v>
      </c>
      <c r="F126" s="3201">
        <v>15</v>
      </c>
    </row>
    <row r="127" spans="1:6" ht="24">
      <c r="A127" s="2301">
        <v>53</v>
      </c>
      <c r="B127" s="4571"/>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71" t="s">
        <v>2658</v>
      </c>
      <c r="C129" s="2301" t="s">
        <v>2659</v>
      </c>
      <c r="D129" s="2281" t="s">
        <v>2660</v>
      </c>
      <c r="E129" s="3200">
        <v>0.1</v>
      </c>
      <c r="F129" s="3201">
        <v>15</v>
      </c>
    </row>
    <row r="130" spans="1:6" ht="13.5">
      <c r="A130" s="2301">
        <v>56</v>
      </c>
      <c r="B130" s="4571"/>
      <c r="C130" s="2301" t="s">
        <v>2661</v>
      </c>
      <c r="D130" s="2281" t="s">
        <v>2662</v>
      </c>
      <c r="E130" s="3200">
        <v>0.1</v>
      </c>
      <c r="F130" s="3201">
        <v>15</v>
      </c>
    </row>
    <row r="131" spans="1:6" ht="24">
      <c r="A131" s="2301">
        <v>57</v>
      </c>
      <c r="B131" s="4571"/>
      <c r="C131" s="2301" t="s">
        <v>2663</v>
      </c>
      <c r="D131" s="2281" t="s">
        <v>2664</v>
      </c>
      <c r="E131" s="3200">
        <v>0.1</v>
      </c>
      <c r="F131" s="3201">
        <v>15</v>
      </c>
    </row>
    <row r="132" spans="1:6" ht="24">
      <c r="A132" s="2301">
        <v>58</v>
      </c>
      <c r="B132" s="4571" t="s">
        <v>2665</v>
      </c>
      <c r="C132" s="2301" t="s">
        <v>2666</v>
      </c>
      <c r="D132" s="2281" t="s">
        <v>2667</v>
      </c>
      <c r="E132" s="3200">
        <v>0.1</v>
      </c>
      <c r="F132" s="3201">
        <v>15</v>
      </c>
    </row>
    <row r="133" spans="1:6" ht="13.5">
      <c r="A133" s="2301">
        <v>59</v>
      </c>
      <c r="B133" s="4571"/>
      <c r="C133" s="2301" t="s">
        <v>2668</v>
      </c>
      <c r="D133" s="2281" t="s">
        <v>2669</v>
      </c>
      <c r="E133" s="3200">
        <v>0.1</v>
      </c>
      <c r="F133" s="3201">
        <v>15</v>
      </c>
    </row>
    <row r="134" spans="1:6" ht="13.5">
      <c r="A134" s="2301">
        <v>60</v>
      </c>
      <c r="B134" s="4572" t="s">
        <v>2670</v>
      </c>
      <c r="C134" s="2301" t="s">
        <v>2671</v>
      </c>
      <c r="D134" s="2281" t="s">
        <v>2672</v>
      </c>
      <c r="E134" s="3200">
        <v>0.1</v>
      </c>
      <c r="F134" s="3201">
        <v>15</v>
      </c>
    </row>
    <row r="135" spans="1:6" ht="13.5">
      <c r="A135" s="2301">
        <v>61</v>
      </c>
      <c r="B135" s="4573"/>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71" t="s">
        <v>2678</v>
      </c>
      <c r="C137" s="2301" t="s">
        <v>2679</v>
      </c>
      <c r="D137" s="2281" t="s">
        <v>2680</v>
      </c>
      <c r="E137" s="3200">
        <v>0.1</v>
      </c>
      <c r="F137" s="3201">
        <v>15</v>
      </c>
    </row>
    <row r="138" spans="1:6" ht="13.5">
      <c r="A138" s="2301">
        <v>64</v>
      </c>
      <c r="B138" s="4571"/>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26156</v>
      </c>
      <c r="C2" s="2" t="s">
        <v>104</v>
      </c>
      <c r="D2" s="95"/>
      <c r="E2" s="95"/>
      <c r="F2" s="95"/>
      <c r="G2" s="95"/>
    </row>
    <row r="3" spans="1:7" s="96" customFormat="1" ht="18" customHeight="1" thickBot="1">
      <c r="A3" s="99" t="s">
        <v>56</v>
      </c>
      <c r="B3" s="100">
        <f ca="1">ROUND(B2*10000/'数据-汇总表'!E3,0)</f>
        <v>3563488</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1</v>
      </c>
      <c r="D10" s="566">
        <f>'数据-汇总表'!E6</f>
        <v>73.400000000000006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v>
      </c>
      <c r="D19" s="108">
        <f>'数据-汇总表'!E3</f>
        <v>73.400000000000006</v>
      </c>
      <c r="E19" s="107">
        <f>'数据-取费表'!B31</f>
        <v>130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3153</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3153</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26115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33</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3</v>
      </c>
      <c r="D37" s="113">
        <f>'数据-汇总表'!E3</f>
        <v>73.400000000000006</v>
      </c>
      <c r="E37" s="145">
        <f>'数据-取费表'!B35</f>
        <v>350</v>
      </c>
      <c r="F37" s="155"/>
      <c r="G37" s="157" t="s">
        <v>90</v>
      </c>
    </row>
    <row r="38" spans="1:7" ht="13.5" customHeight="1">
      <c r="A38" s="541" t="s">
        <v>352</v>
      </c>
      <c r="B38" s="111" t="s">
        <v>34</v>
      </c>
      <c r="C38" s="116">
        <f>ROUND(C34*F38,0)</f>
        <v>0</v>
      </c>
      <c r="D38" s="116"/>
      <c r="E38" s="116"/>
      <c r="F38" s="155">
        <f>'数据-取费表'!B36</f>
        <v>0.01</v>
      </c>
      <c r="G38" s="115" t="s">
        <v>88</v>
      </c>
    </row>
    <row r="39" spans="1:7" s="110" customFormat="1" ht="13.5" customHeight="1">
      <c r="A39" s="538" t="s">
        <v>336</v>
      </c>
      <c r="B39" s="106" t="s">
        <v>75</v>
      </c>
      <c r="C39" s="128">
        <f>ROUND(C33*F20,0)</f>
        <v>1</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v>
      </c>
      <c r="D42" s="134"/>
      <c r="E42" s="134"/>
      <c r="F42" s="135"/>
      <c r="G42" s="4387" t="s">
        <v>92</v>
      </c>
    </row>
    <row r="43" spans="1:7" ht="13.5" customHeight="1">
      <c r="A43" s="541" t="s">
        <v>345</v>
      </c>
      <c r="B43" s="111" t="s">
        <v>420</v>
      </c>
      <c r="C43" s="134">
        <f ca="1">ROUND(IF('数据-取费表'!B22&lt;=1,C39*F22*'数据-取费表'!B21/2,C39*(POWER((1+F22),'数据-取费表'!B21/2)-1)),0)</f>
        <v>0</v>
      </c>
      <c r="D43" s="134"/>
      <c r="E43" s="134"/>
      <c r="F43" s="135"/>
      <c r="G43" s="4446"/>
    </row>
    <row r="44" spans="1:7" ht="13.5" customHeight="1">
      <c r="A44" s="541" t="s">
        <v>346</v>
      </c>
      <c r="B44" s="111" t="s">
        <v>422</v>
      </c>
      <c r="C44" s="134">
        <f ca="1">ROUND(IF('数据-取费表'!B22&lt;=1,C40*F22*'数据-取费表'!B21/2,C40*(POWER((1+F22),'数据-取费表'!B21/2)-1)),4)</f>
        <v>5.9999999999999995E-4</v>
      </c>
      <c r="D44" s="134"/>
      <c r="E44" s="134"/>
      <c r="F44" s="135"/>
      <c r="G44" s="4388"/>
    </row>
    <row r="45" spans="1:7" s="110" customFormat="1" ht="13.5" customHeight="1">
      <c r="A45" s="538" t="s">
        <v>339</v>
      </c>
      <c r="B45" s="140" t="s">
        <v>83</v>
      </c>
      <c r="C45" s="141">
        <f>C46</f>
        <v>6</v>
      </c>
      <c r="D45" s="131">
        <f>C47</f>
        <v>3.0000000000000001E-3</v>
      </c>
      <c r="E45" s="132" t="s">
        <v>100</v>
      </c>
      <c r="F45" s="142"/>
      <c r="G45" s="143" t="s">
        <v>428</v>
      </c>
    </row>
    <row r="46" spans="1:7" s="110" customFormat="1" ht="13.5" customHeight="1">
      <c r="A46" s="541" t="s">
        <v>347</v>
      </c>
      <c r="B46" s="144" t="s">
        <v>421</v>
      </c>
      <c r="C46" s="145">
        <f>ROUND((C33+C39)*F27,0)</f>
        <v>6</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47</v>
      </c>
      <c r="D49" s="128"/>
      <c r="E49" s="128"/>
      <c r="F49" s="160"/>
      <c r="G49" s="130" t="s">
        <v>429</v>
      </c>
    </row>
    <row r="50" spans="1:7" s="154" customFormat="1" ht="24">
      <c r="A50" s="538" t="s">
        <v>342</v>
      </c>
      <c r="B50" s="106" t="s">
        <v>95</v>
      </c>
      <c r="C50" s="128"/>
      <c r="D50" s="128"/>
      <c r="E50" s="128"/>
      <c r="F50" s="160">
        <f>IF('数据-取费表'!B24=0,'数据-取费表'!N16,1)</f>
        <v>0.87</v>
      </c>
      <c r="G50" s="143" t="s">
        <v>96</v>
      </c>
    </row>
    <row r="51" spans="1:7" ht="16.5" customHeight="1">
      <c r="A51" s="538" t="s">
        <v>343</v>
      </c>
      <c r="B51" s="106" t="s">
        <v>103</v>
      </c>
      <c r="C51" s="128">
        <f ca="1">ROUND(C49*F50,0)</f>
        <v>41</v>
      </c>
      <c r="D51" s="128"/>
      <c r="E51" s="128"/>
      <c r="F51" s="160"/>
      <c r="G51" s="130" t="s">
        <v>35</v>
      </c>
    </row>
    <row r="52" spans="1:7" s="104" customFormat="1" ht="16.5" thickBot="1">
      <c r="A52" s="161" t="s">
        <v>36</v>
      </c>
      <c r="B52" s="162"/>
      <c r="C52" s="163">
        <f ca="1">C31+C51</f>
        <v>26156</v>
      </c>
      <c r="D52" s="162"/>
      <c r="E52" s="162"/>
      <c r="F52" s="162"/>
      <c r="G52" s="164"/>
    </row>
    <row r="55" spans="1:7" ht="15">
      <c r="B55" s="166" t="s">
        <v>37</v>
      </c>
      <c r="C55" s="167"/>
    </row>
    <row r="56" spans="1:7">
      <c r="B56" s="169" t="s">
        <v>38</v>
      </c>
      <c r="C56" s="170">
        <f ca="1">ROUND(C51/C52,3)</f>
        <v>2E-3</v>
      </c>
    </row>
    <row r="57" spans="1:7">
      <c r="B57" s="169" t="s">
        <v>39</v>
      </c>
      <c r="C57" s="171">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85" t="s">
        <v>3070</v>
      </c>
      <c r="B1" s="4585"/>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5" defaultRowHeight="13.5"/>
  <cols>
    <col min="1" max="16384" width="13.25" style="2274"/>
  </cols>
  <sheetData>
    <row r="1" spans="1:6" ht="14.25">
      <c r="A1" s="4586" t="s">
        <v>3121</v>
      </c>
      <c r="B1" s="4586"/>
      <c r="C1" s="4586"/>
      <c r="D1" s="4586"/>
      <c r="E1" s="4586"/>
      <c r="F1" s="4587"/>
    </row>
    <row r="2" spans="1:6" ht="14.25">
      <c r="A2" s="2433" t="s">
        <v>3122</v>
      </c>
    </row>
    <row r="3" spans="1:6" ht="14.25">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J40" sqref="J40"/>
    </sheetView>
  </sheetViews>
  <sheetFormatPr defaultRowHeight="13.5"/>
  <cols>
    <col min="1" max="1" width="13.875" customWidth="1"/>
    <col min="11" max="17" width="0" hidden="1" customWidth="1"/>
    <col min="25" max="30" width="0" hidden="1" customWidth="1"/>
  </cols>
  <sheetData>
    <row r="1" spans="1:44">
      <c r="A1" s="2372">
        <f>基准地价修正!G23</f>
        <v>46046</v>
      </c>
      <c r="B1" s="2364" t="s">
        <v>3264</v>
      </c>
      <c r="C1" s="2365"/>
      <c r="D1" s="2365"/>
      <c r="E1" s="2365"/>
      <c r="F1" s="2365"/>
      <c r="G1" s="2365"/>
      <c r="H1" s="2365"/>
      <c r="I1" s="2365"/>
      <c r="J1" s="2339"/>
      <c r="K1" s="2365" t="s">
        <v>448</v>
      </c>
      <c r="L1" s="2365"/>
      <c r="M1" s="2365"/>
      <c r="N1" s="2365"/>
      <c r="O1" s="2365"/>
      <c r="P1" s="2365"/>
      <c r="Q1" s="2339"/>
      <c r="R1" s="4588" t="s">
        <v>450</v>
      </c>
      <c r="S1" s="4589"/>
      <c r="T1" s="4589"/>
      <c r="U1" s="4589"/>
      <c r="V1" s="4589"/>
      <c r="W1" s="4589"/>
      <c r="X1" s="2339"/>
      <c r="Y1" s="4588" t="s">
        <v>451</v>
      </c>
      <c r="Z1" s="4589"/>
      <c r="AA1" s="4589"/>
      <c r="AB1" s="4589"/>
      <c r="AC1" s="4589"/>
      <c r="AD1" s="4589"/>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88" t="s">
        <v>2716</v>
      </c>
      <c r="S33" s="4589"/>
      <c r="T33" s="4589"/>
      <c r="U33" s="4589"/>
      <c r="V33" s="4589"/>
      <c r="W33" s="4589"/>
      <c r="X33" s="2339"/>
      <c r="Y33" s="4588" t="s">
        <v>2717</v>
      </c>
      <c r="Z33" s="4589"/>
      <c r="AA33" s="4589"/>
      <c r="AB33" s="4589"/>
      <c r="AC33" s="4589"/>
      <c r="AD33" s="4589"/>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3" t="s">
        <v>446</v>
      </c>
      <c r="C1" s="4593"/>
      <c r="D1" s="4593"/>
      <c r="E1" s="4593"/>
      <c r="F1" s="4593"/>
      <c r="G1" s="4589" t="s">
        <v>447</v>
      </c>
      <c r="H1" s="4589"/>
      <c r="I1" s="4589"/>
      <c r="J1" s="4589"/>
      <c r="K1" s="4589"/>
      <c r="L1" s="4589"/>
      <c r="N1" s="4589" t="s">
        <v>448</v>
      </c>
      <c r="O1" s="4589"/>
      <c r="P1" s="4589"/>
      <c r="Q1" s="4589"/>
      <c r="S1" s="4589" t="s">
        <v>449</v>
      </c>
      <c r="T1" s="4589"/>
      <c r="U1" s="4589"/>
      <c r="V1" s="4589"/>
      <c r="X1" s="4588" t="s">
        <v>450</v>
      </c>
      <c r="Y1" s="4589"/>
      <c r="Z1" s="4589"/>
      <c r="AA1" s="4589"/>
      <c r="AB1" s="4589"/>
      <c r="AD1" s="4588" t="s">
        <v>451</v>
      </c>
      <c r="AE1" s="4589"/>
      <c r="AF1" s="4589"/>
      <c r="AG1" s="4589"/>
      <c r="AH1" s="4589"/>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1">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1"/>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1"/>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8"/>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94">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1"/>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91"/>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8"/>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4">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1"/>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1"/>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2"/>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90">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1"/>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1"/>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2"/>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90">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1"/>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1"/>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2"/>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95">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96"/>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96"/>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97"/>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90">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1"/>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1"/>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2"/>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90">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1">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1">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2">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90">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1">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1">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2">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90">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1">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1">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2">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90">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1">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1">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2">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90">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1">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1">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2">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90">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1">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1">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2">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90">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1">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1">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2">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90">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1">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1">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2">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90">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1">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1">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2">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90">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1">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1">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2">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1" t="s">
        <v>2728</v>
      </c>
      <c r="B1" s="4601"/>
      <c r="C1" s="4601"/>
      <c r="D1" s="4601"/>
      <c r="E1" s="4601"/>
      <c r="F1" s="4601"/>
      <c r="G1" s="4602"/>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599"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600"/>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00" t="str">
        <f>IF(项目基本情况!B9="房地产市场价值","估价结果一览表","结果表-2")</f>
        <v>结果表-2</v>
      </c>
      <c r="B1" s="4200"/>
      <c r="C1" s="4200"/>
      <c r="D1" s="4200"/>
      <c r="E1" s="4200"/>
      <c r="F1" s="4200"/>
      <c r="G1" s="4200"/>
      <c r="H1" s="4200"/>
      <c r="I1" s="4200"/>
    </row>
    <row r="2" spans="1:9" ht="30" customHeight="1" thickTop="1">
      <c r="A2" s="4201" t="s">
        <v>914</v>
      </c>
      <c r="B2" s="4201" t="s">
        <v>915</v>
      </c>
      <c r="C2" s="4201" t="s">
        <v>916</v>
      </c>
      <c r="D2" s="4201" t="str">
        <f>结果表!D116</f>
        <v>出让国有建设用地使用权价值</v>
      </c>
      <c r="E2" s="4201"/>
      <c r="F2" s="4201">
        <f>结果表!F116</f>
        <v>0</v>
      </c>
      <c r="G2" s="4201"/>
      <c r="H2" s="4201" t="str">
        <f>IF(项目基本情况!B9="房地产市场价值","房地产市场价值","房地产价值")</f>
        <v>房地产价值</v>
      </c>
      <c r="I2" s="4201"/>
    </row>
    <row r="3" spans="1:9" ht="15">
      <c r="A3" s="4196"/>
      <c r="B3" s="4196"/>
      <c r="C3" s="4196"/>
      <c r="D3" s="572" t="s">
        <v>911</v>
      </c>
      <c r="E3" s="572" t="s">
        <v>917</v>
      </c>
      <c r="F3" s="572" t="s">
        <v>911</v>
      </c>
      <c r="G3" s="572" t="s">
        <v>912</v>
      </c>
      <c r="H3" s="572" t="s">
        <v>911</v>
      </c>
      <c r="I3" s="572" t="s">
        <v>912</v>
      </c>
    </row>
    <row r="4" spans="1:9" ht="15">
      <c r="A4" s="1084" t="str">
        <f>项目基本情况!S2</f>
        <v>北京市房地产</v>
      </c>
      <c r="B4" s="572">
        <f>项目基本情况!C17</f>
        <v>73.400000000000006</v>
      </c>
      <c r="C4" s="572">
        <f>项目基本情况!C18</f>
        <v>0</v>
      </c>
      <c r="D4" s="572">
        <f ca="1">结果表!D118</f>
        <v>192</v>
      </c>
      <c r="E4" s="572">
        <f ca="1">结果表!E118</f>
        <v>27769</v>
      </c>
      <c r="F4" s="572">
        <f ca="1">结果表!F118</f>
        <v>12</v>
      </c>
      <c r="G4" s="572">
        <f>结果表!G118</f>
        <v>0</v>
      </c>
      <c r="H4" s="572">
        <f ca="1">结果表!H118</f>
        <v>203.8245</v>
      </c>
      <c r="I4" s="572">
        <f ca="1">结果表!I118</f>
        <v>27769</v>
      </c>
    </row>
    <row r="5" spans="1:9" ht="30" customHeight="1">
      <c r="A5" s="4196" t="s">
        <v>913</v>
      </c>
      <c r="B5" s="4196"/>
      <c r="C5" s="4196"/>
      <c r="D5" s="4196" t="str">
        <f ca="1">结果表!D119</f>
        <v>壹佰玖拾贰万元整</v>
      </c>
      <c r="E5" s="4196"/>
      <c r="F5" s="4196" t="str">
        <f ca="1">结果表!F119</f>
        <v>壹拾贰万元整</v>
      </c>
      <c r="G5" s="4196"/>
      <c r="H5" s="4196" t="str">
        <f ca="1">结果表!H119</f>
        <v>贰佰零叁万捌仟贰佰肆拾伍元整</v>
      </c>
      <c r="I5" s="4196"/>
    </row>
    <row r="6" spans="1:9" ht="15.75">
      <c r="A6" s="4195" t="str">
        <f>结果表!A120</f>
        <v>估价师知悉的法定优先受偿款</v>
      </c>
      <c r="B6" s="4195"/>
      <c r="C6" s="4195"/>
      <c r="D6" s="4195">
        <f>结果表!D120</f>
        <v>0</v>
      </c>
      <c r="E6" s="4195"/>
      <c r="F6" s="4195"/>
      <c r="G6" s="4195"/>
      <c r="H6" s="4195"/>
      <c r="I6" s="4195"/>
    </row>
    <row r="7" spans="1:9" ht="15">
      <c r="A7" s="4196" t="s">
        <v>913</v>
      </c>
      <c r="B7" s="4196"/>
      <c r="C7" s="4196"/>
      <c r="D7" s="4197" t="str">
        <f>结果表!D121</f>
        <v>零元整</v>
      </c>
      <c r="E7" s="4198"/>
      <c r="F7" s="4198"/>
      <c r="G7" s="4198"/>
      <c r="H7" s="4198"/>
      <c r="I7" s="4199"/>
    </row>
    <row r="8" spans="1:9" ht="15.75">
      <c r="A8" s="4195" t="str">
        <f>结果表!A122</f>
        <v>房地产抵押价值</v>
      </c>
      <c r="B8" s="4195"/>
      <c r="C8" s="4195"/>
      <c r="D8" s="4195">
        <f ca="1">结果表!D122</f>
        <v>203.8245</v>
      </c>
      <c r="E8" s="4195"/>
      <c r="F8" s="4195"/>
      <c r="G8" s="4195"/>
      <c r="H8" s="4195"/>
      <c r="I8" s="4195"/>
    </row>
    <row r="9" spans="1:9" ht="15">
      <c r="A9" s="4196" t="s">
        <v>913</v>
      </c>
      <c r="B9" s="4196"/>
      <c r="C9" s="4196"/>
      <c r="D9" s="4196" t="str">
        <f ca="1">结果表!D123</f>
        <v>贰佰零叁万捌仟贰佰肆拾伍元整</v>
      </c>
      <c r="E9" s="4196"/>
      <c r="F9" s="4196"/>
      <c r="G9" s="4196"/>
      <c r="H9" s="4196"/>
      <c r="I9" s="4196"/>
    </row>
    <row r="10" spans="1:9" ht="15.75">
      <c r="A10" s="4195" t="str">
        <f>结果表!A124</f>
        <v/>
      </c>
      <c r="B10" s="4195"/>
      <c r="C10" s="4195"/>
      <c r="D10" s="4195" t="str">
        <f>结果表!D124</f>
        <v>——</v>
      </c>
      <c r="E10" s="4195"/>
      <c r="F10" s="4195"/>
      <c r="G10" s="4195"/>
      <c r="H10" s="4195"/>
      <c r="I10" s="4195"/>
    </row>
    <row r="11" spans="1:9" ht="15">
      <c r="A11" s="4196" t="s">
        <v>913</v>
      </c>
      <c r="B11" s="4196"/>
      <c r="C11" s="4196"/>
      <c r="D11" s="4196" t="e">
        <f>结果表!D125</f>
        <v>#VALUE!</v>
      </c>
      <c r="E11" s="4196"/>
      <c r="F11" s="4196"/>
      <c r="G11" s="4196"/>
      <c r="H11" s="4196"/>
      <c r="I11" s="4196"/>
    </row>
    <row r="12" spans="1:9" ht="15.75">
      <c r="A12" s="4195" t="str">
        <f>结果表!A126</f>
        <v/>
      </c>
      <c r="B12" s="4195"/>
      <c r="C12" s="4195"/>
      <c r="D12" s="4195" t="str">
        <f>结果表!D126</f>
        <v>——</v>
      </c>
      <c r="E12" s="4195"/>
      <c r="F12" s="4195"/>
      <c r="G12" s="4195"/>
      <c r="H12" s="4195"/>
      <c r="I12" s="4195"/>
    </row>
    <row r="13" spans="1:9" ht="15.75" thickBot="1">
      <c r="A13" s="4193" t="s">
        <v>913</v>
      </c>
      <c r="B13" s="4193"/>
      <c r="C13" s="4193"/>
      <c r="D13" s="4193" t="e">
        <f>结果表!D127</f>
        <v>#VALUE!</v>
      </c>
      <c r="E13" s="4193"/>
      <c r="F13" s="4193"/>
      <c r="G13" s="4193"/>
      <c r="H13" s="4193"/>
      <c r="I13" s="4193"/>
    </row>
    <row r="14" spans="1:9" ht="15" thickTop="1">
      <c r="A14" s="4194" t="s">
        <v>918</v>
      </c>
      <c r="B14" s="4194"/>
      <c r="C14" s="4194"/>
      <c r="D14" s="4194"/>
      <c r="E14" s="4194"/>
      <c r="F14" s="4194"/>
      <c r="G14" s="4194"/>
      <c r="H14" s="4194"/>
      <c r="I14" s="4194"/>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J40" sqref="J40"/>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46046</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08" t="s">
        <v>935</v>
      </c>
      <c r="B1" s="4208"/>
      <c r="C1" s="4208"/>
      <c r="D1" s="4208"/>
    </row>
    <row r="2" spans="1:4" ht="18">
      <c r="A2" s="4209" t="s">
        <v>919</v>
      </c>
      <c r="B2" s="4209"/>
      <c r="C2" s="4209"/>
      <c r="D2" s="4209"/>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09" t="s">
        <v>925</v>
      </c>
      <c r="B6" s="4209"/>
      <c r="C6" s="4209"/>
      <c r="D6" s="4209"/>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10" t="s">
        <v>928</v>
      </c>
      <c r="B11" s="4202"/>
      <c r="C11" s="4202"/>
      <c r="D11" s="4202"/>
    </row>
    <row r="12" spans="1:4" ht="15.75">
      <c r="A12" s="4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7"/>
      <c r="C12" s="4207"/>
      <c r="D12" s="4207"/>
    </row>
    <row r="13" spans="1:4" ht="30" customHeight="1">
      <c r="A13" s="4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7"/>
      <c r="C13" s="4207"/>
      <c r="D13" s="4207"/>
    </row>
    <row r="14" spans="1:4" ht="15.75" customHeight="1">
      <c r="A14" s="4202" t="str">
        <f>IF(项目基本情况!B8="抵押","4.本次评估估价师所知悉的法定优先受偿款情况说明如下：","——")</f>
        <v>4.本次评估估价师所知悉的法定优先受偿款情况说明如下：</v>
      </c>
      <c r="B14" s="4207"/>
      <c r="C14" s="4207"/>
      <c r="D14" s="4207"/>
    </row>
    <row r="15" spans="1:4" ht="42" customHeight="1">
      <c r="A15" s="4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2"/>
      <c r="C15" s="4202"/>
      <c r="D15" s="4202"/>
    </row>
    <row r="16" spans="1:4" ht="30" customHeight="1">
      <c r="A16" s="4204" t="s">
        <v>929</v>
      </c>
      <c r="B16" s="4204"/>
      <c r="C16" s="4204"/>
      <c r="D16" s="4204"/>
    </row>
    <row r="17" spans="1:4" ht="144" customHeight="1">
      <c r="A17" s="4204" t="s">
        <v>930</v>
      </c>
      <c r="B17" s="4204"/>
      <c r="C17" s="4204"/>
      <c r="D17" s="4204"/>
    </row>
    <row r="18" spans="1:4" ht="15.75" customHeight="1">
      <c r="A18" s="4202" t="str">
        <f>IF(项目基本情况!B8="抵押",结果表!K120,"——")</f>
        <v>故，本次评估不存在估价师知悉的法定优先受偿款</v>
      </c>
      <c r="B18" s="4202"/>
      <c r="C18" s="4202"/>
      <c r="D18" s="4202"/>
    </row>
    <row r="19" spans="1:4" ht="46.5" customHeight="1">
      <c r="A19" s="4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2"/>
      <c r="C19" s="4202"/>
      <c r="D19" s="4202"/>
    </row>
    <row r="20" spans="1:4" ht="57.75" customHeight="1">
      <c r="A20" s="4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2"/>
      <c r="C20" s="4202"/>
      <c r="D20" s="4202"/>
    </row>
    <row r="21" spans="1:4" ht="57.75" customHeight="1">
      <c r="A21" s="4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05"/>
      <c r="C21" s="4205"/>
      <c r="D21" s="4205"/>
    </row>
    <row r="22" spans="1:4" ht="18.75" customHeight="1">
      <c r="A22" s="4206" t="s">
        <v>931</v>
      </c>
      <c r="B22" s="4206"/>
      <c r="C22" s="4206"/>
      <c r="D22" s="4206"/>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03">
        <v>42551</v>
      </c>
      <c r="D31" s="420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16" t="s">
        <v>942</v>
      </c>
      <c r="B15" s="4211" t="s">
        <v>107</v>
      </c>
      <c r="C15" s="4212"/>
    </row>
    <row r="16" spans="1:7" ht="13.5">
      <c r="A16" s="4217"/>
      <c r="B16" s="4211" t="s">
        <v>40</v>
      </c>
      <c r="C16" s="4212"/>
    </row>
    <row r="17" spans="1:3" ht="13.5">
      <c r="A17" s="4217"/>
      <c r="B17" s="4214" t="s">
        <v>943</v>
      </c>
      <c r="C17" s="1110" t="s">
        <v>942</v>
      </c>
    </row>
    <row r="18" spans="1:3" ht="13.5">
      <c r="A18" s="4217"/>
      <c r="B18" s="4214"/>
      <c r="C18" s="1110" t="s">
        <v>944</v>
      </c>
    </row>
    <row r="19" spans="1:3" ht="13.5">
      <c r="A19" s="4217"/>
      <c r="B19" s="4214"/>
      <c r="C19" s="1110" t="s">
        <v>945</v>
      </c>
    </row>
    <row r="20" spans="1:3" ht="13.5">
      <c r="A20" s="4218"/>
      <c r="B20" s="4213" t="s">
        <v>946</v>
      </c>
      <c r="C20" s="4212"/>
    </row>
    <row r="21" spans="1:3" ht="13.5">
      <c r="A21" s="1111" t="s">
        <v>947</v>
      </c>
      <c r="B21" s="1112"/>
      <c r="C21" s="1113"/>
    </row>
    <row r="22" spans="1:3" ht="13.5">
      <c r="A22" s="4215" t="s">
        <v>948</v>
      </c>
      <c r="B22" s="4213" t="s">
        <v>949</v>
      </c>
      <c r="C22" s="4212"/>
    </row>
    <row r="23" spans="1:3" ht="13.5">
      <c r="A23" s="4215"/>
      <c r="B23" s="4213" t="s">
        <v>950</v>
      </c>
      <c r="C23" s="4212"/>
    </row>
    <row r="24" spans="1:3" ht="13.5">
      <c r="A24" s="4215"/>
      <c r="B24" s="4213" t="s">
        <v>951</v>
      </c>
      <c r="C24" s="4212"/>
    </row>
    <row r="25" spans="1:3" ht="13.5">
      <c r="A25" s="4215"/>
      <c r="B25" s="4214" t="s">
        <v>952</v>
      </c>
      <c r="C25" s="1110" t="s">
        <v>953</v>
      </c>
    </row>
    <row r="26" spans="1:3" ht="13.5">
      <c r="A26" s="4215"/>
      <c r="B26" s="4214"/>
      <c r="C26" s="1110" t="s">
        <v>954</v>
      </c>
    </row>
    <row r="27" spans="1:3" ht="13.5">
      <c r="A27" s="4215"/>
      <c r="B27" s="4214"/>
      <c r="C27" s="1110" t="s">
        <v>955</v>
      </c>
    </row>
    <row r="28" spans="1:3" ht="13.5">
      <c r="A28" s="4215"/>
      <c r="B28" s="4214"/>
      <c r="C28" s="1110" t="s">
        <v>956</v>
      </c>
    </row>
    <row r="29" spans="1:3" ht="13.5">
      <c r="A29" s="4215"/>
      <c r="B29" s="4214"/>
      <c r="C29" s="1110" t="s">
        <v>957</v>
      </c>
    </row>
    <row r="30" spans="1:3" ht="13.5">
      <c r="A30" s="4215"/>
      <c r="B30" s="4214"/>
      <c r="C30" s="1110" t="s">
        <v>958</v>
      </c>
    </row>
    <row r="31" spans="1:3" ht="13.5">
      <c r="A31" s="4215"/>
      <c r="B31" s="4214"/>
      <c r="C31" s="1110" t="s">
        <v>959</v>
      </c>
    </row>
    <row r="32" spans="1:3" ht="13.5">
      <c r="A32" s="4215"/>
      <c r="B32" s="4214"/>
      <c r="C32" s="1110" t="s">
        <v>960</v>
      </c>
    </row>
    <row r="33" spans="1:3" ht="13.5">
      <c r="A33" s="4215"/>
      <c r="B33" s="4214"/>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46049</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19" t="s">
        <v>2072</v>
      </c>
      <c r="B17" s="4219"/>
      <c r="C17" s="4219"/>
      <c r="D17" s="4219"/>
      <c r="E17" s="4219"/>
      <c r="F17" s="4219"/>
      <c r="G17" s="4219"/>
      <c r="H17" s="4219"/>
    </row>
    <row r="18" spans="1:8" ht="24" customHeight="1">
      <c r="A18" s="4220" t="s">
        <v>2073</v>
      </c>
      <c r="B18" s="4220"/>
      <c r="C18" s="4220"/>
      <c r="D18" s="1751"/>
      <c r="E18" s="4221" t="s">
        <v>2074</v>
      </c>
      <c r="F18" s="4220"/>
      <c r="G18" s="4220"/>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成本法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2026-01-27T02:43:57Z</dcterms:modified>
</cp:coreProperties>
</file>