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平谷工业询价\"/>
    </mc:Choice>
  </mc:AlternateContent>
  <xr:revisionPtr revIDLastSave="0" documentId="13_ncr:1_{3ECFFBE8-813F-421A-8A80-396107D40A3B}"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46" i="43" l="1"/>
  <c r="G85" i="43" l="1"/>
  <c r="G86" i="43"/>
  <c r="G87" i="43"/>
  <c r="G88" i="43"/>
  <c r="G89" i="43"/>
  <c r="G90" i="43"/>
  <c r="G91" i="43"/>
  <c r="G84" i="43"/>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C28"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C6" i="43" s="1"/>
  <c r="M2" i="43"/>
  <c r="M8" i="43"/>
  <c r="M7" i="43"/>
  <c r="N9" i="43"/>
  <c r="N10" i="43"/>
  <c r="F84" i="43" s="1"/>
  <c r="M6" i="43"/>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C31" i="12" l="1"/>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F46" i="36" l="1"/>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H46" i="36" l="1"/>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6" i="76"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Q49" i="67"/>
  <c r="J14" i="67"/>
  <c r="J13" i="67" s="1"/>
  <c r="J23" i="67" s="1"/>
  <c r="C29" i="15"/>
  <c r="C33" i="15" s="1"/>
  <c r="C31" i="15" s="1"/>
  <c r="J59" i="67"/>
  <c r="J60" i="67" s="1"/>
  <c r="L46" i="67" s="1"/>
  <c r="J19" i="67"/>
  <c r="J17" i="67" s="1"/>
  <c r="C57" i="67"/>
  <c r="C64" i="67" s="1"/>
  <c r="E6" i="76"/>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B21" i="72"/>
  <c r="D7" i="53"/>
  <c r="H102" i="9"/>
  <c r="B49" i="72"/>
  <c r="D5" i="52"/>
  <c r="D119" i="9"/>
  <c r="C105" i="9"/>
  <c r="I4" i="52"/>
  <c r="M54" i="9"/>
  <c r="D56" i="9"/>
  <c r="D58" i="9"/>
  <c r="C97" i="9"/>
  <c r="B22" i="72"/>
  <c r="D6" i="53"/>
  <c r="D5" i="53"/>
  <c r="B20" i="72"/>
  <c r="B51" i="72"/>
  <c r="F4" i="52"/>
  <c r="M55" i="9"/>
  <c r="D59" i="9"/>
  <c r="B48" i="72"/>
  <c r="E4" i="52"/>
  <c r="C73" i="9"/>
  <c r="C78" i="9"/>
  <c r="M48" i="9"/>
  <c r="C6" i="74"/>
  <c r="G14" i="74"/>
  <c r="B6" i="74"/>
  <c r="D6" i="74"/>
  <c r="B31" i="72"/>
  <c r="D15" i="53"/>
  <c r="H108" i="9"/>
  <c r="D8" i="52"/>
  <c r="D122" i="9"/>
  <c r="D123" i="9"/>
  <c r="D9" i="52"/>
  <c r="B53" i="72"/>
  <c r="F5" i="52"/>
  <c r="F119" i="9"/>
  <c r="B52" i="72"/>
  <c r="F118" i="9"/>
  <c r="G118" i="9"/>
  <c r="G4" i="52"/>
  <c r="C64" i="9"/>
  <c r="C63" i="9"/>
  <c r="C67" i="9"/>
  <c r="C68" i="9"/>
  <c r="D54" i="9"/>
  <c r="E118" i="9"/>
  <c r="D118" i="9"/>
  <c r="D4" i="52"/>
  <c r="B47" i="72"/>
  <c r="C85" i="9"/>
  <c r="C95" i="9"/>
  <c r="C96" i="9"/>
  <c r="E96" i="9"/>
  <c r="E97" i="9"/>
  <c r="C86" i="9"/>
  <c r="C93" i="9"/>
  <c r="B30" i="72"/>
  <c r="H107" i="9"/>
  <c r="D13" i="53"/>
  <c r="D14" i="53"/>
  <c r="B32" i="72"/>
  <c r="H5" i="52"/>
  <c r="H119" i="9"/>
  <c r="C81" i="9"/>
  <c r="C72" i="9"/>
  <c r="C79" i="9"/>
  <c r="C80" i="9"/>
  <c r="E80" i="9"/>
  <c r="E81" i="9"/>
  <c r="D53" i="9"/>
  <c r="D52" i="9"/>
  <c r="N58" i="9"/>
  <c r="P57" i="9"/>
  <c r="N60" i="9"/>
  <c r="H101" i="9"/>
  <c r="D45" i="9"/>
  <c r="D55" i="9"/>
  <c r="M53" i="9"/>
  <c r="N57" i="9"/>
  <c r="N59" i="9"/>
  <c r="N61" i="9"/>
  <c r="H4" i="52"/>
  <c r="C104" i="9"/>
  <c r="D5" i="74"/>
  <c r="B5" i="74"/>
  <c r="C5" i="74"/>
  <c r="F14" i="74"/>
  <c r="I118" i="9"/>
  <c r="H118" i="9"/>
  <c r="D14" i="74"/>
  <c r="E14"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<sst xmlns="http://schemas.openxmlformats.org/spreadsheetml/2006/main" count="7675" uniqueCount="3118">
  <si>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</si>
  <si>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</si>
  <si>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</si>
  <si>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</si>
  <si>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</si>
  <si>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</si>
  <si>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</si>
  <si>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</si>
  <si>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</si>
  <si>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</si>
  <si>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</si>
  <si>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</si>
  <si>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</si>
  <si>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</si>
  <si>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</si>
  <si>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</si>
  <si>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</si>
  <si>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</si>
  <si>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</si>
  <si>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</si>
  <si>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</si>
  <si>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</si>
  <si>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</si>
  <si>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</si>
  <si>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</si>
  <si>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</si>
  <si>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</si>
  <si>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</si>
  <si>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</si>
  <si>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</si>
  <si>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</si>
  <si>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</si>
  <si>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</si>
  <si>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</si>
  <si>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</si>
  <si>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</si>
  <si>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</si>
  <si>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</si>
  <si>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</si>
  <si>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</si>
  <si>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</si>
  <si>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</si>
  <si>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</si>
  <si>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</si>
  <si>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</si>
  <si>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</si>
  <si>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</si>
  <si>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</si>
  <si>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</si>
  <si>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</si>
  <si>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</si>
  <si>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</si>
  <si>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</si>
  <si>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</si>
  <si>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</si>
  <si>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</si>
  <si>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</si>
  <si>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</si>
  <si>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</si>
  <si>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</si>
  <si>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</si>
  <si>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</si>
  <si>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</si>
  <si>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</si>
  <si>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</si>
  <si>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</si>
  <si>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</si>
  <si>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</si>
  <si>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</si>
  <si>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</si>
  <si>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</si>
  <si>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</si>
  <si>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</si>
  <si>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</si>
  <si>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</si>
  <si>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</si>
  <si>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</si>
  <si>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</si>
  <si>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</si>
  <si>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</si>
  <si>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</si>
  <si>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</si>
  <si>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</si>
  <si>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</si>
  <si>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</si>
  <si>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</si>
  <si>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</si>
  <si>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</si>
  <si>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</si>
  <si>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</si>
  <si>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</si>
  <si>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</si>
  <si>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</si>
  <si>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</si>
  <si>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</si>
  <si>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</si>
  <si>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</si>
  <si>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</si>
  <si>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</si>
  <si>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</si>
  <si>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</si>
  <si>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</si>
  <si>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</si>
  <si>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</si>
  <si>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</si>
  <si>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</si>
  <si>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</si>
  <si>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</si>
  <si>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</si>
  <si>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</si>
  <si>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</si>
  <si>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</si>
  <si>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</si>
  <si>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</si>
  <si>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</si>
  <si>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</si>
  <si>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</si>
  <si>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</si>
  <si>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</si>
  <si>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</si>
  <si>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</si>
  <si>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</si>
  <si>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</si>
  <si>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</si>
  <si>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</si>
  <si>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</si>
  <si>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</si>
  <si>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</si>
  <si>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</si>
  <si>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</si>
  <si>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</si>
  <si>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</si>
  <si>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</si>
  <si>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</si>
  <si>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</si>
  <si>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</si>
  <si>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</si>
  <si>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</si>
  <si>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</si>
  <si>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</si>
  <si>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</si>
  <si>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</si>
  <si>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</si>
  <si>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</si>
  <si>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</si>
  <si>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</si>
  <si>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</si>
  <si>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</si>
  <si>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</si>
  <si>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</si>
  <si>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</si>
  <si>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</si>
  <si>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</si>
  <si>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</si>
  <si>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</si>
  <si>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</si>
  <si>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</si>
  <si>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</si>
  <si>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</si>
  <si>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</si>
  <si>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</si>
  <si>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</si>
  <si>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</si>
  <si>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</si>
  <si>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</si>
  <si>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</si>
  <si>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</si>
  <si>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</si>
  <si>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</si>
  <si>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</si>
  <si>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</si>
  <si>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</si>
  <si>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</si>
  <si>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</si>
  <si>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</si>
  <si>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</si>
  <si>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</si>
  <si>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</si>
  <si>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</si>
  <si>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</si>
  <si>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</si>
  <si>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</si>
  <si>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</si>
  <si>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</si>
  <si>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</si>
  <si>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</si>
  <si>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</si>
  <si>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</si>
  <si>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</si>
  <si>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</si>
  <si>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</si>
  <si>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</si>
  <si>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</si>
  <si>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</si>
  <si>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</si>
  <si>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</si>
  <si>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</si>
  <si>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</si>
  <si>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</si>
  <si>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</si>
  <si>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</si>
  <si>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</si>
  <si>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</si>
  <si>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</si>
  <si>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</si>
  <si>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</si>
  <si>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</si>
  <si>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</si>
  <si>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</si>
  <si>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</si>
  <si>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</si>
  <si>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</si>
  <si>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</si>
  <si>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</si>
  <si>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</si>
  <si>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</si>
  <si>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</si>
  <si>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</si>
  <si>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</si>
  <si>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</si>
  <si>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</si>
  <si>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</si>
  <si>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</si>
  <si>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</si>
  <si>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</si>
  <si>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</si>
  <si>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</si>
  <si>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</si>
  <si>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</si>
  <si>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</si>
  <si>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</si>
  <si>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</si>
  <si>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</si>
  <si>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</si>
  <si>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</si>
  <si>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</si>
  <si>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</si>
  <si>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</si>
  <si>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</si>
  <si>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</si>
  <si>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</si>
  <si>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</si>
  <si>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</si>
  <si>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</si>
  <si>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</si>
  <si>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</si>
  <si>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</si>
  <si>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</si>
  <si>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</si>
  <si>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</si>
  <si>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</si>
  <si>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</si>
  <si>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</si>
  <si>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</si>
  <si>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</si>
  <si>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</si>
  <si>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</si>
  <si>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</si>
  <si>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</si>
  <si>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</si>
  <si>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</si>
  <si>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</si>
  <si>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</si>
  <si>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</si>
  <si>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</si>
  <si>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</si>
  <si>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</si>
  <si>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</si>
  <si>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</si>
  <si>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</si>
  <si>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</si>
  <si>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</si>
  <si>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</si>
  <si>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</si>
  <si>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</si>
  <si>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</si>
  <si>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</si>
  <si>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</si>
  <si>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</si>
  <si>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</si>
  <si>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</si>
  <si>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</si>
  <si>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</si>
  <si>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</si>
  <si>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</si>
  <si>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</si>
  <si>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</si>
  <si>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</si>
  <si>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</si>
  <si>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</si>
  <si>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</si>
  <si>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</si>
  <si>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</si>
  <si>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</si>
  <si>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</si>
  <si>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</si>
  <si>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</si>
  <si>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</si>
  <si>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</si>
  <si>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</si>
  <si>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</si>
  <si>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</si>
  <si>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</si>
  <si>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</si>
  <si>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</si>
  <si>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</si>
  <si>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</si>
  <si>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</si>
  <si>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</si>
  <si>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</si>
  <si>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</si>
  <si>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</si>
  <si>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</si>
  <si>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</si>
  <si>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</si>
  <si>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</si>
  <si>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</si>
  <si>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</si>
  <si>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</si>
  <si>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</si>
  <si>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</si>
  <si>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</si>
  <si>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</si>
  <si>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</si>
  <si>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</si>
  <si>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</si>
  <si>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</si>
  <si>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</si>
  <si>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</si>
  <si>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</si>
  <si>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</si>
  <si>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</si>
  <si>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</si>
  <si>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</si>
  <si>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</si>
  <si>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</si>
  <si>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</si>
  <si>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</si>
  <si>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</si>
  <si>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</si>
  <si>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</si>
  <si>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</si>
  <si>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</si>
  <si>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</si>
  <si>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</si>
  <si>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</si>
  <si>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</si>
  <si>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</si>
  <si>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</si>
  <si>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</si>
  <si>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</si>
  <si>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</si>
  <si>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</si>
  <si>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</si>
  <si>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</si>
  <si>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</si>
  <si>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</si>
  <si>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</si>
  <si>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</si>
  <si>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</si>
  <si>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</si>
  <si>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</si>
  <si>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</si>
  <si>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</si>
  <si>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</si>
  <si>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</si>
  <si>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</si>
  <si>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</si>
  <si>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</si>
  <si>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</si>
  <si>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</si>
  <si>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</si>
  <si>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</si>
  <si>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</si>
  <si>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</si>
  <si>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</si>
  <si>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</si>
  <si>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</si>
  <si>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</si>
  <si>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</si>
  <si>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</si>
  <si>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</si>
  <si>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</si>
  <si>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</si>
  <si>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</si>
  <si>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</si>
  <si>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</si>
  <si>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</si>
  <si>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</si>
  <si>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</si>
  <si>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</si>
  <si>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</si>
  <si>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</si>
  <si>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</si>
  <si>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</si>
  <si>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</si>
  <si>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</si>
  <si>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</si>
  <si>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</si>
  <si>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</si>
  <si>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</si>
  <si>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</si>
  <si>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</si>
  <si>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</si>
  <si>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</si>
  <si>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</si>
  <si>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</si>
  <si>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</si>
  <si>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</si>
  <si>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</si>
  <si>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</si>
  <si>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</si>
  <si>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</si>
  <si>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</si>
  <si>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</si>
  <si>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</si>
  <si>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</si>
  <si>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</si>
  <si>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</si>
  <si>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</si>
  <si>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</si>
  <si>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</si>
  <si>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</si>
  <si>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</si>
  <si>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</si>
  <si>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</si>
  <si>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</si>
  <si>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</si>
  <si>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</si>
  <si>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</si>
  <si>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</si>
  <si>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</si>
  <si>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</si>
  <si>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</si>
  <si>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</si>
  <si>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</si>
  <si>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</si>
  <si>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</si>
  <si>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</si>
  <si>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</si>
  <si>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</si>
  <si>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</si>
  <si>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</si>
  <si>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</si>
  <si>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</si>
  <si>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</si>
  <si>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</si>
  <si>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</si>
  <si>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</si>
  <si>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</si>
  <si>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</si>
  <si>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</si>
  <si>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</si>
  <si>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</si>
  <si>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</si>
  <si>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</si>
  <si>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</si>
  <si>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</si>
  <si>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</si>
  <si>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</si>
  <si>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</si>
  <si>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</si>
  <si>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</si>
  <si>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</si>
  <si>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</si>
  <si>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</si>
  <si>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</si>
  <si>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</si>
  <si>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</si>
  <si>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</si>
  <si>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</si>
  <si>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</si>
  <si>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</si>
  <si>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</si>
  <si>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</si>
  <si>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</si>
  <si>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</si>
  <si>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</si>
  <si>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</si>
  <si>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</si>
  <si>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</si>
  <si>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</si>
  <si>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</si>
  <si>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</si>
  <si>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</si>
  <si>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</si>
  <si>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</si>
  <si>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</si>
  <si>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</si>
  <si>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</si>
  <si>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</si>
  <si>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</si>
  <si>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</si>
  <si>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</si>
  <si>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</si>
  <si>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</si>
  <si>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</si>
  <si>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</si>
  <si>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</si>
  <si>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</si>
  <si>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</si>
  <si>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</si>
  <si>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</si>
  <si>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</si>
  <si>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</si>
  <si>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</si>
  <si>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</si>
  <si>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</si>
  <si>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</si>
  <si>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</si>
  <si>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</si>
  <si>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</si>
  <si>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</si>
  <si>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</si>
  <si>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</si>
  <si>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</si>
  <si>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</si>
  <si>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</si>
  <si>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</si>
  <si>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</si>
  <si>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</si>
  <si>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</si>
  <si>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</si>
  <si>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</si>
  <si>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</si>
  <si>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</si>
  <si>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</si>
  <si>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</si>
  <si>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</si>
  <si>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</si>
  <si>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</si>
  <si>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</si>
  <si>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</si>
  <si>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</si>
  <si>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</si>
  <si>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</si>
  <si>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</si>
  <si>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</si>
  <si>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</si>
  <si>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</si>
  <si>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</si>
  <si>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</si>
  <si>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</si>
  <si>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</si>
  <si>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</si>
  <si>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</si>
  <si>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</si>
  <si>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</si>
  <si>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</si>
  <si>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</si>
  <si>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</si>
  <si>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</si>
  <si>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</si>
  <si>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</si>
  <si>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</si>
  <si>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</si>
  <si>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</si>
  <si>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</si>
  <si>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</si>
  <si>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</si>
  <si>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</si>
  <si>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</si>
  <si>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</si>
  <si>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</si>
  <si>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</si>
  <si>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</si>
  <si>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</si>
  <si>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</si>
  <si>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</si>
  <si>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</si>
  <si>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</si>
  <si>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</si>
  <si>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</si>
  <si>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</si>
  <si>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</si>
  <si>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</si>
  <si>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</si>
  <si>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</si>
  <si>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</si>
  <si>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</si>
  <si>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</si>
  <si>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</si>
  <si>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</si>
  <si>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</si>
  <si>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</si>
  <si>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</si>
  <si>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</si>
  <si>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</si>
  <si>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</si>
  <si>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</si>
  <si>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</si>
  <si>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</si>
  <si>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</si>
  <si>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</si>
  <si>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</si>
  <si>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</si>
  <si>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</si>
  <si>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</si>
  <si>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</si>
  <si>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</si>
  <si>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</si>
  <si>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</si>
  <si>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</si>
  <si>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</si>
  <si>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</si>
  <si>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</si>
  <si>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</si>
  <si>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</si>
  <si>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</si>
  <si>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</si>
  <si>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</si>
  <si>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</si>
  <si>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</si>
  <si>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</si>
  <si>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</si>
  <si>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</si>
  <si>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</si>
  <si>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</si>
  <si>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</si>
  <si>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</si>
  <si>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</si>
  <si>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</si>
  <si>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</si>
  <si>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</si>
  <si>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</si>
  <si>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</si>
  <si>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</si>
  <si>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</si>
  <si>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</si>
  <si>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</si>
  <si>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</si>
  <si>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</si>
  <si>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</si>
  <si>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</si>
  <si>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</si>
  <si>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</si>
  <si>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</si>
  <si>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</si>
  <si>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</si>
  <si>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</si>
  <si>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</si>
  <si>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</si>
  <si>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</si>
  <si>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</si>
  <si>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</si>
  <si>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</si>
  <si>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</si>
  <si>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</si>
  <si>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</si>
  <si>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</si>
  <si>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</si>
  <si>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</si>
  <si>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</si>
  <si>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</si>
  <si>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</si>
  <si>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</si>
  <si>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</si>
  <si>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</si>
  <si>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</si>
  <si>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</si>
  <si>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</si>
  <si>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</si>
  <si>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</si>
  <si>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</si>
  <si>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</si>
  <si>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</si>
  <si>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</si>
  <si>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</si>
  <si>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</si>
  <si>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</si>
  <si>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</si>
  <si>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</si>
  <si>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</si>
  <si>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</si>
  <si>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</si>
  <si>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</si>
  <si>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</si>
  <si>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</si>
  <si>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</si>
  <si>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</si>
  <si>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</si>
  <si>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</si>
  <si>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</si>
  <si>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</si>
  <si>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</si>
  <si>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</si>
  <si>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</si>
  <si>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</si>
  <si>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</si>
  <si>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</si>
  <si>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</si>
  <si>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</si>
  <si>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</si>
  <si>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</si>
  <si>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</si>
  <si>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</si>
  <si>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</si>
  <si>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</si>
  <si>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</si>
  <si>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</si>
  <si>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</si>
  <si>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</si>
  <si>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</si>
  <si>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</si>
  <si>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</si>
  <si>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</si>
  <si>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</si>
  <si>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</si>
  <si>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</si>
  <si>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</si>
  <si>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</si>
  <si>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</si>
  <si>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</si>
  <si>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</si>
  <si>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</si>
  <si>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</si>
  <si>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</si>
  <si>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</si>
  <si>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</si>
  <si>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</si>
  <si>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</si>
  <si>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</si>
  <si>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</si>
  <si>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</si>
  <si>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</si>
  <si>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</si>
  <si>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</si>
  <si>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</si>
  <si>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</si>
  <si>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</si>
  <si>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</si>
  <si>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</si>
  <si>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</si>
  <si>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</si>
  <si>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</si>
  <si>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</si>
  <si>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</si>
  <si>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</si>
  <si>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</si>
  <si>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</si>
  <si>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</si>
  <si>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</si>
  <si>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</si>
  <si>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</si>
  <si>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</si>
  <si>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</si>
  <si>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</si>
  <si>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</si>
  <si>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</si>
  <si>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</si>
  <si>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</si>
  <si>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</si>
  <si>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</si>
  <si>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</si>
  <si>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</si>
  <si>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</si>
  <si>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</si>
  <si>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</si>
  <si>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</si>
  <si>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</si>
  <si>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</si>
  <si>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</si>
  <si>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</si>
  <si>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</si>
  <si>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</si>
  <si>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</si>
  <si>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</si>
  <si>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</si>
  <si>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</si>
  <si>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</si>
  <si>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</si>
  <si>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</si>
  <si>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</si>
  <si>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</si>
  <si>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</si>
  <si>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</si>
  <si>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</si>
  <si>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</si>
  <si>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</si>
  <si>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</si>
  <si>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</si>
  <si>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</si>
  <si>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</si>
  <si>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</si>
  <si>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</si>
  <si>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</si>
  <si>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</si>
  <si>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</si>
  <si>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</si>
  <si>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</si>
  <si>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</si>
  <si>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</si>
  <si>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</si>
  <si>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</si>
  <si>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</si>
  <si>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</si>
  <si>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</si>
  <si>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</si>
  <si>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</si>
  <si>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</si>
  <si>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</si>
  <si>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</si>
  <si>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</si>
  <si>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</si>
  <si>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</si>
  <si>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</si>
  <si>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</si>
  <si>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</si>
  <si>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</si>
  <si>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</si>
  <si>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</si>
  <si>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</si>
  <si>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</si>
  <si>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</si>
  <si>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</si>
  <si>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</si>
  <si>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</si>
  <si>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</si>
  <si>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</si>
  <si>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</si>
  <si>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</si>
  <si>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</si>
  <si>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</si>
  <si>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</si>
  <si>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</si>
  <si>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</si>
  <si>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</si>
  <si>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</si>
  <si>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</si>
  <si>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</si>
  <si>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</si>
  <si>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</si>
  <si>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</si>
  <si>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</si>
  <si>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</si>
  <si>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</si>
  <si>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</si>
  <si>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</si>
  <si>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</si>
  <si>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</si>
  <si>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</si>
  <si>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</si>
  <si>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</si>
  <si>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</si>
  <si>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</si>
  <si>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</si>
  <si>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</si>
  <si>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</si>
  <si>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</si>
  <si>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</si>
  <si>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</si>
  <si>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</si>
  <si>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</si>
  <si>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</si>
  <si>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</si>
  <si>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</si>
  <si>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</si>
  <si>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</si>
  <si>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</si>
  <si>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</si>
  <si>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</si>
  <si>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</si>
  <si>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</si>
  <si>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</si>
  <si>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</si>
  <si>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</si>
  <si>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</si>
  <si>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</si>
  <si>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</si>
  <si>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</si>
  <si>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</si>
  <si>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</si>
  <si>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</si>
  <si>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</si>
  <si>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</si>
  <si>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</si>
  <si>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</si>
  <si>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</si>
  <si>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</si>
  <si>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</si>
  <si>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</si>
  <si>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</si>
  <si>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</si>
  <si>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</si>
  <si>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</si>
  <si>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</si>
  <si>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</si>
  <si>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</si>
  <si>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</si>
  <si>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</si>
  <si>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</si>
  <si>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</si>
  <si>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</si>
  <si>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</si>
  <si>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</si>
  <si>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</si>
  <si>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</si>
  <si>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</si>
  <si>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</si>
  <si>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</si>
  <si>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</si>
  <si>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</si>
  <si>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</si>
  <si>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</si>
  <si>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</si>
  <si>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</si>
  <si>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</si>
  <si>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</si>
  <si>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</si>
  <si>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</si>
  <si>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</si>
  <si>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</si>
  <si>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</si>
  <si>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</si>
  <si>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</si>
  <si>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</si>
  <si>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</si>
  <si>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</si>
  <si>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</si>
  <si>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</si>
  <si>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</si>
  <si>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</si>
  <si>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</si>
  <si>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</si>
  <si>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</si>
  <si>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</si>
  <si>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</si>
  <si>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</si>
  <si>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</si>
  <si>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</si>
  <si>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</si>
  <si>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</si>
  <si>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</si>
  <si>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</si>
  <si>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</si>
  <si>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</si>
  <si>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</si>
  <si>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</si>
  <si>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</si>
  <si>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</si>
  <si>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</si>
  <si>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</si>
  <si>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</si>
  <si>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</si>
  <si>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</si>
  <si>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</si>
  <si>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</si>
  <si>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</si>
  <si>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</si>
  <si>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</si>
  <si>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</si>
  <si>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</si>
  <si>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</si>
  <si>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</si>
  <si>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</si>
  <si>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</si>
  <si>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</si>
  <si>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</si>
  <si>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</si>
  <si>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</si>
  <si>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</si>
  <si>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</si>
  <si>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</si>
  <si>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</si>
  <si>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</si>
  <si>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</si>
  <si>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</si>
  <si>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</si>
  <si>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</si>
  <si>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</si>
  <si>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</si>
  <si>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</si>
  <si>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</si>
  <si>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</si>
  <si>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</si>
  <si>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</si>
  <si>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</si>
  <si>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</si>
  <si>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</si>
  <si>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</si>
  <si>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</si>
  <si>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</si>
  <si>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</si>
  <si>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</si>
  <si>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</si>
  <si>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</si>
  <si>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</si>
  <si>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</si>
  <si>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</si>
  <si>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</si>
  <si>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</si>
  <si>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</si>
  <si>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</si>
  <si>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</si>
  <si>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</si>
  <si>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</si>
  <si>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</si>
  <si>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</si>
  <si>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</si>
  <si>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</si>
  <si>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</si>
  <si>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</si>
  <si>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</si>
  <si>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</si>
  <si>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</si>
  <si>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</si>
  <si>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</si>
  <si>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</si>
  <si>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</si>
  <si>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</si>
  <si>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</si>
  <si>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</si>
  <si>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</si>
  <si>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</si>
  <si>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</si>
  <si>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</si>
  <si>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</si>
  <si>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</si>
  <si>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</si>
  <si>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</si>
  <si>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</si>
  <si>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</si>
  <si>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</si>
  <si>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</si>
  <si>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</si>
  <si>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</si>
  <si>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</si>
  <si>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</si>
  <si>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</si>
  <si>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</si>
  <si>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</si>
  <si>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</si>
  <si>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</si>
  <si>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</si>
  <si>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</si>
  <si>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</si>
  <si>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</si>
  <si>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</si>
  <si>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</si>
  <si>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</si>
  <si>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</si>
  <si>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</si>
  <si>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</si>
  <si>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</si>
  <si>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</si>
  <si>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</si>
  <si>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</si>
  <si>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</si>
  <si>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</si>
  <si>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</si>
  <si>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</si>
  <si>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</si>
  <si>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</si>
  <si>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</si>
  <si>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</si>
  <si>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</si>
  <si>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</si>
  <si>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</si>
  <si>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</si>
  <si>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</si>
  <si>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</si>
  <si>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</si>
  <si>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</si>
  <si>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</si>
  <si>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</si>
  <si>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</si>
  <si>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</si>
  <si>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</si>
  <si>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</si>
  <si>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</si>
  <si>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</si>
  <si>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</si>
  <si>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</si>
  <si>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</si>
  <si>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</si>
  <si>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</si>
  <si>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</si>
  <si>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</si>
  <si>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</si>
  <si>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</si>
  <si>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</si>
  <si>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</si>
  <si>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</si>
  <si>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</si>
  <si>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</si>
  <si>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</si>
  <si>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</si>
  <si>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</si>
  <si>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</si>
  <si>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</si>
  <si>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</si>
  <si>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</si>
  <si>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</si>
  <si>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</si>
  <si>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</si>
  <si>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</si>
  <si>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</si>
  <si>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</si>
  <si>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</si>
  <si>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</si>
  <si>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</si>
  <si>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</si>
  <si>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</si>
  <si>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</si>
  <si>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</si>
  <si>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</si>
  <si>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</si>
  <si>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</si>
  <si>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</si>
  <si>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</si>
  <si>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</si>
  <si>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</si>
  <si>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</si>
  <si>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</si>
  <si>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</si>
  <si>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</si>
  <si>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</si>
  <si>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</si>
  <si>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</si>
  <si>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</si>
  <si>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</si>
  <si>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</si>
  <si>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</si>
  <si>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</si>
  <si>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</si>
  <si>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</si>
  <si>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</si>
  <si>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</si>
  <si>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</si>
  <si>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</si>
  <si>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</si>
  <si>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</si>
  <si>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</si>
  <si>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</si>
  <si>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</si>
  <si>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</si>
  <si>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</si>
  <si>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</si>
  <si>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</si>
  <si>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</si>
  <si>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</si>
  <si>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</si>
  <si>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</si>
  <si>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</si>
  <si>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</si>
  <si>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</si>
  <si>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</si>
  <si>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</si>
  <si>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</si>
  <si>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</si>
  <si>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</si>
  <si>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</si>
  <si>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</si>
  <si>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</si>
  <si>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</si>
  <si>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</si>
  <si>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</si>
  <si>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</si>
  <si>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</si>
  <si>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</si>
  <si>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</si>
  <si>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</si>
  <si>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</si>
  <si>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</si>
  <si>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</si>
  <si>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</si>
  <si>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</si>
  <si>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</si>
  <si>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</si>
  <si>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</si>
  <si>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</si>
  <si>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</si>
  <si>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</si>
  <si>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</si>
  <si>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</si>
  <si>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</si>
  <si>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</si>
  <si>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</si>
  <si>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</si>
  <si>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</si>
  <si>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</si>
  <si>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</si>
  <si>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</si>
  <si>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</si>
  <si>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</si>
  <si>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</si>
  <si>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</si>
  <si>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</si>
  <si>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</si>
  <si>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</si>
  <si>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</si>
  <si>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</si>
  <si>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</si>
  <si>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</si>
  <si>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</si>
  <si>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</si>
  <si>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</si>
  <si>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</si>
  <si>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</si>
  <si>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</si>
  <si>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</si>
  <si>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</si>
  <si>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</si>
  <si>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</si>
  <si>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</si>
  <si>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</si>
  <si>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</si>
  <si>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</si>
  <si>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</si>
  <si>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</si>
  <si>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</si>
  <si>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</si>
  <si>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</si>
  <si>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</si>
  <si>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</si>
  <si>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</si>
  <si>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</si>
  <si>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</si>
  <si>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</si>
  <si>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</si>
  <si>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</si>
  <si>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</si>
  <si>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</si>
  <si>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</si>
  <si>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</si>
  <si>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</si>
  <si>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</si>
  <si>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</si>
  <si>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</si>
  <si>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</si>
  <si>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</si>
  <si>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</si>
  <si>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</si>
  <si>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</si>
  <si>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</si>
  <si>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</si>
  <si>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</si>
  <si>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</si>
  <si>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</si>
  <si>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</si>
  <si>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</si>
  <si>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</si>
  <si>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</si>
  <si>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</si>
  <si>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</si>
  <si>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</si>
  <si>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</si>
  <si>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</si>
  <si>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</si>
  <si>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</si>
  <si>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</si>
  <si>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</si>
  <si>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</si>
  <si>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</si>
  <si>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</si>
  <si>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</si>
  <si>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</si>
  <si>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</si>
  <si>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</si>
  <si>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</si>
  <si>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</si>
  <si>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</si>
  <si>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</si>
  <si>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</si>
  <si>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</si>
  <si>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</si>
  <si>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</si>
  <si>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</si>
  <si>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</si>
  <si>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</si>
  <si>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</si>
  <si>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</si>
  <si>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</si>
  <si>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</si>
  <si>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</si>
  <si>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</si>
  <si>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</si>
  <si>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</si>
  <si>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</si>
  <si>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</si>
  <si>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</si>
  <si>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</si>
  <si>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</si>
  <si>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</si>
  <si>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</si>
  <si>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</si>
  <si>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</si>
  <si>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</si>
  <si>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</si>
  <si>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</si>
  <si>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</si>
  <si>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</si>
  <si>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</si>
  <si>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</si>
  <si>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</si>
  <si>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</si>
  <si>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</si>
  <si>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</si>
  <si>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</si>
  <si>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</si>
  <si>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</si>
  <si>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</si>
  <si>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</si>
  <si>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</si>
  <si>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</si>
  <si>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</si>
  <si>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</si>
  <si>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</si>
  <si>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</si>
  <si>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</si>
  <si>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</si>
  <si>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</si>
  <si>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</si>
  <si>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</si>
  <si>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</si>
  <si>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</si>
  <si>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</si>
  <si>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</si>
  <si>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</si>
  <si>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</si>
  <si>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</si>
  <si>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</si>
  <si>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</si>
  <si>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</si>
  <si>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</si>
  <si>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</si>
  <si>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</si>
  <si>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</si>
  <si>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</si>
  <si>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</si>
  <si>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</si>
  <si>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</si>
  <si>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</si>
  <si>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</si>
  <si>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</si>
  <si>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</si>
  <si>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</si>
  <si>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</si>
  <si>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</si>
  <si>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</si>
  <si>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</si>
  <si>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</si>
  <si>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</si>
  <si>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</si>
  <si>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</si>
  <si>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</si>
  <si>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</si>
  <si>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</si>
  <si>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</si>
  <si>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</si>
  <si>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</si>
  <si>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</si>
  <si>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</si>
  <si>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</si>
  <si>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</si>
  <si>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</si>
  <si>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</si>
  <si>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</si>
  <si>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</si>
  <si>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</si>
  <si>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</si>
  <si>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</si>
  <si>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</si>
  <si>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</si>
  <si>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</si>
  <si>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</si>
  <si>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</si>
  <si>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</si>
  <si>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</si>
  <si>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</si>
  <si>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</si>
  <si>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</si>
  <si>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</si>
  <si>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</si>
  <si>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</si>
  <si>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</si>
  <si>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</si>
  <si>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</si>
  <si>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</si>
  <si>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</si>
  <si>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</si>
  <si>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</si>
  <si>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</si>
  <si>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</si>
  <si>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</si>
  <si>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</si>
  <si>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</si>
  <si>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</si>
  <si>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</si>
  <si>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</si>
  <si>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</si>
  <si>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</si>
  <si>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</si>
  <si>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</si>
  <si>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</si>
  <si>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</si>
  <si>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</si>
  <si>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</si>
  <si>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</si>
  <si>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</si>
  <si>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</si>
  <si>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</si>
  <si>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</si>
  <si>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</si>
  <si>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</si>
  <si>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</si>
  <si>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</si>
  <si>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</si>
  <si>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</si>
  <si>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</si>
  <si>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</si>
  <si>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</si>
  <si>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</si>
  <si>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</si>
  <si>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</si>
  <si>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</si>
  <si>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</si>
  <si>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</si>
  <si>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</si>
  <si>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</si>
  <si>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</si>
  <si>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</si>
  <si>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</si>
  <si>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</si>
  <si>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</si>
  <si>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</si>
  <si>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</si>
  <si>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</si>
  <si>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</si>
  <si>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</si>
  <si>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</si>
  <si>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</si>
  <si>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</si>
  <si>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</si>
  <si>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</si>
  <si>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</si>
  <si>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</si>
  <si>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</si>
  <si>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</si>
  <si>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</si>
  <si>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</si>
  <si>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</si>
  <si>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</si>
  <si>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</si>
  <si>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</si>
  <si>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</si>
  <si>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</si>
  <si>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</si>
  <si>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</si>
  <si>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</si>
  <si>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</si>
  <si>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</si>
  <si>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</si>
  <si>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</si>
  <si>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</si>
  <si>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</si>
  <si>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</si>
  <si>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</si>
  <si>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</si>
  <si>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</si>
  <si>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</si>
  <si>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</si>
  <si>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</si>
  <si>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</si>
  <si>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</si>
  <si>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</si>
  <si>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</si>
  <si>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</si>
  <si>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</si>
  <si>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</si>
  <si>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</si>
  <si>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</si>
  <si>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</si>
  <si>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</si>
  <si>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</si>
  <si>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</si>
  <si>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</si>
  <si>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</si>
  <si>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</si>
  <si>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</si>
  <si>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</si>
  <si>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</si>
  <si>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</si>
  <si>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</si>
  <si>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</si>
  <si>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</si>
  <si>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</si>
  <si>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</si>
  <si>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</si>
  <si>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</si>
  <si>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</si>
  <si>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</si>
  <si>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</si>
  <si>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</si>
  <si>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</si>
  <si>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</si>
  <si>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</si>
  <si>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</si>
  <si>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</si>
  <si>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</si>
  <si>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</si>
  <si>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</si>
  <si>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</si>
  <si>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</si>
  <si>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</si>
  <si>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</si>
  <si>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</si>
  <si>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</si>
  <si>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</si>
  <si>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</si>
  <si>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</si>
  <si>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</si>
  <si>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</si>
  <si>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</si>
  <si>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</si>
  <si>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</si>
  <si>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</si>
  <si>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</si>
  <si>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</si>
  <si>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</si>
  <si>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</si>
  <si>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</si>
  <si>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</si>
  <si>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</si>
  <si>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</si>
  <si>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</si>
  <si>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</si>
  <si>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</si>
  <si>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</si>
  <si>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</si>
  <si>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</si>
  <si>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</si>
  <si>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</si>
  <si>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</si>
  <si>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</si>
  <si>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</si>
  <si>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</si>
  <si>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</si>
  <si>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</si>
  <si>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</si>
  <si>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</si>
  <si>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</si>
  <si>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</si>
  <si>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</si>
  <si>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</si>
  <si>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</si>
  <si>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</si>
  <si>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</si>
  <si>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</si>
  <si>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</si>
  <si>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</si>
  <si>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</si>
  <si>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</si>
  <si>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</si>
  <si>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</si>
  <si>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</si>
  <si>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</si>
  <si>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</si>
  <si>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</si>
  <si>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</si>
  <si>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</si>
  <si>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</si>
  <si>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</si>
  <si>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</si>
  <si>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</si>
  <si>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</si>
  <si>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</si>
  <si>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</si>
  <si>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</si>
  <si>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</si>
  <si>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</si>
  <si>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</si>
  <si>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</si>
  <si>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</si>
  <si>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</si>
  <si>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</si>
  <si>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</si>
  <si>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</si>
  <si>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</si>
  <si>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</si>
  <si>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</si>
  <si>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</si>
  <si>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</si>
  <si>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</si>
  <si>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</si>
  <si>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</si>
  <si>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</si>
  <si>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</si>
  <si>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</si>
  <si>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</si>
  <si>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</si>
  <si>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</si>
  <si>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</si>
  <si>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</si>
  <si>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</si>
  <si>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</si>
  <si>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</si>
  <si>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</si>
  <si>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</si>
  <si>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</si>
  <si>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</si>
  <si>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</si>
  <si>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</si>
  <si>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</si>
  <si>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</si>
  <si>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</si>
  <si>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</si>
  <si>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</si>
  <si>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</si>
  <si>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</si>
  <si>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</si>
  <si>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</si>
  <si>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</si>
  <si>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</si>
  <si>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</si>
  <si>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</si>
  <si>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</si>
  <si>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</si>
  <si>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</si>
  <si>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</si>
  <si>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</si>
  <si>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</si>
  <si>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</si>
  <si>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</si>
  <si>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</si>
  <si>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</si>
  <si>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</si>
  <si>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</si>
  <si>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</si>
  <si>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</si>
  <si>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</si>
  <si>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</si>
  <si>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</si>
  <si>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</si>
  <si>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</si>
  <si>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</si>
  <si>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</si>
  <si>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</si>
  <si>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</si>
  <si>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</si>
  <si>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</si>
  <si>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</si>
  <si>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</si>
  <si>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</si>
  <si>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</si>
  <si>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</si>
  <si>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</si>
  <si>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</si>
  <si>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</si>
  <si>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</si>
  <si>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</si>
  <si>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</si>
  <si>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</si>
  <si>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</si>
  <si>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</si>
  <si>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</si>
  <si>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</si>
  <si>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</si>
  <si>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</si>
  <si>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</si>
  <si>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</si>
  <si>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</si>
  <si>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</si>
  <si>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</si>
  <si>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</si>
  <si>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</si>
  <si>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</si>
  <si>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</si>
  <si>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</si>
  <si>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</si>
  <si>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</si>
  <si>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</si>
  <si>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</si>
  <si>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</si>
  <si>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</si>
  <si>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</si>
  <si>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</si>
  <si>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</si>
  <si>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</si>
  <si>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</si>
  <si>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</si>
  <si>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</si>
  <si>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</si>
  <si>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</si>
  <si>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</si>
  <si>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</si>
  <si>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</si>
  <si>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</si>
  <si>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</si>
  <si>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</si>
  <si>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</si>
  <si>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</si>
  <si>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</si>
  <si>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</si>
  <si>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</si>
  <si>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</si>
  <si>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</si>
  <si>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</si>
  <si>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</si>
  <si>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</si>
  <si>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</si>
  <si>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</si>
  <si>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</si>
  <si>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</si>
  <si>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</si>
  <si>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</si>
  <si>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</si>
  <si>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</si>
  <si>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</si>
  <si>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</si>
  <si>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</si>
  <si>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</si>
  <si>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</si>
  <si>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</si>
  <si>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</si>
  <si>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</si>
  <si>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</si>
  <si>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</si>
  <si>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</si>
  <si>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</si>
  <si>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</si>
  <si>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</si>
  <si>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</si>
  <si>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</si>
  <si>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</si>
  <si>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</si>
  <si>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</si>
  <si>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</si>
  <si>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</si>
  <si>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</si>
  <si>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</si>
  <si>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</si>
  <si>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</si>
  <si>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</si>
  <si>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</si>
  <si>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</si>
  <si>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</si>
  <si>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</si>
  <si>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</si>
  <si>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</si>
  <si>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</si>
  <si>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</si>
  <si>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</si>
  <si>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</si>
  <si>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</si>
  <si>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</si>
  <si>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</si>
  <si>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</si>
  <si>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</si>
  <si>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</si>
  <si>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</si>
  <si>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</si>
  <si>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</si>
  <si>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</si>
  <si>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</si>
  <si>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</si>
  <si>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</si>
  <si>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</si>
  <si>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</si>
  <si>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</si>
  <si>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</si>
  <si>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</si>
  <si>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</si>
  <si>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</si>
  <si>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</si>
  <si>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</si>
  <si>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</si>
  <si>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</si>
  <si>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</si>
  <si>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</si>
  <si>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</si>
  <si>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</si>
  <si>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</si>
  <si>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</si>
  <si>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</si>
  <si>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</si>
  <si>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</si>
  <si>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</si>
  <si>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</si>
  <si>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</si>
  <si>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</si>
  <si>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</si>
  <si>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</si>
  <si>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</si>
  <si>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</si>
  <si>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</si>
  <si>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</si>
  <si>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</si>
  <si>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</si>
  <si>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</si>
  <si>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</si>
  <si>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</si>
  <si>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</si>
  <si>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</si>
  <si>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</si>
  <si>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</si>
  <si>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</si>
  <si>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</si>
  <si>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</si>
  <si>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</si>
  <si>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</si>
  <si>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</si>
  <si>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</si>
  <si>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</si>
  <si>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</si>
  <si>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</si>
  <si>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</si>
  <si>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</si>
  <si>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</si>
  <si>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</si>
  <si>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</si>
  <si>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</si>
  <si>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</si>
  <si>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</si>
  <si>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</si>
  <si>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</si>
  <si>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</si>
  <si>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</si>
  <si>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</si>
  <si>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</si>
  <si>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</si>
  <si>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</si>
  <si>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</si>
  <si>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</si>
  <si>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</si>
  <si>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</si>
  <si>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</si>
  <si>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</si>
  <si>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</si>
  <si>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</si>
  <si>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</si>
  <si>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</si>
  <si>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</si>
  <si>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</si>
  <si>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</si>
  <si>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</si>
  <si>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</si>
  <si>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</si>
  <si>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</si>
  <si>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</si>
  <si>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</si>
  <si>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</si>
  <si>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</si>
  <si>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</si>
  <si>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</si>
  <si>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</si>
  <si>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</si>
  <si>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</si>
  <si>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</si>
  <si>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</si>
  <si>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</si>
  <si>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</si>
  <si>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</si>
  <si>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</si>
  <si>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</si>
  <si>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</si>
  <si>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</si>
  <si>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</si>
  <si>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</si>
  <si>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</si>
  <si>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</si>
  <si>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</si>
  <si>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</si>
  <si>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</si>
  <si>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</si>
  <si>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</si>
  <si>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</si>
  <si>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</si>
  <si>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</si>
  <si>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</si>
  <si>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</si>
  <si>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</si>
  <si>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</si>
  <si>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</si>
  <si>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</si>
  <si>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</si>
  <si>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</si>
  <si>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</si>
  <si>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</si>
  <si>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</si>
  <si>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</si>
  <si>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</si>
  <si>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</si>
  <si>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</si>
  <si>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</si>
  <si>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</si>
  <si>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</si>
  <si>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</si>
  <si>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</si>
  <si>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</si>
  <si>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</si>
  <si>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</si>
  <si>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</si>
  <si>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</si>
  <si>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</si>
  <si>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</si>
  <si>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</si>
  <si>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</si>
  <si>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</si>
  <si>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</si>
  <si>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</si>
  <si>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</si>
  <si>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</si>
  <si>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</si>
  <si>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</si>
  <si>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</si>
  <si>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</si>
  <si>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</si>
  <si>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</si>
  <si>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</si>
  <si>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</si>
  <si>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</si>
  <si>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</si>
  <si>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</si>
  <si>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</si>
  <si>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</si>
  <si>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</si>
  <si>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</si>
  <si>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</si>
  <si>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</si>
  <si>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</si>
  <si>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</si>
  <si>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</si>
  <si>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</si>
  <si>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</si>
  <si>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</si>
  <si>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</si>
  <si>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</si>
  <si>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</si>
  <si>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</si>
  <si>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</si>
  <si>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</si>
  <si>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</si>
  <si>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</si>
  <si>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</si>
  <si>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</si>
  <si>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</si>
  <si>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</si>
  <si>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</si>
  <si>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</si>
  <si>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</si>
  <si>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</si>
  <si>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</si>
  <si>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</si>
  <si>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</si>
  <si>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</si>
  <si>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</si>
  <si>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</si>
  <si>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</si>
  <si>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</si>
  <si>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</si>
  <si>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</si>
  <si>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</si>
  <si>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</si>
  <si>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</si>
  <si>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</si>
  <si>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</si>
  <si>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</si>
  <si>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</si>
  <si>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</si>
  <si>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</si>
  <si>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</si>
  <si>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</si>
  <si>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</si>
  <si>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</si>
  <si>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</si>
  <si>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</si>
  <si>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</si>
  <si>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</si>
  <si>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</si>
  <si>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</si>
  <si>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</si>
  <si>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</si>
  <si>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</si>
  <si>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</si>
  <si>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</si>
  <si>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</si>
  <si>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</si>
  <si>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</si>
  <si>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</si>
  <si>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</si>
  <si>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</si>
  <si>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</si>
  <si>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</si>
  <si>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</si>
  <si>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</si>
  <si>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</si>
  <si>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</si>
  <si>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</si>
  <si>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</si>
  <si>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</si>
  <si>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</si>
  <si>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</si>
  <si>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</si>
  <si>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</si>
  <si>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</si>
  <si>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</si>
  <si>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</si>
  <si>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</si>
  <si>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</si>
  <si>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</si>
  <si>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</si>
  <si>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</si>
  <si>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</si>
  <si>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</si>
  <si>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</si>
  <si>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</si>
  <si>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</si>
  <si>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</si>
  <si>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</si>
  <si>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</si>
  <si>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</si>
  <si>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</si>
  <si>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</si>
  <si>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</si>
  <si>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</si>
  <si>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</si>
  <si>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</si>
  <si>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</si>
  <si>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</si>
  <si>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</si>
  <si>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</si>
  <si>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</si>
  <si>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</si>
  <si>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</si>
  <si>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</si>
  <si>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</si>
  <si>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</si>
  <si>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</si>
  <si>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</si>
  <si>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</si>
  <si>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</si>
  <si>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</si>
  <si>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</si>
  <si>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</si>
  <si>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</si>
  <si>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</si>
  <si>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</si>
  <si>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</si>
  <si>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</si>
  <si>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</si>
  <si>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</si>
  <si>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</si>
  <si>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</si>
  <si>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</si>
  <si>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</si>
  <si>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</si>
  <si>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</si>
  <si>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</si>
  <si>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</si>
  <si>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</si>
  <si>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</si>
  <si>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</si>
  <si>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</si>
  <si>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</si>
  <si>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</si>
  <si>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</si>
  <si>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</si>
  <si>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</si>
  <si>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</si>
  <si>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</si>
  <si>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</si>
  <si>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</si>
  <si>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</si>
  <si>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</si>
  <si>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</si>
  <si>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</si>
  <si>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</si>
  <si>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</si>
  <si>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</si>
  <si>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</si>
  <si>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</si>
  <si>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</si>
  <si>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</si>
  <si>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</si>
  <si>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</si>
  <si>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</si>
  <si>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</si>
  <si>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</si>
  <si>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</si>
  <si>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</si>
  <si>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</si>
  <si>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</si>
  <si>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</si>
  <si>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</si>
  <si>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</si>
  <si>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</si>
  <si>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</si>
  <si>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</si>
  <si>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</si>
  <si>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</si>
  <si>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</si>
  <si>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</si>
  <si>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</si>
  <si>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</si>
  <si>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</si>
  <si>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</si>
  <si>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</si>
  <si>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</si>
  <si>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</si>
  <si>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</si>
  <si>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</si>
  <si>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</si>
  <si>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</si>
  <si>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</si>
  <si>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</si>
  <si>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</si>
  <si>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</si>
  <si>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</si>
  <si>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</si>
  <si>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</si>
  <si>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</si>
  <si>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</si>
  <si>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</si>
  <si>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</si>
  <si>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</si>
  <si>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</si>
  <si>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</si>
  <si>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</si>
  <si>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</si>
  <si>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</si>
  <si>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</si>
  <si>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</si>
  <si>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</si>
  <si>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</si>
  <si>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</si>
  <si>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</si>
  <si>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</si>
  <si>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</si>
  <si>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</si>
  <si>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</si>
  <si>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</si>
  <si>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</si>
  <si>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</si>
  <si>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</si>
  <si>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</si>
  <si>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</si>
  <si>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</si>
  <si>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</si>
  <si>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</si>
  <si>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</si>
  <si>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</si>
  <si>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</si>
  <si>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</si>
  <si>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</si>
  <si>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</si>
  <si>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</si>
  <si>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</si>
  <si>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</si>
  <si>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</si>
  <si>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</si>
  <si>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</si>
  <si>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</si>
  <si>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</si>
  <si>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</si>
  <si>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</si>
  <si>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</si>
  <si>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</si>
  <si>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</si>
  <si>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</si>
  <si>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</si>
  <si>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</si>
  <si>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</si>
  <si>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</si>
  <si>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</si>
  <si>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</si>
  <si>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</si>
  <si>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</si>
  <si>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</si>
  <si>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</si>
  <si>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</si>
  <si>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</si>
  <si>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</si>
  <si>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</si>
  <si>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</si>
  <si>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</si>
  <si>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</si>
  <si>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</si>
  <si>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</si>
  <si>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</si>
  <si>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</si>
  <si>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</si>
  <si>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</si>
  <si>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</si>
  <si>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</si>
  <si>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</si>
  <si>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</si>
  <si>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</si>
  <si>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</si>
  <si>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</si>
  <si>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</si>
  <si>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</si>
  <si>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</si>
  <si>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</si>
  <si>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</si>
  <si>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</si>
  <si>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</si>
  <si>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</si>
  <si>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</si>
  <si>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</si>
  <si>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</si>
  <si>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</si>
  <si>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</si>
  <si>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</si>
  <si>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</si>
  <si>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</si>
  <si>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</si>
  <si>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</si>
  <si>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</si>
  <si>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</si>
  <si>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</si>
  <si>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</si>
  <si>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</si>
  <si>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</si>
  <si>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</si>
  <si>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</si>
  <si>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</si>
  <si>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</si>
  <si>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</si>
  <si>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</si>
  <si>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</si>
  <si>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</si>
  <si>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</si>
  <si>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</si>
  <si>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</si>
  <si>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</si>
  <si>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</si>
  <si>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</si>
  <si>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</si>
  <si>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</si>
  <si>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</si>
  <si>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</si>
  <si>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</si>
  <si>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</si>
  <si>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</si>
  <si>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</si>
  <si>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</si>
  <si>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</si>
  <si>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</si>
  <si>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</si>
  <si>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</si>
  <si>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</si>
  <si>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</si>
  <si>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</si>
  <si>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</si>
  <si>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</si>
  <si>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</si>
  <si>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</si>
  <si>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</si>
  <si>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</si>
  <si>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</si>
  <si>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</si>
  <si>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</si>
  <si>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</si>
  <si>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</si>
  <si>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</si>
  <si>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</si>
  <si>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</si>
  <si>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</si>
  <si>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</si>
  <si>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</si>
  <si>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</si>
  <si>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</si>
  <si>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</si>
  <si>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</si>
  <si>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</si>
  <si>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</si>
  <si>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</si>
  <si>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</si>
  <si>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</si>
  <si>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</si>
  <si>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</si>
  <si>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</si>
  <si>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</si>
  <si>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</si>
  <si>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</si>
  <si>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</si>
  <si>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</si>
  <si>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</si>
  <si>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</si>
  <si>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</si>
  <si>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</si>
  <si>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</si>
  <si>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</si>
  <si>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</si>
  <si>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</si>
  <si>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</si>
  <si>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</si>
  <si>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</si>
  <si>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</si>
  <si>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</si>
  <si>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</si>
  <si>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</si>
  <si>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</si>
  <si>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</si>
  <si>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</si>
  <si>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</si>
  <si>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</si>
  <si>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</si>
  <si>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</si>
  <si>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</si>
  <si>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</si>
  <si>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</si>
  <si>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</si>
  <si>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</si>
  <si>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</si>
  <si>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</si>
  <si>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</si>
  <si>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</si>
  <si>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</si>
  <si>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</si>
  <si>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</si>
  <si>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</si>
  <si>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</si>
  <si>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</si>
  <si>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</si>
  <si>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</si>
  <si>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</si>
  <si>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</si>
  <si>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</si>
  <si>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</si>
  <si>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</si>
  <si>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</si>
  <si>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</si>
  <si>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</si>
  <si>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</si>
  <si>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</si>
  <si>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</si>
  <si>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</si>
  <si>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</si>
  <si>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</si>
  <si>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</si>
  <si>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</si>
  <si>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</si>
  <si>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</si>
  <si>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</si>
  <si>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</si>
  <si>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</si>
  <si>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</si>
  <si>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</si>
  <si>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</si>
  <si>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</si>
  <si>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</si>
  <si>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</si>
  <si>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</si>
  <si>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</si>
  <si>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</si>
  <si>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</si>
  <si>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</si>
  <si>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</si>
  <si>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</si>
  <si>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</si>
  <si>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</si>
  <si>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</si>
  <si>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</si>
  <si>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</si>
  <si>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</si>
  <si>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</si>
  <si>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</si>
  <si>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</si>
  <si>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</si>
  <si>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</si>
  <si>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</si>
  <si>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</si>
  <si>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</si>
  <si>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</si>
  <si>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</si>
  <si>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</si>
  <si>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</si>
  <si>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</si>
  <si>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</si>
  <si>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</si>
  <si>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</si>
  <si>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</si>
  <si>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</si>
  <si>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</si>
  <si>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</si>
  <si>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</si>
  <si>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</si>
  <si>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</si>
  <si>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</si>
  <si>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</si>
  <si>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</si>
  <si>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</si>
  <si>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</si>
  <si>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</si>
  <si>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</si>
  <si>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</si>
  <si>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</si>
  <si>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</si>
  <si>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</si>
  <si>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</si>
  <si>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</si>
  <si>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</si>
  <si>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</si>
  <si>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</si>
  <si>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</si>
  <si>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</si>
  <si>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</si>
  <si>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</si>
  <si>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</si>
  <si>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</si>
  <si>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</si>
  <si>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</si>
  <si>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</si>
  <si>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</si>
  <si>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</si>
  <si>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</si>
  <si>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</si>
  <si>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</si>
  <si>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</si>
  <si>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</si>
  <si>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</si>
  <si>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</si>
  <si>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</si>
  <si>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</si>
  <si>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</si>
  <si>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</si>
  <si>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</si>
  <si>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</si>
  <si>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</si>
  <si>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</si>
  <si>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</si>
  <si>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</si>
  <si>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</si>
  <si>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</si>
  <si>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</si>
  <si>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</si>
  <si>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</si>
  <si>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</si>
  <si>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</si>
  <si>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</si>
  <si>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</si>
  <si>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</si>
  <si>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</si>
  <si>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</si>
  <si>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</si>
  <si>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</si>
  <si>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</si>
  <si>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</si>
  <si>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</si>
  <si>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</si>
  <si>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</si>
  <si>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</si>
  <si>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</si>
  <si>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</si>
  <si>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</si>
  <si>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</si>
  <si>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</si>
  <si>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</si>
  <si>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</si>
  <si>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</si>
  <si>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</si>
  <si>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</si>
  <si>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</si>
  <si>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</si>
  <si>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</si>
  <si>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</si>
  <si>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</si>
  <si>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</si>
  <si>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</si>
  <si>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</si>
  <si>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</si>
  <si>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</si>
  <si>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</si>
  <si>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</si>
  <si>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</si>
  <si>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</si>
  <si>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</si>
  <si>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</si>
  <si>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</si>
  <si>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</si>
  <si>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</si>
  <si>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</si>
  <si>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</si>
  <si>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</si>
  <si>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</si>
  <si>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</si>
  <si>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</si>
  <si>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</si>
  <si>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</si>
  <si>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</si>
  <si>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</si>
  <si>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</si>
  <si>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</si>
  <si>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</si>
  <si>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</si>
  <si>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</si>
  <si>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</si>
  <si>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</si>
  <si>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</si>
  <si>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</si>
  <si>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</si>
  <si>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</si>
  <si>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</si>
  <si>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</si>
  <si>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</si>
  <si>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</si>
  <si>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</si>
  <si>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</si>
  <si>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</si>
  <si>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</si>
  <si>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</si>
  <si>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</si>
  <si>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</si>
  <si>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</si>
  <si>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</si>
  <si>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</si>
  <si>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</si>
  <si>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</si>
  <si>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</si>
  <si>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</si>
  <si>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</si>
  <si>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</si>
  <si>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</si>
  <si>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</si>
  <si>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</si>
  <si>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</si>
  <si>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</si>
  <si>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</si>
  <si>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</si>
  <si>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</si>
  <si>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</si>
  <si>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</si>
  <si>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</si>
  <si>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</si>
  <si>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</si>
  <si>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</si>
  <si>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</si>
  <si>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</si>
  <si>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</si>
  <si>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</si>
  <si>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</si>
  <si>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</si>
  <si>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</si>
  <si>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</si>
  <si>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</si>
  <si>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</si>
  <si>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</si>
  <si>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</si>
  <si>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</si>
  <si>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</si>
  <si>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</si>
  <si>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</si>
  <si>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</si>
  <si>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</si>
  <si>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</si>
  <si>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</si>
  <si>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</si>
  <si>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</si>
  <si>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</si>
  <si>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</si>
  <si>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</si>
  <si>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</si>
  <si>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</si>
  <si>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</si>
  <si>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</si>
  <si>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</si>
  <si>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</si>
  <si>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</si>
  <si>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</si>
  <si>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</si>
  <si>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</si>
  <si>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</si>
  <si>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</si>
  <si>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</si>
  <si>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</si>
  <si>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</si>
  <si>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</si>
  <si>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</si>
  <si>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</si>
  <si>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</si>
  <si>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</si>
  <si>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</si>
  <si>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</si>
  <si>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</si>
  <si>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</si>
  <si>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</si>
  <si>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</si>
  <si>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</si>
  <si>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</si>
  <si>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</si>
  <si>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</si>
  <si>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</si>
  <si>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</si>
  <si>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</si>
  <si>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</si>
  <si>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</si>
  <si>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</si>
  <si>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</si>
  <si>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</si>
  <si>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</si>
  <si>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</si>
  <si>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</si>
  <si>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</si>
  <si>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</si>
  <si>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</si>
  <si>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</si>
  <si>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</si>
  <si>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</si>
  <si>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</si>
  <si>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</si>
  <si>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</si>
  <si>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</si>
  <si>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</si>
  <si>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</si>
  <si>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</si>
  <si>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</si>
  <si>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</si>
  <si>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</si>
  <si>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</si>
  <si>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</si>
  <si>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</si>
  <si>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</si>
  <si>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</si>
  <si>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</si>
  <si>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</si>
  <si>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</si>
  <si>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</si>
  <si>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</si>
  <si>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</si>
  <si>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</si>
  <si>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</si>
  <si>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</si>
  <si>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</si>
  <si>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</si>
  <si>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</si>
  <si>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</si>
  <si>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</si>
  <si>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</si>
  <si>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</si>
  <si>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</si>
  <si>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</si>
  <si>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</si>
  <si>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</si>
  <si>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</si>
  <si>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</si>
  <si>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</si>
  <si>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</si>
  <si>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</si>
  <si>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</si>
  <si>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</si>
  <si>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</si>
  <si>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</si>
  <si>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</si>
  <si>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</si>
  <si>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</si>
  <si>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</si>
  <si>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</si>
  <si>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</si>
  <si>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</si>
  <si>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</si>
  <si>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</si>
  <si>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</si>
  <si>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</si>
  <si>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</si>
  <si>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</si>
  <si>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</si>
  <si>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</si>
  <si>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</si>
  <si>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</si>
  <si>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</si>
  <si>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</si>
  <si>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</si>
  <si>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</si>
  <si>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</si>
  <si>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</si>
  <si>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</si>
  <si>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</si>
  <si>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</si>
  <si>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</si>
  <si>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</si>
  <si>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</si>
  <si>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</si>
  <si>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</si>
  <si>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</si>
  <si>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</si>
  <si>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</si>
  <si>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</si>
  <si>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</si>
  <si>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</si>
  <si>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</si>
  <si>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</si>
  <si>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</si>
  <si>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</si>
  <si>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</si>
  <si>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</si>
  <si>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</si>
  <si>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</si>
  <si>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</si>
  <si>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</si>
  <si>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</si>
  <si>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</si>
  <si>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</si>
  <si>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</si>
  <si>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</si>
  <si>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</si>
  <si>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</si>
  <si>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</si>
  <si>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</si>
  <si>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</si>
  <si>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</si>
  <si>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</si>
  <si>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</si>
  <si>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</si>
  <si>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</si>
  <si>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</si>
  <si>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</si>
  <si>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</si>
  <si>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</si>
  <si>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</si>
  <si>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</si>
  <si>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</si>
  <si>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</si>
  <si>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</si>
  <si>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</si>
  <si>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</si>
  <si>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</si>
  <si>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</si>
  <si>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</si>
  <si>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</si>
  <si>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</si>
  <si>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</si>
  <si>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</si>
  <si>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</si>
  <si>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</si>
  <si>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</si>
  <si>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</si>
  <si>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</si>
  <si>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</si>
  <si>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</si>
  <si>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</si>
  <si>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</si>
  <si>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</si>
  <si>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</si>
  <si>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</si>
  <si>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</si>
  <si>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</si>
  <si>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</si>
  <si>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</si>
  <si>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</si>
  <si>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</si>
  <si>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</si>
  <si>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</si>
  <si>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</si>
  <si>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</si>
  <si>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</si>
  <si>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</si>
  <si>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</si>
  <si>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</si>
  <si>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</si>
  <si>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</si>
  <si>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</si>
  <si>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</si>
  <si>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</si>
  <si>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</si>
  <si>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</si>
  <si>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</si>
  <si>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</si>
  <si>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</si>
  <si>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</si>
  <si>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</si>
  <si>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</si>
  <si>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</si>
  <si>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</si>
  <si>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</si>
  <si>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</si>
  <si>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</si>
  <si>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</si>
  <si>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</si>
  <si>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</si>
  <si>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</si>
  <si>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</si>
  <si>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</si>
  <si>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</si>
  <si>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</si>
  <si>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</si>
  <si>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</si>
  <si>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</si>
  <si>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</si>
  <si>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</si>
  <si>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</si>
  <si>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</si>
  <si>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</si>
  <si>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</si>
  <si>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</si>
  <si>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</si>
  <si>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</si>
  <si>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</si>
  <si>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</si>
  <si>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</si>
  <si>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</si>
  <si>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</si>
  <si>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</si>
  <si>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</si>
  <si>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</si>
  <si>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</si>
  <si>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</si>
  <si>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</si>
  <si>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</si>
  <si>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</si>
  <si>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</si>
  <si>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</si>
  <si>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</si>
  <si>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</si>
  <si>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</si>
  <si>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</si>
  <si>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</si>
  <si>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</si>
  <si>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</si>
  <si>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</si>
  <si>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</si>
  <si>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</si>
  <si>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</si>
  <si>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</si>
  <si>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</si>
  <si>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</si>
  <si>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</si>
  <si>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</si>
  <si>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</si>
  <si>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</si>
  <si>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</si>
  <si>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</si>
  <si>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</si>
  <si>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</si>
  <si>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</si>
  <si>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</si>
  <si>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</si>
  <si>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</si>
  <si>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</si>
  <si>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</si>
  <si>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</si>
  <si>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</si>
  <si>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</si>
  <si>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</si>
  <si>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</si>
  <si>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</si>
  <si>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</si>
  <si>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</si>
  <si>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</si>
  <si>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</si>
  <si>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</si>
  <si>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</si>
  <si>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</si>
  <si>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</si>
  <si>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</si>
  <si>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</si>
  <si>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</si>
  <si>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</si>
  <si>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</si>
  <si>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</si>
  <si>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</si>
  <si>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</si>
  <si>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</si>
  <si>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</si>
  <si>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</si>
  <si>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</si>
  <si>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</si>
  <si>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</si>
  <si>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</si>
  <si>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</si>
  <si>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</si>
  <si>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</si>
  <si>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</si>
  <si>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</si>
  <si>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</si>
  <si>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</si>
  <si>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</si>
  <si>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</si>
  <si>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</si>
  <si>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</si>
  <si>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</si>
  <si>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</si>
  <si>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</si>
  <si>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</si>
  <si>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</si>
  <si>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</si>
  <si>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</si>
  <si>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</si>
  <si>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</si>
  <si>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</si>
  <si>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</si>
  <si>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</si>
  <si>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</si>
  <si>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</si>
  <si>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</si>
  <si>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</si>
  <si>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</si>
  <si>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</si>
  <si>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</si>
  <si>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</si>
  <si>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</si>
  <si>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</si>
  <si>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</si>
  <si>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</si>
  <si>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</si>
  <si>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</si>
  <si>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</si>
  <si>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</si>
  <si>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</si>
  <si>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</si>
  <si>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</si>
  <si>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</si>
  <si>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</si>
  <si>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</si>
  <si>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</si>
  <si>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</si>
  <si>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</si>
  <si>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</si>
  <si>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</si>
  <si>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</si>
  <si>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</si>
  <si>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</si>
  <si>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</si>
  <si>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</si>
  <si>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</si>
  <si>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</si>
  <si>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</si>
  <si>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</si>
  <si>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</si>
  <si>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</si>
  <si>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</si>
  <si>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</si>
  <si>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</si>
  <si>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</si>
  <si>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</si>
  <si>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</si>
  <si>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</si>
  <si>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</si>
  <si>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</si>
  <si>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</si>
  <si>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</si>
  <si>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</si>
  <si>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</si>
  <si>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</si>
  <si>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</si>
  <si>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</si>
  <si>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</si>
  <si>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</si>
  <si>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</si>
  <si>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</si>
  <si>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</si>
  <si>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</si>
  <si>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</si>
  <si>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</si>
  <si>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</si>
  <si>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</si>
  <si>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</si>
  <si>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</si>
  <si>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</si>
  <si>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</si>
  <si>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</si>
  <si>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</si>
  <si>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</si>
  <si>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</si>
  <si>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</si>
  <si>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</si>
  <si>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</si>
  <si>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</si>
  <si>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</si>
  <si>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</si>
  <si>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</si>
  <si>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</si>
  <si>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</si>
  <si>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</si>
  <si>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</si>
  <si>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</si>
  <si>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</si>
  <si>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</si>
  <si>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</si>
  <si>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</si>
  <si>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</si>
  <si>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</si>
  <si>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</si>
  <si>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</si>
  <si>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</si>
  <si>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</si>
  <si>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</si>
  <si>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</si>
  <si>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</si>
  <si>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</si>
  <si>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</si>
  <si>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</si>
  <si>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</si>
  <si>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</si>
  <si>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</si>
  <si>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</si>
  <si>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</si>
  <si>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</si>
  <si>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</si>
  <si>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</si>
  <si>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</si>
  <si>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</si>
  <si>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</si>
  <si>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</si>
  <si>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</si>
  <si>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</si>
  <si>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</si>
  <si>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</si>
  <si>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</si>
  <si>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</si>
  <si>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</si>
  <si>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</si>
  <si>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</si>
  <si>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</si>
  <si>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</si>
  <si>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</si>
  <si>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</si>
  <si>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</si>
  <si>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</si>
  <si>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</si>
  <si>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</si>
  <si>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</si>
  <si>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</si>
  <si>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</si>
  <si>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</si>
  <si>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</si>
  <si>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</si>
  <si>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</si>
  <si>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</si>
  <si>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</si>
  <si>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</si>
  <si>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</si>
  <si>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</si>
  <si>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</si>
  <si>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</si>
  <si>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</si>
  <si>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</si>
  <si>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</si>
  <si>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</si>
  <si>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</si>
  <si>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</si>
  <si>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</si>
  <si>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</si>
  <si>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</si>
  <si>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</si>
  <si>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</si>
  <si>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</si>
  <si>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</si>
  <si>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</si>
  <si>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</si>
  <si>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</si>
  <si>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</si>
  <si>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</si>
  <si>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</si>
  <si>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</si>
  <si>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</si>
  <si>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</si>
  <si>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</si>
  <si>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</si>
  <si>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</si>
  <si>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</si>
  <si>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</si>
  <si>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</si>
  <si>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</si>
  <si>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</si>
  <si>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</si>
  <si>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</si>
  <si>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</si>
  <si>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</si>
  <si>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</si>
  <si>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</si>
  <si>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</si>
  <si>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</si>
  <si>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</si>
  <si>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</si>
  <si>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</si>
  <si>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</si>
  <si>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</si>
  <si>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</si>
  <si>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</si>
  <si>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</si>
  <si>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</si>
  <si>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</si>
  <si>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</si>
  <si>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</si>
  <si>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</si>
  <si>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</si>
  <si>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</si>
  <si>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</si>
  <si>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</si>
  <si>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</si>
  <si>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</si>
  <si>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</si>
  <si>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</si>
  <si>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</si>
  <si>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</si>
  <si>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</si>
  <si>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</si>
  <si>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</si>
  <si>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</si>
  <si>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</si>
  <si>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</si>
  <si>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</si>
  <si>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</si>
  <si>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</si>
  <si>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</si>
  <si>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</si>
  <si>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</si>
  <si>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</si>
  <si>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</si>
  <si>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</si>
  <si>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</si>
  <si>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</si>
  <si>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</si>
  <si>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</si>
  <si>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</si>
  <si>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</si>
  <si>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</si>
  <si>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</si>
  <si>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M4科研用地</t>
  </si>
  <si>
    <t>宗地容积率</t>
  </si>
  <si>
    <t>不临65条商业街</t>
  </si>
  <si>
    <t>与级别开发程度一致</t>
  </si>
  <si>
    <t>容积率修正</t>
  </si>
  <si>
    <t>一般</t>
  </si>
  <si>
    <t>较好</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</si>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</sst>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2022年6月16日（评估专业人员实地查勘之日）</v>
      </c>
    </row>
    <row r="13" spans="1:2" s="1157" customFormat="1">
      <c r="A13" s="1155" t="s">
        <v>766</v>
      </c>
      <c r="B13" s="1156" t="str">
        <f>'预评函-1'!A18</f>
        <v>本次估价的“房地产价值”是指在正常市场情况下，在价值时点2022年6月16日，估价对象规划用途为，土地取得方式为，假定未设立法定优先受偿款下的房地产市场价值。</v>
      </c>
    </row>
    <row r="14" spans="1:2" s="1157" customFormat="1">
      <c r="A14" s="1155" t="s">
        <v>767</v>
      </c>
      <c r="B14" s="115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v>44728</v>
      </c>
      <c r="C3" s="2051" t="s">
        <v>2458</v>
      </c>
      <c r="D3" s="2050">
        <f>B3</f>
        <v>44728</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c r="C9" s="2072"/>
      <c r="D9" s="3383"/>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c r="C11" s="2080"/>
      <c r="D11" s="2081"/>
      <c r="E11" s="2047"/>
      <c r="F11" s="2047"/>
      <c r="G11" s="2047"/>
      <c r="H11" s="2047"/>
      <c r="I11" s="2047"/>
      <c r="J11" s="2118"/>
      <c r="K11" s="2295"/>
      <c r="L11" s="2292"/>
      <c r="M11" s="2292"/>
      <c r="N11" s="2118"/>
      <c r="O11" s="2129"/>
      <c r="P11" s="2118"/>
      <c r="Q11" s="2118"/>
      <c r="R11" s="2118"/>
    </row>
    <row r="12" spans="1:28">
      <c r="A12" s="2082" t="s">
        <v>2469</v>
      </c>
      <c r="B12" s="2079"/>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c r="E14" s="2086"/>
      <c r="F14" s="2086"/>
      <c r="G14" s="2086"/>
      <c r="H14" s="2086"/>
      <c r="I14" s="2086"/>
      <c r="J14" s="2118"/>
      <c r="K14" s="2296"/>
      <c r="L14" s="2292"/>
      <c r="M14" s="2292"/>
      <c r="N14" s="2118"/>
      <c r="O14" s="2129"/>
      <c r="P14" s="2118"/>
      <c r="Q14" s="2118"/>
      <c r="R14" s="2118"/>
    </row>
    <row r="15" spans="1:28">
      <c r="A15" s="321"/>
      <c r="B15" s="2087"/>
      <c r="C15" s="2088" t="s">
        <v>2479</v>
      </c>
      <c r="D15" s="2089">
        <f>IF(B12="出让",IF(D13="","",ROUNDDOWN(MIN((D13-$D$3)/365,D14),2)),D14)</f>
        <v>0</v>
      </c>
      <c r="E15" s="2089">
        <f>IF(B12="出让",IF(E13="","",ROUNDDOWN(MIN((E13-$D$3)/365,E14),2)),E14)</f>
        <v>0</v>
      </c>
      <c r="F15" s="2089">
        <f>IF(B12="出让",IF(F13="","",ROUNDDOWN(MIN((F13-$D$3)/365,F14),2)),F14)</f>
        <v>0</v>
      </c>
      <c r="G15" s="2089">
        <f>IF(B12="出让",IF(G13="","",ROUNDDOWN(MIN((G13-$D$3)/365,G14),2)),G14)</f>
        <v>0</v>
      </c>
      <c r="H15" s="2089">
        <f>IF(B12="出让",IF(H13="","",ROUNDDOWN(MIN((H13-$D$3)/365,H14),2)),H14)</f>
        <v>0</v>
      </c>
      <c r="I15" s="2089">
        <f>IF(B12="出让",IF(I13="","",ROUNDDOWN(MIN((I13-$D$3)/365,I14),2)),I14)</f>
        <v>0</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452</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2111" t="s">
        <v>332</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44728</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44728</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44728</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44728</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2022年6月16日（评估专业人员实地查勘之日）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44728</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zoomScale="90" zoomScaleNormal="80" zoomScaleSheetLayoutView="90" workbookViewId="0">
      <selection activeCell="F13" sqref="F13"/>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0</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0</v>
      </c>
      <c r="C2" s="3138" t="s">
        <v>2197</v>
      </c>
      <c r="D2" s="2695" t="s">
        <v>2198</v>
      </c>
      <c r="E2" s="3139" t="s">
        <v>6</v>
      </c>
      <c r="F2" s="2695" t="s">
        <v>2199</v>
      </c>
      <c r="G2" s="2695" t="str">
        <f>IF(E2="商业",项目基本情况!B37,IF(E2="办公",项目基本情况!C37,IF(E2="住宅",项目基本情况!D37,IF(E2="工业",项目基本情况!E37,项目基本情况!F37))))</f>
        <v>十级</v>
      </c>
      <c r="H2" s="2695" t="s">
        <v>2200</v>
      </c>
      <c r="I2" s="2695" t="str">
        <f>IF(E2="商业",项目基本情况!B38,IF(E2="办公",项目基本情况!C38,IF(E2="住宅",项目基本情况!D38,IF(E2="工业",项目基本情况!E38,项目基本情况!F38))))</f>
        <v>Ⅹ-平2</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1.5418000000000001</v>
      </c>
      <c r="T2" s="3133">
        <f t="shared" ref="T2:T16" si="0">ROUND($C$5*$C$22*$C$23*$C$24*S2*$C$28,0)</f>
        <v>2072</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t="e">
        <f>ROUND(B2*10000/D1,0)</f>
        <v>#DIV/0!</v>
      </c>
      <c r="C3" s="3138" t="s">
        <v>2203</v>
      </c>
      <c r="D3" s="2695" t="s">
        <v>2204</v>
      </c>
      <c r="E3" s="3139" t="s">
        <v>3110</v>
      </c>
      <c r="F3" s="1935" t="s">
        <v>3111</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1.1883999999999999</v>
      </c>
      <c r="T3" s="3133">
        <f t="shared" si="0"/>
        <v>1597</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0.96940000000000004</v>
      </c>
      <c r="T4" s="3133">
        <f t="shared" si="0"/>
        <v>1303</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750</v>
      </c>
      <c r="D5" s="3147">
        <f>ROUND(C6+C20,0)</f>
        <v>750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0.82299999999999995</v>
      </c>
      <c r="T5" s="3133">
        <f t="shared" si="0"/>
        <v>1106</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750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0.74980000000000002</v>
      </c>
      <c r="T6" s="3133">
        <f t="shared" si="0"/>
        <v>1008</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十级</v>
      </c>
      <c r="Y7" s="3167" t="s">
        <v>2219</v>
      </c>
      <c r="Z7" s="3168">
        <f>G3</f>
        <v>1</v>
      </c>
      <c r="AA7" s="3134"/>
      <c r="AB7" s="3134"/>
      <c r="AC7" s="3134"/>
      <c r="AD7" s="3135"/>
      <c r="AE7" s="3135"/>
      <c r="AF7" s="3135"/>
      <c r="AG7" s="3135"/>
      <c r="AH7" s="3135"/>
      <c r="AI7" s="3135"/>
      <c r="AJ7" s="3136"/>
    </row>
    <row r="8" spans="1:36" ht="25.5">
      <c r="A8" s="3169"/>
      <c r="B8" s="174" t="s">
        <v>2220</v>
      </c>
      <c r="C8" s="3170" t="s">
        <v>3112</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750</v>
      </c>
      <c r="N10" s="2254">
        <f>SUMPRODUCT((因素修正幅度!B327:B357=I2)*(因素修正幅度!C3:G3=E2)*(因素修正幅度!C327:G357))</f>
        <v>0.14599999999999999</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40" t="s">
        <v>2262</v>
      </c>
      <c r="E20" s="3641"/>
      <c r="F20" s="3640" t="s">
        <v>2259</v>
      </c>
      <c r="G20" s="3641"/>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1</v>
      </c>
      <c r="D21" s="2259" t="str">
        <f>IF(OR(G2="八级",G2="九级",G2="十级",G2="十一级",G2="十二级"),"五通一平","七通一平")</f>
        <v>五通一平</v>
      </c>
      <c r="E21" s="3232">
        <f>SUMPRODUCT((修正!B1:M1=G2)*(修正!B17:M17))</f>
        <v>185</v>
      </c>
      <c r="F21" s="3233" t="s">
        <v>3113</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2</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44728</v>
      </c>
      <c r="H23" s="3245" t="s">
        <v>3101</v>
      </c>
      <c r="I23" s="3246" t="str">
        <f>IF(H23="季度增幅（自定义）",SUMIF(N25:N28,E2,O25:O28),"")</f>
        <v/>
      </c>
      <c r="J23" s="3247"/>
      <c r="K23" s="3218"/>
      <c r="L23" s="3248" t="s">
        <v>2268</v>
      </c>
      <c r="M23" s="3249">
        <f>ROUND(SUMIF(地价!B2:G2,E2,地价!B13:G13),0)</f>
        <v>329</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0.85019999999999996</v>
      </c>
      <c r="D24" s="3252" t="s">
        <v>2271</v>
      </c>
      <c r="E24" s="3253">
        <f>存贷款利率!E20/100</f>
        <v>4.3499999999999997E-2</v>
      </c>
      <c r="F24" s="3252" t="s">
        <v>2263</v>
      </c>
      <c r="G24" s="3254">
        <f>SUMIF(M30:Q30,E2,M33:Q33)</f>
        <v>0.05</v>
      </c>
      <c r="H24" s="3252" t="s">
        <v>2272</v>
      </c>
      <c r="I24" s="3255">
        <v>30.67</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3114</v>
      </c>
      <c r="C25" s="3262">
        <f>IF(B25="容积率修正",IF(G3&lt;10,D26,J26),C27)</f>
        <v>1.1198999999999999</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1.1198999999999999</v>
      </c>
      <c r="E26" s="3269">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3269">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1.0262</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1505</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226</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672</v>
      </c>
      <c r="D37" s="3309"/>
      <c r="E37" s="174">
        <f>ROUND(C37*D37/10000,0)</f>
        <v>0</v>
      </c>
      <c r="F37" s="174">
        <f>SUMIF(修正!A57:A68,G2,修正!B57:B68)</f>
        <v>0.5</v>
      </c>
      <c r="G37" s="174">
        <f>ROUND(IF(E2="工业",C37*$M$42,C37*$M$41),0)</f>
        <v>101</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269</v>
      </c>
      <c r="D38" s="3309"/>
      <c r="E38" s="174">
        <f t="shared" ref="E38:E42" si="4">ROUND(C38*D38/10000,0)</f>
        <v>0</v>
      </c>
      <c r="F38" s="174">
        <f>SUMIF(修正!A57:A68,G2,修正!C57:C68)</f>
        <v>0.2</v>
      </c>
      <c r="G38" s="174">
        <f>ROUND(IF(E2="工业",C38*$M$42,C38*$M$41),0)</f>
        <v>40</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269</v>
      </c>
      <c r="D39" s="3309"/>
      <c r="E39" s="174">
        <f t="shared" si="4"/>
        <v>0</v>
      </c>
      <c r="F39" s="174">
        <f>SUMIF(修正!A57:A68,G2,修正!D57:D68)</f>
        <v>0.2</v>
      </c>
      <c r="G39" s="174">
        <f>ROUND(IF(E2="工业",C39*$M$42,C39*$M$41),0)</f>
        <v>40</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269</v>
      </c>
      <c r="D40" s="3309"/>
      <c r="E40" s="174">
        <f t="shared" si="4"/>
        <v>0</v>
      </c>
      <c r="F40" s="178">
        <f>SUMIF(修正!A57:A68,G2,修正!E57:E68)</f>
        <v>0.2</v>
      </c>
      <c r="G40" s="174">
        <f>ROUND(IF(E2="工业",C40*$M$42,C40*$M$41),0)</f>
        <v>40</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0.05</v>
      </c>
      <c r="F44" s="174" t="s">
        <v>2272</v>
      </c>
      <c r="G44" s="2250"/>
      <c r="H44" s="174">
        <v>50</v>
      </c>
    </row>
    <row r="45" spans="1:30" s="1939" customFormat="1"/>
    <row r="46" spans="1:30" s="1939" customFormat="1">
      <c r="D46" s="1939">
        <f>C33*666.67/10000</f>
        <v>100.33383499999999</v>
      </c>
    </row>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6">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25">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5.5">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4">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5.5">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4.75"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5">
      <c r="A82" s="2965" t="s">
        <v>2332</v>
      </c>
      <c r="B82" s="2966">
        <f>1+E84</f>
        <v>1.0262</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t="s">
        <v>3115</v>
      </c>
      <c r="D84" s="2978">
        <f t="shared" ref="D84:D91" si="22">SUMIF($J$83:$N$83,C84,J84:N84)</f>
        <v>0</v>
      </c>
      <c r="E84" s="2979">
        <f>ROUND(SUM(D84:D91),4)</f>
        <v>2.6200000000000001E-2</v>
      </c>
      <c r="F84" s="2980">
        <f>IF(E2="工业",SUMIF(L1:L12,G2,N1:N12),"——")</f>
        <v>0.14599999999999999</v>
      </c>
      <c r="G84" s="2981">
        <f>H84</f>
        <v>1.89E-2</v>
      </c>
      <c r="H84" s="2982">
        <f t="shared" ref="H84:H91" si="23">IFERROR(ROUNDDOWN($F$84*I84/2,4),"——")</f>
        <v>1.89E-2</v>
      </c>
      <c r="I84" s="2983">
        <v>0.26</v>
      </c>
      <c r="J84" s="2984">
        <f t="shared" ref="J84:J91" si="24">K84+$G84</f>
        <v>3.78E-2</v>
      </c>
      <c r="K84" s="2984">
        <f t="shared" ref="K84:K91" si="25">$L84+$G84</f>
        <v>1.89E-2</v>
      </c>
      <c r="L84" s="2984">
        <v>0</v>
      </c>
      <c r="M84" s="2984">
        <f t="shared" ref="M84:N91" si="26">L84-$G84</f>
        <v>-1.89E-2</v>
      </c>
      <c r="N84" s="2984">
        <f t="shared" si="26"/>
        <v>-3.78E-2</v>
      </c>
      <c r="AA84" s="2674"/>
      <c r="AG84" s="1939"/>
    </row>
    <row r="85" spans="1:33" ht="38.25">
      <c r="A85" s="2971" t="s">
        <v>2317</v>
      </c>
      <c r="B85" s="2985" t="str">
        <f>估价对象房地状况!G16</f>
        <v>估价对象周边道路状况、公共交通通达情况、停车便捷程度，综合评价交通便捷度较好</v>
      </c>
      <c r="C85" s="2977" t="s">
        <v>3116</v>
      </c>
      <c r="D85" s="2978">
        <f t="shared" si="22"/>
        <v>2.1899999999999999E-2</v>
      </c>
      <c r="E85" s="2986"/>
      <c r="F85" s="2980"/>
      <c r="G85" s="2981">
        <f t="shared" ref="G85:G91" si="27">H85</f>
        <v>2.1899999999999999E-2</v>
      </c>
      <c r="H85" s="2982">
        <f t="shared" si="23"/>
        <v>2.1899999999999999E-2</v>
      </c>
      <c r="I85" s="2983">
        <v>0.3</v>
      </c>
      <c r="J85" s="2984">
        <f t="shared" si="24"/>
        <v>4.3799999999999999E-2</v>
      </c>
      <c r="K85" s="2984">
        <f t="shared" si="25"/>
        <v>2.1899999999999999E-2</v>
      </c>
      <c r="L85" s="2984">
        <v>0</v>
      </c>
      <c r="M85" s="2984">
        <f t="shared" si="26"/>
        <v>-2.1899999999999999E-2</v>
      </c>
      <c r="N85" s="2984">
        <f t="shared" si="26"/>
        <v>-4.3799999999999999E-2</v>
      </c>
      <c r="AA85" s="2674"/>
      <c r="AG85" s="1939"/>
    </row>
    <row r="86" spans="1:33" ht="36">
      <c r="A86" s="2988" t="s">
        <v>2840</v>
      </c>
      <c r="B86" s="2985">
        <f>估价对象房地状况!G17</f>
        <v>0</v>
      </c>
      <c r="C86" s="2977" t="s">
        <v>3115</v>
      </c>
      <c r="D86" s="2978">
        <f t="shared" si="22"/>
        <v>0</v>
      </c>
      <c r="E86" s="2986"/>
      <c r="F86" s="2980"/>
      <c r="G86" s="2981">
        <f t="shared" si="27"/>
        <v>7.3000000000000001E-3</v>
      </c>
      <c r="H86" s="2982">
        <f t="shared" si="23"/>
        <v>7.3000000000000001E-3</v>
      </c>
      <c r="I86" s="2983">
        <v>0.1</v>
      </c>
      <c r="J86" s="2984">
        <f t="shared" si="24"/>
        <v>1.46E-2</v>
      </c>
      <c r="K86" s="2984">
        <f t="shared" si="25"/>
        <v>7.3000000000000001E-3</v>
      </c>
      <c r="L86" s="2984">
        <v>0</v>
      </c>
      <c r="M86" s="2984">
        <f t="shared" si="26"/>
        <v>-7.3000000000000001E-3</v>
      </c>
      <c r="N86" s="2984">
        <f t="shared" si="26"/>
        <v>-1.46E-2</v>
      </c>
      <c r="AA86" s="2674"/>
      <c r="AG86" s="1939"/>
    </row>
    <row r="87" spans="1:33" ht="14.25">
      <c r="A87" s="2971" t="s">
        <v>2330</v>
      </c>
      <c r="B87" s="2985">
        <f>估价对象房地状况!G22</f>
        <v>0</v>
      </c>
      <c r="C87" s="2977" t="s">
        <v>3117</v>
      </c>
      <c r="D87" s="2978">
        <f t="shared" si="22"/>
        <v>-3.5999999999999999E-3</v>
      </c>
      <c r="E87" s="2986"/>
      <c r="F87" s="2980"/>
      <c r="G87" s="2981">
        <f t="shared" si="27"/>
        <v>3.5999999999999999E-3</v>
      </c>
      <c r="H87" s="2982">
        <f t="shared" si="23"/>
        <v>3.5999999999999999E-3</v>
      </c>
      <c r="I87" s="2983">
        <v>0.05</v>
      </c>
      <c r="J87" s="2984">
        <f t="shared" si="24"/>
        <v>7.1999999999999998E-3</v>
      </c>
      <c r="K87" s="2984">
        <f t="shared" si="25"/>
        <v>3.5999999999999999E-3</v>
      </c>
      <c r="L87" s="2984">
        <v>0</v>
      </c>
      <c r="M87" s="2984">
        <f t="shared" si="26"/>
        <v>-3.5999999999999999E-3</v>
      </c>
      <c r="N87" s="2984">
        <f t="shared" si="26"/>
        <v>-7.1999999999999998E-3</v>
      </c>
      <c r="AA87" s="2674"/>
      <c r="AG87" s="1939"/>
    </row>
    <row r="88" spans="1:33" ht="25.5">
      <c r="A88" s="2971" t="s">
        <v>2323</v>
      </c>
      <c r="B88" s="2992" t="str">
        <f>估价对象房地状况!G19</f>
        <v>估价对象所在区域公共配套设施齐备情况</v>
      </c>
      <c r="C88" s="2977" t="s">
        <v>3115</v>
      </c>
      <c r="D88" s="2978">
        <f t="shared" si="22"/>
        <v>0</v>
      </c>
      <c r="E88" s="2986"/>
      <c r="F88" s="2980"/>
      <c r="G88" s="2981">
        <f t="shared" si="27"/>
        <v>4.3E-3</v>
      </c>
      <c r="H88" s="2982">
        <f t="shared" si="23"/>
        <v>4.3E-3</v>
      </c>
      <c r="I88" s="2983">
        <v>0.06</v>
      </c>
      <c r="J88" s="2984">
        <f t="shared" si="24"/>
        <v>8.6E-3</v>
      </c>
      <c r="K88" s="2984">
        <f t="shared" si="25"/>
        <v>4.3E-3</v>
      </c>
      <c r="L88" s="2984">
        <v>0</v>
      </c>
      <c r="M88" s="2984">
        <f t="shared" si="26"/>
        <v>-4.3E-3</v>
      </c>
      <c r="N88" s="2984">
        <f t="shared" si="26"/>
        <v>-8.6E-3</v>
      </c>
    </row>
    <row r="89" spans="1:33" ht="24">
      <c r="A89" s="2971" t="s">
        <v>2324</v>
      </c>
      <c r="B89" s="2992" t="str">
        <f>估价对象房地状况!G20</f>
        <v>估价对象所在区域基础设施水平</v>
      </c>
      <c r="C89" s="2977" t="s">
        <v>3115</v>
      </c>
      <c r="D89" s="2978">
        <f t="shared" si="22"/>
        <v>0</v>
      </c>
      <c r="E89" s="2986"/>
      <c r="F89" s="2980"/>
      <c r="G89" s="2981">
        <f t="shared" si="27"/>
        <v>8.6999999999999994E-3</v>
      </c>
      <c r="H89" s="2982">
        <f t="shared" si="23"/>
        <v>8.6999999999999994E-3</v>
      </c>
      <c r="I89" s="2983">
        <v>0.12</v>
      </c>
      <c r="J89" s="2984">
        <f t="shared" si="24"/>
        <v>1.7399999999999999E-2</v>
      </c>
      <c r="K89" s="2984">
        <f t="shared" si="25"/>
        <v>8.6999999999999994E-3</v>
      </c>
      <c r="L89" s="2984">
        <v>0</v>
      </c>
      <c r="M89" s="2984">
        <f t="shared" si="26"/>
        <v>-8.6999999999999994E-3</v>
      </c>
      <c r="N89" s="2984">
        <f t="shared" si="26"/>
        <v>-1.7399999999999999E-2</v>
      </c>
    </row>
    <row r="90" spans="1:33" ht="24">
      <c r="A90" s="2971" t="s">
        <v>2321</v>
      </c>
      <c r="B90" s="2990" t="s">
        <v>2334</v>
      </c>
      <c r="C90" s="2977" t="s">
        <v>3116</v>
      </c>
      <c r="D90" s="2978">
        <f t="shared" si="22"/>
        <v>4.3E-3</v>
      </c>
      <c r="E90" s="2986"/>
      <c r="F90" s="2980"/>
      <c r="G90" s="2981">
        <f t="shared" si="27"/>
        <v>4.3E-3</v>
      </c>
      <c r="H90" s="2982">
        <f t="shared" si="23"/>
        <v>4.3E-3</v>
      </c>
      <c r="I90" s="2983">
        <v>0.06</v>
      </c>
      <c r="J90" s="2984">
        <f t="shared" si="24"/>
        <v>8.6E-3</v>
      </c>
      <c r="K90" s="2984">
        <f t="shared" si="25"/>
        <v>4.3E-3</v>
      </c>
      <c r="L90" s="2984">
        <v>0</v>
      </c>
      <c r="M90" s="2984">
        <f t="shared" si="26"/>
        <v>-4.3E-3</v>
      </c>
      <c r="N90" s="2984">
        <f t="shared" si="26"/>
        <v>-8.6E-3</v>
      </c>
    </row>
    <row r="91" spans="1:33" ht="39" thickBot="1">
      <c r="A91" s="2993" t="s">
        <v>2335</v>
      </c>
      <c r="B91" s="3002" t="str">
        <f>估价对象房地状况!G18</f>
        <v>该园区内是否有污染型企业，绿化情况，卫生条件，整体环境状况判断</v>
      </c>
      <c r="C91" s="2977" t="s">
        <v>3116</v>
      </c>
      <c r="D91" s="2978">
        <f t="shared" si="22"/>
        <v>3.5999999999999999E-3</v>
      </c>
      <c r="E91" s="2995"/>
      <c r="F91" s="2980"/>
      <c r="G91" s="2981">
        <f t="shared" si="27"/>
        <v>3.5999999999999999E-3</v>
      </c>
      <c r="H91" s="2982">
        <f t="shared" si="23"/>
        <v>3.5999999999999999E-3</v>
      </c>
      <c r="I91" s="2996">
        <v>0.05</v>
      </c>
      <c r="J91" s="2984">
        <f t="shared" si="24"/>
        <v>7.1999999999999998E-3</v>
      </c>
      <c r="K91" s="2984">
        <f t="shared" si="25"/>
        <v>3.5999999999999999E-3</v>
      </c>
      <c r="L91" s="2984">
        <v>0</v>
      </c>
      <c r="M91" s="2984">
        <f t="shared" si="26"/>
        <v>-3.5999999999999999E-3</v>
      </c>
      <c r="N91" s="2984">
        <f t="shared" si="26"/>
        <v>-7.1999999999999998E-3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1</v>
      </c>
      <c r="C117" s="3022" t="s">
        <v>2343</v>
      </c>
      <c r="D117" s="3023">
        <f>SUMPRODUCT((A119:A123=F117)*(B118:M118=H117)*B119:M123)</f>
        <v>0.57150000000000001</v>
      </c>
      <c r="E117" s="2695" t="s">
        <v>2198</v>
      </c>
      <c r="F117" s="3024" t="str">
        <f>E2</f>
        <v>工业</v>
      </c>
      <c r="G117" s="2695" t="s">
        <v>2199</v>
      </c>
      <c r="H117" s="3024" t="str">
        <f>G2</f>
        <v>十级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7">I119</f>
        <v>0.8306</v>
      </c>
      <c r="K119" s="3033">
        <f t="shared" si="37"/>
        <v>0.8306</v>
      </c>
      <c r="L119" s="3033">
        <f t="shared" si="37"/>
        <v>0.8306</v>
      </c>
      <c r="M119" s="3034">
        <f t="shared" si="37"/>
        <v>0.8306</v>
      </c>
    </row>
    <row r="120" spans="1:14">
      <c r="A120" s="3032" t="s">
        <v>2255</v>
      </c>
      <c r="B120" s="3033">
        <f>ROUND(0.993-0.0112*B117,4)</f>
        <v>0.98180000000000001</v>
      </c>
      <c r="C120" s="3033">
        <f>B120</f>
        <v>0.98180000000000001</v>
      </c>
      <c r="D120" s="3033">
        <f>ROUND(0.9415-0.0142*B117,4)</f>
        <v>0.92730000000000001</v>
      </c>
      <c r="E120" s="3033">
        <f t="shared" ref="E120:H121" si="38">D120</f>
        <v>0.92730000000000001</v>
      </c>
      <c r="F120" s="3033">
        <f t="shared" si="38"/>
        <v>0.92730000000000001</v>
      </c>
      <c r="G120" s="3033">
        <f t="shared" si="38"/>
        <v>0.92730000000000001</v>
      </c>
      <c r="H120" s="3033">
        <f t="shared" si="38"/>
        <v>0.92730000000000001</v>
      </c>
      <c r="I120" s="3033">
        <f>ROUND(0.838-0.0182*B117,4)</f>
        <v>0.81979999999999997</v>
      </c>
      <c r="J120" s="3033">
        <f t="shared" si="37"/>
        <v>0.81979999999999997</v>
      </c>
      <c r="K120" s="3033">
        <f t="shared" si="37"/>
        <v>0.81979999999999997</v>
      </c>
      <c r="L120" s="3033">
        <f t="shared" si="37"/>
        <v>0.81979999999999997</v>
      </c>
      <c r="M120" s="3034">
        <f t="shared" si="37"/>
        <v>0.81979999999999997</v>
      </c>
    </row>
    <row r="121" spans="1:14">
      <c r="A121" s="3032" t="s">
        <v>2256</v>
      </c>
      <c r="B121" s="3033">
        <f>ROUND(0.9448-0.0115*B117,4)</f>
        <v>0.93330000000000002</v>
      </c>
      <c r="C121" s="3033">
        <f>B121</f>
        <v>0.93330000000000002</v>
      </c>
      <c r="D121" s="3033">
        <f>ROUND(0.937-0.0145*B117,4)</f>
        <v>0.92249999999999999</v>
      </c>
      <c r="E121" s="3033">
        <f t="shared" si="38"/>
        <v>0.92249999999999999</v>
      </c>
      <c r="F121" s="3033">
        <f t="shared" si="38"/>
        <v>0.92249999999999999</v>
      </c>
      <c r="G121" s="3033">
        <f t="shared" si="38"/>
        <v>0.92249999999999999</v>
      </c>
      <c r="H121" s="3033">
        <f t="shared" si="38"/>
        <v>0.92249999999999999</v>
      </c>
      <c r="I121" s="3033">
        <f>ROUND(0.7965-0.0185*B117,4)</f>
        <v>0.77800000000000002</v>
      </c>
      <c r="J121" s="3033">
        <f t="shared" si="37"/>
        <v>0.77800000000000002</v>
      </c>
      <c r="K121" s="3033">
        <f t="shared" si="37"/>
        <v>0.77800000000000002</v>
      </c>
      <c r="L121" s="3033">
        <f t="shared" si="37"/>
        <v>0.77800000000000002</v>
      </c>
      <c r="M121" s="3034">
        <f t="shared" si="37"/>
        <v>0.77800000000000002</v>
      </c>
    </row>
    <row r="122" spans="1:14" ht="13.5"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7"/>
        <v>0.57150000000000001</v>
      </c>
      <c r="K122" s="3036">
        <f t="shared" si="37"/>
        <v>0.57150000000000001</v>
      </c>
      <c r="L122" s="3036">
        <f t="shared" si="37"/>
        <v>0.57150000000000001</v>
      </c>
      <c r="M122" s="3037">
        <f t="shared" si="37"/>
        <v>0.57150000000000001</v>
      </c>
    </row>
    <row r="123" spans="1:14">
      <c r="A123" s="3038" t="s">
        <v>2926</v>
      </c>
      <c r="B123" s="3033">
        <f>ROUND(0.9404-0.0106*B117,4)</f>
        <v>0.92979999999999996</v>
      </c>
      <c r="C123" s="3033">
        <f>B123</f>
        <v>0.92979999999999996</v>
      </c>
      <c r="D123" s="3033">
        <f>ROUND(0.8955-0.0135*B117,4)</f>
        <v>0.88200000000000001</v>
      </c>
      <c r="E123" s="3033">
        <f t="shared" ref="E123" si="39">D123</f>
        <v>0.88200000000000001</v>
      </c>
      <c r="F123" s="3033">
        <f t="shared" ref="F123" si="40">E123</f>
        <v>0.88200000000000001</v>
      </c>
      <c r="G123" s="3033">
        <f t="shared" ref="G123" si="41">F123</f>
        <v>0.88200000000000001</v>
      </c>
      <c r="H123" s="3033">
        <f t="shared" ref="H123" si="42">G123</f>
        <v>0.88200000000000001</v>
      </c>
      <c r="I123" s="3033">
        <f>ROUND(0.7632-0.0166*B117,4)</f>
        <v>0.74660000000000004</v>
      </c>
      <c r="J123" s="3033">
        <f t="shared" ref="J123" si="43">I123</f>
        <v>0.74660000000000004</v>
      </c>
      <c r="K123" s="3033">
        <f t="shared" ref="K123" si="44">J123</f>
        <v>0.74660000000000004</v>
      </c>
      <c r="L123" s="3033">
        <f t="shared" ref="L123" si="45">K123</f>
        <v>0.74660000000000004</v>
      </c>
      <c r="M123" s="3034">
        <f t="shared" ref="M123" si="46">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1.2302</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1.1198999999999999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0</v>
      </c>
      <c r="C2" s="1940" t="s">
        <v>2357</v>
      </c>
      <c r="D2" s="1940" t="s">
        <v>2358</v>
      </c>
      <c r="E2" s="2291">
        <f ca="1">SUMIF(E6:E13,"&lt;&gt;#ref!",E6:E13)</f>
        <v>0</v>
      </c>
      <c r="F2" s="2465"/>
      <c r="G2" s="2465"/>
      <c r="H2" s="2465"/>
      <c r="I2" s="2465"/>
      <c r="J2" s="2465"/>
      <c r="K2" s="2465"/>
      <c r="L2" s="2465"/>
      <c r="M2" s="2465"/>
      <c r="N2" s="2465"/>
      <c r="O2" s="2465"/>
      <c r="P2" s="2465"/>
    </row>
    <row r="3" spans="1:16" ht="15.75">
      <c r="A3" s="1940" t="s">
        <v>2359</v>
      </c>
      <c r="B3" s="2281" t="e">
        <f ca="1">ROUND(B2*10000/E2,0)</f>
        <v>#DIV/0!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0</v>
      </c>
      <c r="C6" s="1940" t="s">
        <v>2357</v>
      </c>
      <c r="D6" s="2465"/>
      <c r="E6" s="2291">
        <f ca="1">SUMIF(INDIRECT("'"&amp;A6&amp;"'"&amp;"!C:C"),"建筑面积",INDIRECT("'"&amp;A6&amp;"'"&amp;"!D:D"))</f>
        <v>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44728</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44728</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2022-06-16T04:35:52Z</dcterms:modified>
</cp:coreProperties>
</file>