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8055"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赁情况"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2" i="81" l="1"/>
  <c r="N19" i="1"/>
  <c r="C6" i="68" l="1"/>
  <c r="D33" i="43"/>
  <c r="B14" i="74"/>
  <c r="Y6" i="1"/>
  <c r="N6" i="1"/>
  <c r="C32" i="81"/>
  <c r="C31" i="81"/>
  <c r="J30" i="81"/>
  <c r="J29" i="81"/>
  <c r="J28" i="81"/>
  <c r="J27" i="81"/>
  <c r="J26" i="81"/>
  <c r="J25" i="81"/>
  <c r="J24" i="81"/>
  <c r="J23" i="81"/>
  <c r="J22" i="81"/>
  <c r="J21" i="81"/>
  <c r="J20" i="81"/>
  <c r="J19" i="81"/>
  <c r="J18" i="81"/>
  <c r="J17" i="81"/>
  <c r="J16" i="81"/>
  <c r="J15" i="81"/>
  <c r="J14" i="81"/>
  <c r="J13" i="81"/>
  <c r="J12" i="81"/>
  <c r="J11" i="81"/>
  <c r="J10" i="81"/>
  <c r="J9" i="81"/>
  <c r="J8" i="81"/>
  <c r="J7" i="81"/>
  <c r="J6" i="81"/>
  <c r="J5" i="81"/>
  <c r="J4" i="81"/>
  <c r="J3" i="81"/>
  <c r="J31" i="81" s="1"/>
  <c r="G19" i="6"/>
  <c r="F19" i="6"/>
  <c r="H25" i="80"/>
  <c r="C25" i="80"/>
  <c r="K13" i="3"/>
  <c r="I13" i="3"/>
  <c r="B25" i="80"/>
  <c r="B6" i="80"/>
  <c r="B7" i="80"/>
  <c r="B8" i="80"/>
  <c r="B9" i="80"/>
  <c r="B10" i="80"/>
  <c r="B11" i="80"/>
  <c r="B12" i="80"/>
  <c r="B13" i="80"/>
  <c r="B14" i="80"/>
  <c r="B15" i="80"/>
  <c r="B16" i="80"/>
  <c r="B17" i="80"/>
  <c r="B18" i="80"/>
  <c r="B19" i="80"/>
  <c r="B20" i="80"/>
  <c r="B21" i="80"/>
  <c r="B22" i="80"/>
  <c r="B23" i="80"/>
  <c r="B24" i="80"/>
  <c r="H24" i="80"/>
  <c r="H7" i="80"/>
  <c r="H8" i="80"/>
  <c r="H9" i="80"/>
  <c r="H10" i="80"/>
  <c r="H11" i="80"/>
  <c r="H12" i="80"/>
  <c r="H13" i="80"/>
  <c r="H14" i="80"/>
  <c r="H15" i="80"/>
  <c r="H16" i="80"/>
  <c r="H17" i="80"/>
  <c r="H18" i="80"/>
  <c r="H19" i="80"/>
  <c r="H20" i="80"/>
  <c r="H21" i="80"/>
  <c r="H22" i="80"/>
  <c r="H23" i="80"/>
  <c r="H6" i="80"/>
  <c r="C7" i="80"/>
  <c r="C8" i="80"/>
  <c r="C9" i="80"/>
  <c r="C10" i="80"/>
  <c r="C11" i="80"/>
  <c r="C12" i="80"/>
  <c r="C13" i="80"/>
  <c r="C14" i="80"/>
  <c r="C15" i="80"/>
  <c r="C16" i="80"/>
  <c r="C17" i="80"/>
  <c r="C18" i="80"/>
  <c r="C19" i="80"/>
  <c r="C20" i="80"/>
  <c r="C21" i="80"/>
  <c r="C22" i="80"/>
  <c r="C23" i="80"/>
  <c r="C24" i="80"/>
  <c r="C6"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49"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312" i="3"/>
  <c r="I3" i="6"/>
  <c r="E491" i="3"/>
  <c r="E178" i="3"/>
  <c r="E276" i="3"/>
  <c r="E110" i="3"/>
  <c r="E446" i="3"/>
  <c r="E160" i="3"/>
  <c r="E267" i="3"/>
  <c r="E310" i="3"/>
  <c r="E84" i="3"/>
  <c r="E184" i="3"/>
  <c r="Y6" i="3"/>
  <c r="E179" i="3"/>
  <c r="E37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M28" i="15"/>
  <c r="E9" i="76"/>
  <c r="AO13" i="1"/>
  <c r="F8" i="15"/>
  <c r="F37" i="15"/>
  <c r="F36" i="15"/>
  <c r="D7" i="73"/>
  <c r="B9" i="76"/>
  <c r="M9" i="15"/>
  <c r="F38" i="15"/>
  <c r="F5" i="73"/>
  <c r="F40" i="67"/>
  <c r="M9" i="67"/>
  <c r="F26" i="15"/>
  <c r="L48" i="67"/>
  <c r="E13" i="76"/>
  <c r="F42" i="15"/>
  <c r="M24" i="15"/>
  <c r="E11" i="76"/>
  <c r="F7" i="67"/>
  <c r="C76" i="67"/>
  <c r="F8" i="67"/>
  <c r="M29" i="67"/>
  <c r="E12" i="76"/>
  <c r="F4" i="73"/>
  <c r="F20" i="31"/>
  <c r="F9" i="67"/>
  <c r="D5" i="73"/>
  <c r="E2" i="69"/>
  <c r="E10" i="76"/>
  <c r="F9" i="15"/>
  <c r="M29" i="15"/>
  <c r="F37" i="67"/>
  <c r="F38" i="67"/>
  <c r="F7" i="73"/>
  <c r="B7" i="76"/>
  <c r="M24" i="67"/>
  <c r="M26" i="15"/>
  <c r="B13" i="76"/>
  <c r="M6" i="15"/>
  <c r="M26" i="67"/>
  <c r="F6" i="73"/>
  <c r="M8" i="15"/>
  <c r="D6" i="73"/>
  <c r="F6" i="15"/>
  <c r="F13" i="15"/>
  <c r="J15" i="15"/>
  <c r="F13" i="67"/>
  <c r="F16" i="15"/>
  <c r="M6" i="67"/>
  <c r="M8" i="67"/>
  <c r="M23" i="67"/>
  <c r="M22" i="15"/>
  <c r="M23" i="15"/>
  <c r="B12" i="76"/>
  <c r="F7" i="15"/>
  <c r="L47" i="67"/>
  <c r="J15" i="67"/>
  <c r="F26" i="67"/>
  <c r="E2" i="68"/>
  <c r="E7" i="76"/>
  <c r="D4" i="73"/>
  <c r="F36" i="67"/>
  <c r="L48" i="15"/>
  <c r="F42" i="67"/>
  <c r="B11" i="76"/>
  <c r="F3" i="73"/>
  <c r="L47" i="15"/>
  <c r="F6" i="67"/>
  <c r="F43" i="67"/>
  <c r="C76" i="15"/>
  <c r="D3" i="73"/>
  <c r="F16" i="67"/>
  <c r="F43" i="15"/>
  <c r="E8" i="76"/>
  <c r="M22" i="67"/>
  <c r="B8" i="76"/>
  <c r="F40" i="15"/>
  <c r="M28" i="67"/>
  <c r="C21" i="68" l="1"/>
  <c r="C40" i="69"/>
  <c r="G6" i="1"/>
  <c r="I24" i="43"/>
  <c r="E176" i="3"/>
  <c r="E147" i="3"/>
  <c r="E325" i="3"/>
  <c r="E138" i="3"/>
  <c r="E76" i="3"/>
  <c r="E131" i="3"/>
  <c r="E376" i="3"/>
  <c r="E524" i="3"/>
  <c r="E50" i="3"/>
  <c r="E36" i="3"/>
  <c r="E209" i="3"/>
  <c r="E47" i="3"/>
  <c r="E292" i="3"/>
  <c r="E520" i="3"/>
  <c r="E486" i="3"/>
  <c r="E464" i="3"/>
  <c r="E286" i="3"/>
  <c r="E329" i="3"/>
  <c r="E283" i="3"/>
  <c r="E19" i="3"/>
  <c r="E355" i="3"/>
  <c r="E87" i="3"/>
  <c r="AQ6" i="3"/>
  <c r="E307" i="3"/>
  <c r="E194" i="3"/>
  <c r="E46" i="3"/>
  <c r="E473" i="3"/>
  <c r="E372" i="3"/>
  <c r="E240" i="3"/>
  <c r="E56" i="3"/>
  <c r="E498" i="3"/>
  <c r="E416" i="3"/>
  <c r="R6" i="3"/>
  <c r="E223" i="3"/>
  <c r="E21" i="3"/>
  <c r="E265" i="3"/>
  <c r="E63" i="3"/>
  <c r="E284" i="3"/>
  <c r="E33" i="3"/>
  <c r="E584" i="3"/>
  <c r="E299" i="3"/>
  <c r="E163" i="3"/>
  <c r="E38" i="3"/>
  <c r="E540" i="3"/>
  <c r="E375" i="3"/>
  <c r="E192" i="3"/>
  <c r="E40" i="3"/>
  <c r="E582" i="3"/>
  <c r="E430" i="3"/>
  <c r="E564" i="3"/>
  <c r="E510"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16" i="3"/>
  <c r="E148" i="3"/>
  <c r="E167" i="3"/>
  <c r="E105" i="3"/>
  <c r="E575" i="3"/>
  <c r="E542" i="3"/>
  <c r="E543" i="3"/>
  <c r="E442" i="3"/>
  <c r="E487" i="3"/>
  <c r="E422" i="3"/>
  <c r="E449" i="3"/>
  <c r="E374" i="3"/>
  <c r="AH6" i="3"/>
  <c r="E554" i="3"/>
  <c r="E413" i="3"/>
  <c r="E483" i="3"/>
  <c r="E417" i="3"/>
  <c r="E39" i="3"/>
  <c r="E25" i="3"/>
  <c r="E95" i="3"/>
  <c r="E187" i="3"/>
  <c r="E202" i="3"/>
  <c r="E258" i="3"/>
  <c r="E259" i="3"/>
  <c r="E346" i="3"/>
  <c r="E349" i="3"/>
  <c r="E504" i="3"/>
  <c r="E60" i="3"/>
  <c r="E462" i="3"/>
  <c r="E15" i="3"/>
  <c r="E467" i="3"/>
  <c r="E101" i="3"/>
  <c r="E264" i="3"/>
  <c r="E20" i="3"/>
  <c r="E233" i="3"/>
  <c r="E48" i="3"/>
  <c r="E371" i="3"/>
  <c r="E234" i="3"/>
  <c r="E103" i="3"/>
  <c r="E544" i="3"/>
  <c r="E57" i="3"/>
  <c r="E244" i="3"/>
  <c r="E309" i="3"/>
  <c r="E154" i="3"/>
  <c r="E364" i="3"/>
  <c r="E127" i="3"/>
  <c r="E52" i="3"/>
  <c r="E492" i="3"/>
  <c r="E266" i="3"/>
  <c r="E137" i="3"/>
  <c r="E98" i="3"/>
  <c r="E425" i="3"/>
  <c r="E488" i="3"/>
  <c r="E378" i="3"/>
  <c r="E226" i="3"/>
  <c r="E132" i="3"/>
  <c r="E463" i="3"/>
  <c r="E435" i="3"/>
  <c r="E500" i="3"/>
  <c r="E490" i="3"/>
  <c r="E541" i="3"/>
  <c r="E421" i="3"/>
  <c r="E493" i="3"/>
  <c r="E199" i="3"/>
  <c r="E82" i="3"/>
  <c r="E323" i="3"/>
  <c r="E218" i="3"/>
  <c r="E81" i="3"/>
  <c r="E68" i="3"/>
  <c r="E341" i="3"/>
  <c r="E289" i="3"/>
  <c r="E123" i="3"/>
  <c r="E67" i="3"/>
  <c r="E66" i="3"/>
  <c r="E354" i="3"/>
  <c r="E339" i="3"/>
  <c r="E249" i="3"/>
  <c r="E200" i="3"/>
  <c r="E195" i="3"/>
  <c r="E100" i="3"/>
  <c r="E79" i="3"/>
  <c r="E484" i="3"/>
  <c r="E59" i="3"/>
  <c r="L6" i="3"/>
  <c r="E363" i="3"/>
  <c r="E297" i="3"/>
  <c r="E119" i="3"/>
  <c r="E37" i="3"/>
  <c r="E436" i="3"/>
  <c r="E419" i="3"/>
  <c r="AP6" i="3"/>
  <c r="E459" i="3"/>
  <c r="E507" i="3"/>
  <c r="E502" i="3"/>
  <c r="AD6" i="3"/>
  <c r="E116" i="3"/>
  <c r="E53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H50" i="43"/>
  <c r="H69"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F26" i="43" l="1"/>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12" i="1"/>
  <c r="AO8" i="1"/>
  <c r="AO7" i="1"/>
  <c r="AO9"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D22" i="9"/>
  <c r="G19"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32" i="9"/>
  <c r="C35" i="9"/>
  <c r="C34" i="9"/>
  <c r="C42" i="40"/>
  <c r="C43" i="40"/>
  <c r="E47" i="40"/>
  <c r="F47" i="40" s="1"/>
  <c r="E46" i="40"/>
  <c r="F46" i="40" s="1"/>
  <c r="I47" i="40"/>
  <c r="J47" i="40" s="1"/>
  <c r="D35" i="9"/>
  <c r="D34" i="9"/>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D118" i="9"/>
  <c r="D4" i="52" s="1"/>
  <c r="B47" i="72" s="1"/>
  <c r="H101" i="9" l="1"/>
  <c r="D14" i="74"/>
  <c r="H107" i="9"/>
  <c r="D5" i="53"/>
  <c r="D45" i="9"/>
  <c r="P54" i="9" s="1"/>
  <c r="M48" i="9"/>
  <c r="F4" i="52"/>
  <c r="B51" i="72" s="1"/>
  <c r="C104" i="9"/>
  <c r="H119" i="9"/>
  <c r="H5" i="52" s="1"/>
  <c r="H4" i="52"/>
  <c r="D119" i="9"/>
  <c r="D5" i="52" s="1"/>
  <c r="B49" i="72" s="1"/>
  <c r="I118" i="9"/>
  <c r="G118" i="9"/>
  <c r="G4" i="52" s="1"/>
  <c r="B52" i="72" s="1"/>
  <c r="E14" i="74" l="1"/>
  <c r="F14" i="74"/>
  <c r="B5" i="74"/>
  <c r="D5" i="74" s="1"/>
  <c r="C85" i="9"/>
  <c r="D53" i="9"/>
  <c r="D48" i="9" s="1"/>
  <c r="M52" i="9" s="1"/>
  <c r="P52" i="9" s="1"/>
  <c r="D55" i="9"/>
  <c r="M53" i="9" s="1"/>
  <c r="P53" i="9" s="1"/>
  <c r="C72" i="9"/>
  <c r="C78" i="9"/>
  <c r="C73" i="9" s="1"/>
  <c r="C93" i="9"/>
  <c r="C86" i="9" s="1"/>
  <c r="D52" i="9"/>
  <c r="C64" i="9"/>
  <c r="C63" i="9" s="1"/>
  <c r="C67" i="9" s="1"/>
  <c r="C105" i="9"/>
  <c r="H102" i="9"/>
  <c r="H108" i="9" s="1"/>
  <c r="E118" i="9"/>
  <c r="E4" i="52" s="1"/>
  <c r="B48" i="72" s="1"/>
  <c r="I4" i="52"/>
  <c r="B20" i="72"/>
  <c r="D6" i="53"/>
  <c r="B22" i="72" s="1"/>
  <c r="D122" i="9"/>
  <c r="G14" i="74" s="1"/>
  <c r="B6" i="74" s="1"/>
  <c r="D6" i="74" s="1"/>
  <c r="M49" i="9"/>
  <c r="D13" i="53"/>
  <c r="P57" i="9" l="1"/>
  <c r="P59" i="9" s="1"/>
  <c r="I14" i="74" s="1"/>
  <c r="B8" i="74" s="1"/>
  <c r="D8" i="74" s="1"/>
  <c r="C79" i="9"/>
  <c r="C80" i="9" s="1"/>
  <c r="E80" i="9" s="1"/>
  <c r="E81" i="9" s="1"/>
  <c r="D59" i="9"/>
  <c r="M55" i="9" s="1"/>
  <c r="C68" i="9"/>
  <c r="D54" i="9" s="1"/>
  <c r="C5" i="74"/>
  <c r="D7" i="53"/>
  <c r="B21" i="72" s="1"/>
  <c r="D8" i="52"/>
  <c r="D123" i="9"/>
  <c r="D9" i="52" s="1"/>
  <c r="D15" i="53"/>
  <c r="B31" i="72" s="1"/>
  <c r="C6" i="74"/>
  <c r="B30" i="72"/>
  <c r="D14" i="53"/>
  <c r="B32" i="72" s="1"/>
  <c r="L66" i="9"/>
  <c r="M66" i="9" s="1"/>
  <c r="L64" i="9"/>
  <c r="M64" i="9" s="1"/>
  <c r="L65" i="9"/>
  <c r="M65" i="9" s="1"/>
  <c r="L68" i="9"/>
  <c r="M68" i="9" s="1"/>
  <c r="L67" i="9"/>
  <c r="M67" i="9" s="1"/>
  <c r="L63" i="9"/>
  <c r="M63" i="9" s="1"/>
  <c r="C95" i="9"/>
  <c r="C81" i="9" l="1"/>
  <c r="C96" i="9"/>
  <c r="E96" i="9" s="1"/>
  <c r="E97" i="9" s="1"/>
  <c r="M69" i="9"/>
  <c r="N69" i="9" s="1"/>
  <c r="C97" i="9" l="1"/>
  <c r="D58" i="9" s="1"/>
  <c r="D56" i="9" s="1"/>
  <c r="M54" i="9" s="1"/>
  <c r="N57" i="9" s="1"/>
  <c r="N58" i="9" l="1"/>
  <c r="N59" i="9"/>
  <c r="H111" i="9" l="1"/>
  <c r="N61" i="9"/>
  <c r="H112" i="9" s="1"/>
  <c r="N60" i="9"/>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<sst xmlns="http://schemas.openxmlformats.org/spreadsheetml/2006/main" count="7994" uniqueCount="3533">
  <si>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</si>
  <si>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</si>
  <si>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</si>
  <si>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</si>
  <si>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</si>
  <si>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</si>
  <si>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</si>
  <si>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</si>
  <si>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</si>
  <si>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</si>
  <si>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</si>
  <si>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</si>
  <si>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</si>
  <si>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</si>
  <si>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</si>
  <si>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</si>
  <si>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</si>
  <si>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</si>
  <si>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</si>
  <si>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</si>
  <si>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</si>
  <si>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</si>
  <si>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</si>
  <si>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</si>
  <si>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</si>
  <si>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</si>
  <si>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</si>
  <si>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</si>
  <si>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</si>
  <si>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</si>
  <si>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</si>
  <si>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</si>
  <si>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</si>
  <si>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</si>
  <si>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</si>
  <si>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</si>
  <si>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</si>
  <si>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</si>
  <si>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</si>
  <si>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</si>
  <si>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</si>
  <si>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</si>
  <si>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</si>
  <si>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</si>
  <si>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</si>
  <si>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</si>
  <si>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</si>
  <si>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</si>
  <si>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</si>
  <si>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</si>
  <si>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</si>
  <si>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</si>
  <si>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</si>
  <si>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</si>
  <si>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</si>
  <si>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</si>
  <si>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</si>
  <si>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</si>
  <si>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</si>
  <si>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</si>
  <si>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</si>
  <si>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</si>
  <si>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</si>
  <si>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</si>
  <si>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</si>
  <si>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</si>
  <si>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</si>
  <si>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</si>
  <si>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</si>
  <si>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</si>
  <si>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</si>
  <si>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</si>
  <si>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</si>
  <si>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</si>
  <si>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</si>
  <si>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</si>
  <si>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</si>
  <si>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</si>
  <si>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</si>
  <si>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</si>
  <si>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</si>
  <si>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</si>
  <si>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</si>
  <si>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</si>
  <si>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</si>
  <si>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</si>
  <si>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</si>
  <si>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</si>
  <si>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</si>
  <si>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</si>
  <si>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</si>
  <si>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</si>
  <si>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</si>
  <si>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</si>
  <si>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</si>
  <si>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</si>
  <si>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</si>
  <si>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</si>
  <si>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</si>
  <si>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</si>
  <si>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</si>
  <si>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</si>
  <si>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</si>
  <si>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</si>
  <si>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</si>
  <si>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</si>
  <si>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</si>
  <si>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</si>
  <si>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</si>
  <si>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</si>
  <si>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</si>
  <si>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</si>
  <si>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</si>
  <si>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</si>
  <si>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</si>
  <si>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</si>
  <si>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</si>
  <si>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</si>
  <si>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</si>
  <si>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</si>
  <si>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</si>
  <si>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</si>
  <si>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</si>
  <si>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</si>
  <si>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</si>
  <si>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</si>
  <si>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</si>
  <si>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</si>
  <si>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</si>
  <si>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</si>
  <si>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</si>
  <si>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</si>
  <si>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</si>
  <si>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</si>
  <si>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</si>
  <si>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</si>
  <si>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</si>
  <si>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</si>
  <si>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</si>
  <si>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</si>
  <si>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</si>
  <si>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</si>
  <si>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</si>
  <si>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</si>
  <si>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</si>
  <si>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</si>
  <si>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</si>
  <si>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</si>
  <si>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</si>
  <si>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</si>
  <si>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</si>
  <si>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</si>
  <si>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</si>
  <si>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</si>
  <si>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</si>
  <si>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</si>
  <si>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</si>
  <si>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</si>
  <si>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</si>
  <si>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</si>
  <si>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</si>
  <si>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</si>
  <si>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</si>
  <si>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</si>
  <si>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</si>
  <si>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</si>
  <si>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</si>
  <si>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</si>
  <si>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</si>
  <si>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</si>
  <si>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</si>
  <si>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</si>
  <si>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</si>
  <si>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</si>
  <si>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</si>
  <si>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</si>
  <si>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</si>
  <si>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</si>
  <si>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</si>
  <si>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</si>
  <si>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</si>
  <si>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</si>
  <si>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</si>
  <si>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</si>
  <si>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</si>
  <si>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</si>
  <si>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</si>
  <si>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</si>
  <si>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</si>
  <si>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</si>
  <si>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</si>
  <si>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</si>
  <si>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</si>
  <si>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</si>
  <si>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</si>
  <si>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</si>
  <si>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</si>
  <si>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</si>
  <si>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</si>
  <si>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</si>
  <si>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</si>
  <si>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</si>
  <si>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</si>
  <si>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</si>
  <si>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</si>
  <si>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</si>
  <si>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</si>
  <si>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</si>
  <si>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</si>
  <si>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</si>
  <si>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</si>
  <si>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</si>
  <si>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</si>
  <si>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</si>
  <si>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</si>
  <si>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</si>
  <si>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</si>
  <si>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</si>
  <si>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</si>
  <si>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</si>
  <si>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</si>
  <si>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</si>
  <si>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</si>
  <si>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</si>
  <si>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</si>
  <si>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</si>
  <si>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</si>
  <si>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</si>
  <si>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</si>
  <si>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</si>
  <si>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</si>
  <si>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</si>
  <si>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</si>
  <si>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</si>
  <si>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</si>
  <si>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</si>
  <si>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</si>
  <si>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</si>
  <si>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</si>
  <si>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</si>
  <si>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</si>
  <si>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</si>
  <si>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</si>
  <si>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</si>
  <si>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</si>
  <si>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</si>
  <si>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</si>
  <si>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</si>
  <si>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</si>
  <si>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</si>
  <si>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</si>
  <si>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</si>
  <si>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</si>
  <si>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</si>
  <si>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</si>
  <si>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</si>
  <si>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</si>
  <si>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</si>
  <si>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</si>
  <si>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</si>
  <si>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</si>
  <si>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</si>
  <si>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</si>
  <si>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</si>
  <si>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</si>
  <si>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</si>
  <si>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</si>
  <si>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</si>
  <si>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</si>
  <si>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</si>
  <si>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</si>
  <si>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</si>
  <si>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</si>
  <si>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</si>
  <si>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</si>
  <si>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</si>
  <si>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</si>
  <si>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</si>
  <si>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</si>
  <si>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</si>
  <si>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</si>
  <si>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</si>
  <si>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</si>
  <si>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</si>
  <si>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</si>
  <si>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</si>
  <si>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</si>
  <si>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</si>
  <si>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</si>
  <si>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</si>
  <si>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</si>
  <si>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</si>
  <si>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</si>
  <si>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</si>
  <si>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</si>
  <si>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</si>
  <si>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</si>
  <si>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</si>
  <si>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</si>
  <si>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</si>
  <si>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</si>
  <si>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</si>
  <si>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</si>
  <si>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</si>
  <si>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</si>
  <si>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</si>
  <si>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</si>
  <si>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</si>
  <si>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</si>
  <si>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</si>
  <si>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</si>
  <si>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</si>
  <si>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</si>
  <si>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</si>
  <si>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</si>
  <si>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</si>
  <si>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</si>
  <si>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</si>
  <si>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</si>
  <si>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</si>
  <si>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</si>
  <si>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</si>
  <si>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</si>
  <si>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</si>
  <si>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</si>
  <si>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</si>
  <si>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</si>
  <si>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</si>
  <si>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</si>
  <si>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</si>
  <si>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</si>
  <si>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</si>
  <si>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</si>
  <si>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</si>
  <si>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</si>
  <si>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</si>
  <si>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</si>
  <si>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</si>
  <si>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</si>
  <si>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</si>
  <si>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</si>
  <si>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</si>
  <si>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</si>
  <si>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</si>
  <si>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</si>
  <si>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</si>
  <si>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</si>
  <si>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</si>
  <si>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</si>
  <si>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</si>
  <si>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</si>
  <si>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</si>
  <si>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</si>
  <si>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</si>
  <si>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</si>
  <si>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</si>
  <si>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</si>
  <si>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</si>
  <si>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</si>
  <si>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</si>
  <si>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</si>
  <si>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</si>
  <si>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</si>
  <si>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</si>
  <si>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</si>
  <si>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</si>
  <si>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</si>
  <si>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</si>
  <si>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</si>
  <si>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</si>
  <si>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</si>
  <si>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</si>
  <si>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</si>
  <si>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</si>
  <si>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</si>
  <si>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</si>
  <si>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</si>
  <si>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</si>
  <si>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</si>
  <si>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</si>
  <si>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</si>
  <si>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</si>
  <si>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</si>
  <si>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</si>
  <si>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</si>
  <si>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</si>
  <si>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</si>
  <si>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</si>
  <si>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</si>
  <si>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</si>
  <si>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</si>
  <si>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</si>
  <si>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</si>
  <si>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</si>
  <si>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</si>
  <si>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</si>
  <si>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</si>
  <si>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</si>
  <si>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</si>
  <si>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</si>
  <si>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</si>
  <si>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</si>
  <si>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</si>
  <si>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</si>
  <si>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</si>
  <si>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</si>
  <si>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</si>
  <si>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</si>
  <si>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</si>
  <si>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</si>
  <si>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</si>
  <si>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</si>
  <si>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</si>
  <si>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</si>
  <si>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</si>
  <si>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</si>
  <si>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</si>
  <si>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</si>
  <si>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</si>
  <si>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</si>
  <si>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</si>
  <si>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</si>
  <si>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</si>
  <si>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</si>
  <si>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</si>
  <si>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</si>
  <si>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</si>
  <si>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</si>
  <si>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</si>
  <si>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</si>
  <si>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</si>
  <si>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</si>
  <si>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</si>
  <si>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</si>
  <si>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</si>
  <si>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</si>
  <si>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</si>
  <si>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</si>
  <si>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</si>
  <si>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</si>
  <si>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</si>
  <si>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</si>
  <si>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</si>
  <si>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</si>
  <si>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</si>
  <si>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</si>
  <si>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</si>
  <si>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</si>
  <si>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</si>
  <si>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</si>
  <si>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</si>
  <si>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</si>
  <si>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</si>
  <si>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</si>
  <si>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</si>
  <si>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</si>
  <si>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</si>
  <si>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</si>
  <si>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</si>
  <si>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</si>
  <si>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</si>
  <si>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</si>
  <si>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</si>
  <si>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</si>
  <si>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</si>
  <si>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</si>
  <si>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</si>
  <si>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</si>
  <si>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</si>
  <si>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</si>
  <si>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</si>
  <si>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</si>
  <si>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</si>
  <si>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</si>
  <si>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</si>
  <si>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</si>
  <si>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</si>
  <si>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</si>
  <si>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</si>
  <si>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</si>
  <si>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</si>
  <si>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</si>
  <si>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</si>
  <si>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</si>
  <si>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</si>
  <si>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</si>
  <si>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</si>
  <si>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</si>
  <si>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</si>
  <si>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</si>
  <si>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</si>
  <si>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</si>
  <si>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</si>
  <si>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</si>
  <si>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</si>
  <si>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</si>
  <si>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</si>
  <si>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</si>
  <si>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</si>
  <si>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</si>
  <si>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</si>
  <si>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</si>
  <si>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</si>
  <si>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</si>
  <si>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</si>
  <si>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</si>
  <si>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</si>
  <si>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</si>
  <si>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</si>
  <si>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</si>
  <si>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</si>
  <si>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</si>
  <si>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</si>
  <si>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</si>
  <si>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</si>
  <si>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</si>
  <si>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</si>
  <si>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</si>
  <si>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</si>
  <si>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</si>
  <si>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</si>
  <si>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</si>
  <si>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</si>
  <si>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</si>
  <si>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</si>
  <si>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</si>
  <si>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</si>
  <si>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</si>
  <si>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</si>
  <si>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</si>
  <si>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</si>
  <si>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</si>
  <si>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</si>
  <si>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</si>
  <si>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</si>
  <si>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</si>
  <si>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</si>
  <si>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</si>
  <si>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</si>
  <si>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</si>
  <si>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</si>
  <si>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</si>
  <si>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</si>
  <si>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</si>
  <si>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</si>
  <si>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</si>
  <si>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</si>
  <si>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</si>
  <si>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</si>
  <si>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</si>
  <si>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</si>
  <si>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</si>
  <si>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</si>
  <si>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</si>
  <si>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</si>
  <si>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</si>
  <si>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</si>
  <si>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</si>
  <si>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</si>
  <si>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</si>
  <si>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</si>
  <si>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</si>
  <si>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</si>
  <si>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</si>
  <si>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</si>
  <si>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</si>
  <si>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</si>
  <si>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</si>
  <si>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</si>
  <si>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</si>
  <si>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</si>
  <si>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</si>
  <si>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</si>
  <si>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</si>
  <si>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</si>
  <si>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</si>
  <si>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</si>
  <si>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</si>
  <si>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</si>
  <si>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</si>
  <si>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</si>
  <si>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</si>
  <si>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</si>
  <si>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</si>
  <si>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</si>
  <si>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</si>
  <si>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</si>
  <si>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</si>
  <si>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</si>
  <si>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</si>
  <si>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</si>
  <si>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</si>
  <si>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</si>
  <si>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</si>
  <si>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</si>
  <si>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</si>
  <si>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</si>
  <si>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</si>
  <si>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</si>
  <si>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</si>
  <si>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</si>
  <si>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</si>
  <si>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</si>
  <si>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</si>
  <si>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</si>
  <si>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</si>
  <si>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</si>
  <si>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</si>
  <si>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</si>
  <si>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</si>
  <si>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</si>
  <si>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</si>
  <si>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</si>
  <si>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</si>
  <si>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</si>
  <si>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</si>
  <si>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</si>
  <si>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</si>
  <si>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</si>
  <si>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</si>
  <si>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</si>
  <si>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</si>
  <si>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</si>
  <si>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</si>
  <si>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</si>
  <si>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</si>
  <si>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</si>
  <si>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</si>
  <si>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</si>
  <si>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</si>
  <si>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</si>
  <si>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</si>
  <si>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</si>
  <si>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</si>
  <si>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</si>
  <si>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</si>
  <si>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</si>
  <si>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</si>
  <si>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</si>
  <si>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</si>
  <si>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</si>
  <si>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</si>
  <si>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</si>
  <si>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</si>
  <si>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</si>
  <si>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</si>
  <si>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</si>
  <si>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</si>
  <si>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</si>
  <si>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</si>
  <si>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</si>
  <si>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</si>
  <si>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</si>
  <si>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</si>
  <si>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</si>
  <si>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</si>
  <si>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</si>
  <si>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</si>
  <si>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</si>
  <si>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</si>
  <si>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</si>
  <si>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</si>
  <si>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</si>
  <si>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</si>
  <si>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</si>
  <si>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</si>
  <si>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</si>
  <si>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</si>
  <si>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</si>
  <si>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</si>
  <si>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</si>
  <si>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</si>
  <si>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</si>
  <si>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</si>
  <si>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</si>
  <si>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</si>
  <si>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</si>
  <si>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</si>
  <si>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</si>
  <si>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</si>
  <si>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</si>
  <si>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</si>
  <si>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</si>
  <si>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</si>
  <si>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</si>
  <si>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</si>
  <si>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</si>
  <si>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</si>
  <si>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</si>
  <si>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</si>
  <si>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</si>
  <si>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</si>
  <si>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</si>
  <si>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</si>
  <si>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</si>
  <si>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</si>
  <si>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</si>
  <si>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</si>
  <si>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</si>
  <si>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</si>
  <si>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</si>
  <si>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</si>
  <si>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</si>
  <si>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</si>
  <si>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</si>
  <si>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</si>
  <si>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</si>
  <si>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</si>
  <si>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</si>
  <si>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</si>
  <si>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</si>
  <si>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</si>
  <si>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</si>
  <si>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</si>
  <si>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</si>
  <si>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</si>
  <si>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</si>
  <si>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</si>
  <si>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</si>
  <si>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</si>
  <si>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</si>
  <si>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</si>
  <si>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</si>
  <si>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</si>
  <si>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</si>
  <si>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</si>
  <si>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</si>
  <si>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</si>
  <si>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</si>
  <si>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</si>
  <si>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</si>
  <si>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</si>
  <si>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</si>
  <si>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</si>
  <si>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</si>
  <si>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</si>
  <si>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</si>
  <si>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</si>
  <si>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</si>
  <si>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</si>
  <si>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</si>
  <si>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</si>
  <si>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</si>
  <si>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</si>
  <si>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</si>
  <si>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</si>
  <si>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</si>
  <si>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</si>
  <si>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</si>
  <si>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</si>
  <si>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</si>
  <si>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</si>
  <si>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</si>
  <si>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</si>
  <si>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</si>
  <si>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</si>
  <si>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</si>
  <si>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</si>
  <si>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</si>
  <si>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</si>
  <si>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</si>
  <si>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</si>
  <si>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</si>
  <si>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</si>
  <si>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</si>
  <si>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</si>
  <si>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</si>
  <si>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</si>
  <si>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</si>
  <si>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</si>
  <si>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</si>
  <si>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</si>
  <si>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</si>
  <si>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</si>
  <si>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</si>
  <si>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</si>
  <si>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</si>
  <si>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</si>
  <si>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</si>
  <si>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</si>
  <si>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</si>
  <si>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</si>
  <si>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</si>
  <si>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</si>
  <si>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</si>
  <si>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</si>
  <si>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</si>
  <si>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</si>
  <si>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</si>
  <si>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</si>
  <si>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</si>
  <si>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</si>
  <si>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</si>
  <si>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</si>
  <si>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</si>
  <si>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</si>
  <si>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</si>
  <si>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</si>
  <si>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</si>
  <si>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</si>
  <si>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</si>
  <si>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</si>
  <si>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</si>
  <si>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</si>
  <si>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</si>
  <si>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</si>
  <si>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</si>
  <si>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</si>
  <si>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</si>
  <si>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</si>
  <si>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</si>
  <si>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</si>
  <si>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</si>
  <si>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</si>
  <si>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</si>
  <si>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</si>
  <si>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</si>
  <si>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</si>
  <si>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</si>
  <si>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</si>
  <si>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</si>
  <si>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</si>
  <si>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</si>
  <si>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</si>
  <si>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</si>
  <si>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</si>
  <si>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</si>
  <si>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</si>
  <si>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</si>
  <si>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</si>
  <si>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</si>
  <si>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</si>
  <si>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</si>
  <si>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</si>
  <si>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</si>
  <si>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</si>
  <si>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</si>
  <si>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</si>
  <si>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</si>
  <si>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</si>
  <si>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</si>
  <si>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</si>
  <si>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</si>
  <si>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</si>
  <si>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</si>
  <si>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</si>
  <si>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</si>
  <si>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</si>
  <si>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</si>
  <si>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</si>
  <si>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</si>
  <si>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</si>
  <si>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</si>
  <si>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</si>
  <si>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</si>
  <si>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</si>
  <si>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</si>
  <si>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</si>
  <si>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</si>
  <si>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</si>
  <si>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</si>
  <si>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</si>
  <si>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</si>
  <si>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</si>
  <si>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</si>
  <si>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</si>
  <si>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</si>
  <si>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</si>
  <si>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</si>
  <si>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</si>
  <si>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</si>
  <si>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</si>
  <si>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</si>
  <si>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</si>
  <si>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</si>
  <si>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</si>
  <si>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</si>
  <si>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</si>
  <si>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</si>
  <si>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</si>
  <si>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</si>
  <si>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</si>
  <si>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</si>
  <si>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</si>
  <si>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</si>
  <si>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</si>
  <si>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</si>
  <si>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</si>
  <si>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</si>
  <si>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</si>
  <si>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</si>
  <si>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</si>
  <si>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</si>
  <si>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</si>
  <si>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</si>
  <si>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</si>
  <si>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</si>
  <si>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</si>
  <si>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</si>
  <si>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</si>
  <si>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</si>
  <si>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</si>
  <si>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</si>
  <si>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</si>
  <si>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</si>
  <si>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</si>
  <si>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</si>
  <si>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</si>
  <si>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</si>
  <si>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</si>
  <si>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</si>
  <si>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</si>
  <si>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</si>
  <si>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</si>
  <si>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</si>
  <si>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</si>
  <si>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</si>
  <si>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</si>
  <si>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</si>
  <si>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</si>
  <si>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</si>
  <si>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</si>
  <si>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</si>
  <si>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</si>
  <si>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</si>
  <si>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</si>
  <si>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</si>
  <si>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</si>
  <si>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</si>
  <si>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</si>
  <si>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</si>
  <si>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</si>
  <si>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</si>
  <si>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</si>
  <si>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</si>
  <si>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</si>
  <si>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</si>
  <si>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</si>
  <si>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</si>
  <si>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</si>
  <si>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</si>
  <si>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</si>
  <si>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</si>
  <si>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</si>
  <si>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</si>
  <si>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</si>
  <si>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</si>
  <si>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</si>
  <si>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</si>
  <si>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</si>
  <si>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</si>
  <si>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</si>
  <si>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</si>
  <si>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</si>
  <si>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</si>
  <si>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</si>
  <si>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</si>
  <si>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</si>
  <si>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</si>
  <si>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</si>
  <si>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</si>
  <si>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</si>
  <si>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</si>
  <si>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</si>
  <si>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</si>
  <si>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</si>
  <si>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</si>
  <si>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</si>
  <si>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</si>
  <si>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</si>
  <si>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</si>
  <si>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</si>
  <si>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</si>
  <si>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</si>
  <si>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</si>
  <si>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</si>
  <si>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</si>
  <si>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</si>
  <si>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</si>
  <si>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</si>
  <si>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</si>
  <si>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</si>
  <si>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</si>
  <si>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</si>
  <si>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</si>
  <si>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</si>
  <si>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</si>
  <si>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</si>
  <si>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</si>
  <si>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</si>
  <si>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</si>
  <si>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</si>
  <si>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</si>
  <si>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</si>
  <si>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</si>
  <si>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</si>
  <si>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</si>
  <si>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</si>
  <si>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</si>
  <si>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</si>
  <si>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</si>
  <si>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</si>
  <si>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</si>
  <si>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</si>
  <si>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</si>
  <si>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</si>
  <si>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</si>
  <si>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</si>
  <si>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</si>
  <si>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</si>
  <si>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</si>
  <si>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</si>
  <si>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</si>
  <si>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</si>
  <si>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</si>
  <si>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</si>
  <si>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</si>
  <si>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</si>
  <si>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</si>
  <si>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</si>
  <si>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</si>
  <si>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</si>
  <si>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</si>
  <si>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</si>
  <si>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</si>
  <si>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</si>
  <si>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</si>
  <si>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</si>
  <si>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</si>
  <si>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</si>
  <si>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</si>
  <si>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</si>
  <si>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</si>
  <si>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</si>
  <si>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</si>
  <si>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</si>
  <si>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</si>
  <si>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</si>
  <si>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</si>
  <si>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</si>
  <si>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</si>
  <si>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</si>
  <si>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</si>
  <si>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</si>
  <si>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</si>
  <si>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</si>
  <si>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</si>
  <si>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</si>
  <si>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</si>
  <si>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</si>
  <si>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</si>
  <si>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</si>
  <si>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</si>
  <si>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</si>
  <si>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</si>
  <si>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</si>
  <si>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</si>
  <si>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</si>
  <si>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</si>
  <si>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</si>
  <si>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</si>
  <si>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</si>
  <si>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</si>
  <si>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</si>
  <si>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</si>
  <si>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</si>
  <si>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</si>
  <si>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</si>
  <si>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</si>
  <si>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</si>
  <si>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</si>
  <si>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</si>
  <si>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</si>
  <si>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</si>
  <si>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</si>
  <si>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</si>
  <si>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</si>
  <si>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</si>
  <si>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</si>
  <si>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</si>
  <si>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</si>
  <si>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</si>
  <si>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</si>
  <si>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</si>
  <si>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</si>
  <si>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</si>
  <si>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</si>
  <si>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</si>
  <si>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</si>
  <si>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</si>
  <si>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</si>
  <si>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</si>
  <si>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</si>
  <si>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</si>
  <si>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</si>
  <si>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</si>
  <si>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</si>
  <si>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</si>
  <si>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</si>
  <si>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</si>
  <si>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</si>
  <si>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</si>
  <si>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</si>
  <si>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</si>
  <si>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</si>
  <si>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</si>
  <si>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</si>
  <si>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</si>
  <si>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</si>
  <si>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</si>
  <si>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</si>
  <si>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</si>
  <si>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</si>
  <si>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</si>
  <si>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</si>
  <si>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</si>
  <si>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</si>
  <si>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</si>
  <si>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</si>
  <si>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</si>
  <si>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</si>
  <si>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</si>
  <si>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</si>
  <si>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</si>
  <si>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</si>
  <si>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</si>
  <si>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</si>
  <si>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</si>
  <si>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</si>
  <si>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</si>
  <si>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</si>
  <si>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</si>
  <si>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</si>
  <si>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</si>
  <si>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</si>
  <si>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</si>
  <si>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</si>
  <si>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</si>
  <si>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</si>
  <si>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</si>
  <si>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</si>
  <si>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</si>
  <si>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</si>
  <si>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</si>
  <si>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</si>
  <si>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</si>
  <si>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</si>
  <si>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</si>
  <si>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</si>
  <si>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</si>
  <si>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</si>
  <si>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</si>
  <si>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</si>
  <si>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</si>
  <si>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</si>
  <si>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</si>
  <si>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</si>
  <si>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</si>
  <si>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</si>
  <si>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</si>
  <si>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</si>
  <si>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</si>
  <si>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</si>
  <si>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</si>
  <si>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</si>
  <si>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</si>
  <si>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</si>
  <si>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</si>
  <si>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</si>
  <si>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</si>
  <si>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</si>
  <si>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</si>
  <si>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</si>
  <si>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</si>
  <si>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</si>
  <si>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</si>
  <si>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</si>
  <si>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</si>
  <si>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</si>
  <si>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</si>
  <si>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</si>
  <si>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</si>
  <si>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</si>
  <si>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</si>
  <si>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</si>
  <si>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</si>
  <si>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</si>
  <si>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</si>
  <si>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</si>
  <si>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</si>
  <si>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</si>
  <si>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</si>
  <si>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</si>
  <si>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</si>
  <si>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</si>
  <si>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</si>
  <si>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</si>
  <si>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</si>
  <si>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</si>
  <si>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</si>
  <si>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</si>
  <si>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</si>
  <si>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</si>
  <si>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</si>
  <si>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</si>
  <si>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</si>
  <si>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</si>
  <si>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</si>
  <si>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</si>
  <si>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</si>
  <si>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</si>
  <si>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</si>
  <si>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</si>
  <si>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</si>
  <si>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</si>
  <si>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</si>
  <si>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</si>
  <si>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</si>
  <si>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</si>
  <si>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</si>
  <si>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</si>
  <si>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</si>
  <si>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</si>
  <si>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</si>
  <si>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</si>
  <si>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</si>
  <si>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</si>
  <si>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</si>
  <si>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</si>
  <si>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</si>
  <si>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</si>
  <si>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</si>
  <si>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</si>
  <si>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</si>
  <si>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</si>
  <si>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</si>
  <si>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</si>
  <si>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</si>
  <si>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</si>
  <si>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</si>
  <si>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</si>
  <si>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</si>
  <si>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</si>
  <si>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</si>
  <si>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</si>
  <si>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</si>
  <si>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</si>
  <si>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</si>
  <si>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</si>
  <si>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</si>
  <si>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</si>
  <si>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</si>
  <si>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</si>
  <si>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</si>
  <si>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</si>
  <si>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</si>
  <si>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</si>
  <si>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</si>
  <si>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</si>
  <si>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</si>
  <si>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</si>
  <si>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</si>
  <si>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</si>
  <si>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</si>
  <si>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</si>
  <si>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</si>
  <si>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</si>
  <si>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</si>
  <si>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</si>
  <si>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</si>
  <si>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</si>
  <si>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</si>
  <si>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</si>
  <si>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</si>
  <si>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</si>
  <si>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</si>
  <si>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</si>
  <si>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</si>
  <si>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</si>
  <si>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</si>
  <si>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</si>
  <si>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</si>
  <si>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</si>
  <si>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</si>
  <si>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</si>
  <si>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</si>
  <si>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</si>
  <si>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</si>
  <si>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</si>
  <si>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</si>
  <si>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</si>
  <si>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</si>
  <si>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</si>
  <si>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</si>
  <si>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</si>
  <si>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</si>
  <si>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</si>
  <si>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</si>
  <si>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</si>
  <si>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</si>
  <si>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</si>
  <si>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</si>
  <si>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</si>
  <si>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</si>
  <si>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</si>
  <si>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</si>
  <si>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</si>
  <si>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</si>
  <si>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</si>
  <si>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</si>
  <si>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</si>
  <si>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</si>
  <si>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</si>
  <si>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</si>
  <si>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</si>
  <si>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</si>
  <si>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</si>
  <si>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</si>
  <si>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</si>
  <si>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</si>
  <si>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</si>
  <si>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</si>
  <si>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</si>
  <si>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</si>
  <si>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</si>
  <si>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</si>
  <si>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</si>
  <si>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</si>
  <si>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</si>
  <si>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</si>
  <si>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</si>
  <si>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</si>
  <si>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</si>
  <si>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</si>
  <si>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</si>
  <si>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</si>
  <si>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</si>
  <si>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</si>
  <si>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</si>
  <si>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</si>
  <si>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</si>
  <si>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</si>
  <si>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</si>
  <si>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</si>
  <si>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</si>
  <si>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</si>
  <si>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</si>
  <si>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</si>
  <si>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</si>
  <si>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</si>
  <si>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</si>
  <si>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</si>
  <si>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</si>
  <si>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</si>
  <si>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</si>
  <si>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</si>
  <si>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</si>
  <si>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</si>
  <si>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</si>
  <si>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</si>
  <si>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</si>
  <si>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</si>
  <si>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</si>
  <si>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</si>
  <si>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</si>
  <si>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</si>
  <si>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</si>
  <si>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</si>
  <si>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</si>
  <si>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</si>
  <si>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</si>
  <si>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</si>
  <si>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</si>
  <si>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</si>
  <si>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</si>
  <si>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</si>
  <si>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</si>
  <si>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</si>
  <si>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</si>
  <si>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</si>
  <si>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</si>
  <si>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</si>
  <si>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</si>
  <si>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</si>
  <si>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</si>
  <si>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</si>
  <si>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</si>
  <si>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</si>
  <si>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</si>
  <si>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</si>
  <si>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</si>
  <si>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</si>
  <si>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</si>
  <si>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</si>
  <si>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</si>
  <si>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</si>
  <si>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</si>
  <si>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</si>
  <si>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</si>
  <si>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</si>
  <si>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</si>
  <si>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</si>
  <si>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</si>
  <si>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</si>
  <si>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</si>
  <si>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</si>
  <si>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</si>
  <si>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</si>
  <si>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</si>
  <si>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</si>
  <si>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</si>
  <si>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</si>
  <si>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</si>
  <si>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</si>
  <si>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</si>
  <si>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</si>
  <si>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</si>
  <si>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</si>
  <si>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</si>
  <si>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</si>
  <si>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</si>
  <si>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</si>
  <si>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</si>
  <si>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</si>
  <si>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</si>
  <si>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</si>
  <si>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</si>
  <si>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</si>
  <si>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</si>
  <si>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</si>
  <si>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</si>
  <si>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</si>
  <si>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</si>
  <si>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</si>
  <si>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</si>
  <si>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</si>
  <si>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</si>
  <si>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</si>
  <si>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</si>
  <si>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</si>
  <si>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</si>
  <si>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</si>
  <si>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</si>
  <si>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</si>
  <si>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</si>
  <si>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</si>
  <si>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</si>
  <si>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</si>
  <si>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</si>
  <si>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</si>
  <si>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</si>
  <si>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</si>
  <si>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</si>
  <si>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</si>
  <si>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</si>
  <si>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</si>
  <si>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</si>
  <si>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</si>
  <si>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</si>
  <si>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</si>
  <si>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</si>
  <si>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</si>
  <si>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</si>
  <si>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</si>
  <si>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</si>
  <si>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</si>
  <si>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</si>
  <si>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</si>
  <si>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</si>
  <si>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</si>
  <si>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</si>
  <si>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</si>
  <si>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</si>
  <si>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</si>
  <si>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</si>
  <si>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</si>
  <si>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</si>
  <si>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</si>
  <si>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</si>
  <si>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</si>
  <si>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</si>
  <si>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</si>
  <si>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</si>
  <si>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</si>
  <si>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</si>
  <si>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</si>
  <si>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</si>
  <si>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</si>
  <si>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</si>
  <si>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</si>
  <si>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</si>
  <si>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</si>
  <si>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</si>
  <si>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</si>
  <si>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</si>
  <si>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</si>
  <si>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</si>
  <si>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</si>
  <si>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</si>
  <si>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</si>
  <si>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</si>
  <si>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</si>
  <si>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</si>
  <si>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</si>
  <si>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</si>
  <si>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</si>
  <si>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</si>
  <si>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</si>
  <si>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</si>
  <si>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</si>
  <si>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</si>
  <si>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</si>
  <si>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</si>
  <si>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</si>
  <si>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</si>
  <si>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</si>
  <si>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</si>
  <si>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</si>
  <si>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</si>
  <si>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</si>
  <si>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</si>
  <si>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</si>
  <si>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</si>
  <si>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</si>
  <si>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</si>
  <si>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</si>
  <si>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</si>
  <si>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</si>
  <si>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</si>
  <si>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</si>
  <si>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</si>
  <si>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</si>
  <si>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</si>
  <si>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</si>
  <si>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</si>
  <si>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</si>
  <si>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</si>
  <si>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</si>
  <si>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</si>
  <si>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</si>
  <si>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</si>
  <si>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</si>
  <si>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</si>
  <si>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</si>
  <si>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</si>
  <si>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</si>
  <si>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</si>
  <si>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</si>
  <si>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</si>
  <si>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</si>
  <si>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</si>
  <si>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</si>
  <si>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</si>
  <si>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</si>
  <si>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</si>
  <si>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</si>
  <si>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</si>
  <si>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</si>
  <si>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</si>
  <si>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</si>
  <si>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</si>
  <si>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</si>
  <si>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</si>
  <si>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</si>
  <si>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</si>
  <si>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</si>
  <si>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</si>
  <si>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</si>
  <si>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</si>
  <si>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</si>
  <si>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</si>
  <si>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</si>
  <si>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</si>
  <si>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</si>
  <si>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</si>
  <si>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</si>
  <si>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</si>
  <si>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</si>
  <si>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</si>
  <si>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</si>
  <si>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</si>
  <si>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</si>
  <si>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</si>
  <si>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</si>
  <si>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</si>
  <si>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</si>
  <si>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</si>
  <si>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</si>
  <si>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</si>
  <si>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</si>
  <si>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</si>
  <si>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</si>
  <si>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</si>
  <si>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</si>
  <si>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</si>
  <si>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</si>
  <si>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</si>
  <si>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</si>
  <si>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</si>
  <si>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</si>
  <si>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</si>
  <si>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</si>
  <si>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</si>
  <si>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</si>
  <si>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</si>
  <si>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</si>
  <si>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</si>
  <si>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</si>
  <si>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</si>
  <si>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</si>
  <si>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</si>
  <si>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</si>
  <si>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</si>
  <si>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</si>
  <si>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</si>
  <si>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</si>
  <si>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</si>
  <si>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</si>
  <si>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</si>
  <si>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</si>
  <si>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</si>
  <si>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</si>
  <si>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</si>
  <si>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</si>
  <si>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</si>
  <si>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</si>
  <si>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</si>
  <si>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</si>
  <si>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</si>
  <si>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</si>
  <si>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</si>
  <si>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</si>
  <si>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</si>
  <si>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</si>
  <si>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</si>
  <si>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</si>
  <si>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</si>
  <si>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</si>
  <si>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</si>
  <si>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</si>
  <si>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</si>
  <si>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</si>
  <si>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</si>
  <si>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</si>
  <si>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</si>
  <si>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</si>
  <si>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</si>
  <si>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</si>
  <si>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</si>
  <si>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</si>
  <si>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</si>
  <si>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</si>
  <si>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</si>
  <si>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</si>
  <si>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</si>
  <si>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</si>
  <si>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</si>
  <si>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</si>
  <si>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</si>
  <si>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</si>
  <si>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</si>
  <si>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</si>
  <si>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</si>
  <si>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</si>
  <si>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</si>
  <si>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</si>
  <si>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</si>
  <si>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</si>
  <si>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</si>
  <si>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</si>
  <si>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</si>
  <si>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</si>
  <si>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</si>
  <si>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</si>
  <si>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</si>
  <si>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</si>
  <si>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</si>
  <si>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</si>
  <si>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</si>
  <si>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</si>
  <si>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</si>
  <si>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</si>
  <si>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</si>
  <si>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</si>
  <si>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</si>
  <si>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</si>
  <si>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</si>
  <si>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</si>
  <si>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</si>
  <si>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</si>
  <si>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</si>
  <si>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</si>
  <si>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</si>
  <si>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</si>
  <si>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</si>
  <si>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</si>
  <si>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</si>
  <si>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</si>
  <si>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</si>
  <si>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</si>
  <si>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</si>
  <si>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</si>
  <si>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</si>
  <si>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</si>
  <si>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</si>
  <si>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</si>
  <si>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</si>
  <si>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</si>
  <si>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</si>
  <si>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</si>
  <si>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</si>
  <si>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</si>
  <si>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</si>
  <si>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</si>
  <si>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</si>
  <si>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</si>
  <si>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</si>
  <si>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</si>
  <si>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</si>
  <si>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</si>
  <si>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</si>
  <si>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</si>
  <si>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</si>
  <si>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</si>
  <si>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</si>
  <si>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</si>
  <si>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</si>
  <si>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</si>
  <si>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</si>
  <si>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</si>
  <si>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</si>
  <si>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</si>
  <si>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</si>
  <si>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</si>
  <si>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</si>
  <si>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</si>
  <si>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</si>
  <si>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</si>
  <si>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</si>
  <si>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</si>
  <si>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</si>
  <si>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</si>
  <si>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</si>
  <si>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</si>
  <si>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</si>
  <si>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</si>
  <si>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</si>
  <si>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</si>
  <si>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</si>
  <si>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</si>
  <si>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</si>
  <si>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</si>
  <si>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</si>
  <si>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</si>
  <si>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</si>
  <si>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</si>
  <si>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</si>
  <si>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</si>
  <si>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</si>
  <si>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</si>
  <si>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</si>
  <si>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</si>
  <si>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</si>
  <si>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</si>
  <si>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</si>
  <si>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</si>
  <si>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</si>
  <si>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</si>
  <si>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</si>
  <si>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</si>
  <si>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</si>
  <si>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</si>
  <si>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</si>
  <si>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</si>
  <si>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</si>
  <si>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</si>
  <si>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</si>
  <si>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</si>
  <si>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</si>
  <si>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</si>
  <si>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</si>
  <si>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</si>
  <si>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</si>
  <si>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</si>
  <si>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</si>
  <si>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</si>
  <si>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</si>
  <si>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</si>
  <si>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</si>
  <si>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</si>
  <si>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</si>
  <si>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</si>
  <si>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</si>
  <si>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</si>
  <si>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</si>
  <si>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</si>
  <si>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</si>
  <si>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</si>
  <si>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</si>
  <si>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</si>
  <si>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</si>
  <si>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</si>
  <si>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</si>
  <si>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</si>
  <si>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</si>
  <si>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</si>
  <si>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</si>
  <si>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</si>
  <si>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</si>
  <si>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</si>
  <si>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</si>
  <si>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</si>
  <si>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</si>
  <si>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</si>
  <si>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</si>
  <si>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</si>
  <si>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</si>
  <si>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</si>
  <si>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</si>
  <si>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</si>
  <si>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</si>
  <si>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</si>
  <si>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</si>
  <si>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</si>
  <si>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</si>
  <si>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</si>
  <si>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</si>
  <si>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</si>
  <si>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</si>
  <si>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</si>
  <si>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</si>
  <si>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</si>
  <si>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</si>
  <si>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</si>
  <si>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</si>
  <si>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</si>
  <si>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</si>
  <si>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</si>
  <si>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</si>
  <si>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</si>
  <si>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</si>
  <si>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</si>
  <si>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</si>
  <si>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</si>
  <si>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</si>
  <si>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</si>
  <si>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</si>
  <si>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</si>
  <si>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</si>
  <si>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</si>
  <si>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</si>
  <si>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</si>
  <si>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</si>
  <si>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</si>
  <si>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</si>
  <si>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</si>
  <si>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</si>
  <si>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</si>
  <si>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</si>
  <si>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</si>
  <si>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</si>
  <si>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</si>
  <si>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</si>
  <si>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</si>
  <si>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</si>
  <si>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</si>
  <si>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</si>
  <si>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</si>
  <si>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</si>
  <si>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</si>
  <si>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</si>
  <si>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</si>
  <si>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</si>
  <si>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</si>
  <si>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</si>
  <si>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</si>
  <si>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</si>
  <si>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</si>
  <si>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</si>
  <si>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</si>
  <si>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</si>
  <si>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</si>
  <si>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</si>
  <si>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</si>
  <si>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</si>
  <si>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</si>
  <si>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</si>
  <si>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</si>
  <si>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</si>
  <si>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</si>
  <si>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</si>
  <si>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</si>
  <si>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</si>
  <si>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</si>
  <si>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</si>
  <si>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</si>
  <si>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</si>
  <si>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</si>
  <si>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</si>
  <si>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</si>
  <si>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</si>
  <si>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</si>
  <si>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</si>
  <si>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</si>
  <si>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</si>
  <si>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</si>
  <si>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</si>
  <si>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</si>
  <si>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</si>
  <si>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</si>
  <si>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</si>
  <si>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</si>
  <si>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</si>
  <si>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</si>
  <si>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</si>
  <si>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</si>
  <si>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</si>
  <si>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</si>
  <si>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</si>
  <si>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</si>
  <si>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</si>
  <si>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</si>
  <si>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</si>
  <si>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</si>
  <si>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</si>
  <si>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</si>
  <si>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</si>
  <si>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</si>
  <si>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</si>
  <si>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</si>
  <si>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</si>
  <si>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</si>
  <si>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</si>
  <si>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</si>
  <si>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</si>
  <si>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</si>
  <si>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</si>
  <si>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</si>
  <si>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</si>
  <si>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</si>
  <si>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</si>
  <si>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</si>
  <si>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</si>
  <si>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</si>
  <si>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</si>
  <si>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</si>
  <si>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</si>
  <si>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</si>
  <si>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</si>
  <si>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</si>
  <si>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</si>
  <si>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</si>
  <si>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</si>
  <si>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</si>
  <si>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</si>
  <si>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</si>
  <si>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</si>
  <si>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</si>
  <si>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</si>
  <si>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</si>
  <si>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</si>
  <si>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</si>
  <si>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</si>
  <si>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</si>
  <si>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</si>
  <si>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</si>
  <si>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</si>
  <si>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</si>
  <si>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</si>
  <si>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</si>
  <si>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</si>
  <si>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</si>
  <si>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</si>
  <si>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</si>
  <si>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</si>
  <si>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</si>
  <si>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</si>
  <si>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</si>
  <si>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</si>
  <si>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</si>
  <si>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</si>
  <si>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</si>
  <si>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</si>
  <si>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</si>
  <si>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</si>
  <si>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</si>
  <si>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</si>
  <si>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</si>
  <si>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</si>
  <si>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</si>
  <si>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</si>
  <si>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</si>
  <si>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</si>
  <si>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</si>
  <si>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</si>
  <si>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</si>
  <si>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</si>
  <si>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</si>
  <si>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</si>
  <si>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</si>
  <si>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</si>
  <si>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</si>
  <si>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</si>
  <si>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</si>
  <si>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</si>
  <si>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</si>
  <si>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</si>
  <si>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</si>
  <si>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</si>
  <si>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</si>
  <si>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</si>
  <si>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</si>
  <si>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</si>
  <si>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</si>
  <si>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</si>
  <si>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</si>
  <si>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</si>
  <si>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</si>
  <si>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</si>
  <si>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</si>
  <si>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</si>
  <si>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</si>
  <si>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</si>
  <si>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</si>
  <si>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</si>
  <si>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</si>
  <si>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</si>
  <si>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</si>
  <si>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</si>
  <si>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</si>
  <si>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</si>
  <si>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</si>
  <si>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</si>
  <si>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</si>
  <si>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</si>
  <si>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</si>
  <si>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</si>
  <si>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</si>
  <si>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</si>
  <si>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</si>
  <si>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</si>
  <si>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</si>
  <si>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</si>
  <si>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</si>
  <si>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</si>
  <si>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</si>
  <si>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</si>
  <si>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</si>
  <si>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</si>
  <si>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</si>
  <si>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</si>
  <si>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</si>
  <si>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</si>
  <si>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</si>
  <si>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</si>
  <si>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</si>
  <si>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</si>
  <si>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</si>
  <si>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</si>
  <si>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</si>
  <si>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</si>
  <si>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</si>
  <si>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</si>
  <si>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</si>
  <si>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</si>
  <si>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</si>
  <si>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</si>
  <si>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</si>
  <si>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</si>
  <si>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</si>
  <si>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</si>
  <si>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</si>
  <si>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</si>
  <si>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</si>
  <si>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</si>
  <si>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</si>
  <si>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</si>
  <si>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</si>
  <si>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</si>
  <si>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</si>
  <si>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</si>
  <si>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</si>
  <si>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</si>
  <si>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</si>
  <si>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</si>
  <si>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</si>
  <si>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</si>
  <si>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</si>
  <si>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</si>
  <si>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</si>
  <si>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</si>
  <si>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</si>
  <si>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</si>
  <si>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</si>
  <si>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</si>
  <si>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</si>
  <si>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</si>
  <si>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</si>
  <si>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</si>
  <si>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</si>
  <si>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</si>
  <si>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</si>
  <si>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</si>
  <si>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</si>
  <si>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</si>
  <si>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</si>
  <si>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</si>
  <si>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</si>
  <si>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</si>
  <si>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</si>
  <si>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</si>
  <si>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</si>
  <si>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</si>
  <si>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</si>
  <si>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</si>
  <si>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</si>
  <si>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</si>
  <si>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</si>
  <si>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</si>
  <si>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</si>
  <si>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</si>
  <si>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</si>
  <si>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</si>
  <si>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</si>
  <si>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</si>
  <si>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</si>
  <si>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</si>
  <si>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</si>
  <si>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</si>
  <si>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</si>
  <si>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</si>
  <si>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</si>
  <si>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</si>
  <si>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</si>
  <si>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</si>
  <si>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</si>
  <si>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</si>
  <si>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</si>
  <si>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</si>
  <si>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</si>
  <si>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</si>
  <si>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</si>
  <si>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</si>
  <si>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</si>
  <si>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</si>
  <si>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</si>
  <si>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</si>
  <si>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</si>
  <si>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</si>
  <si>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</si>
  <si>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</si>
  <si>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</si>
  <si>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</si>
  <si>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</si>
  <si>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</si>
  <si>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</si>
  <si>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</si>
  <si>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</si>
  <si>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</si>
  <si>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</si>
  <si>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</si>
  <si>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</si>
  <si>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</si>
  <si>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</si>
  <si>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</si>
  <si>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</si>
  <si>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</si>
  <si>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</si>
  <si>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</si>
  <si>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</si>
  <si>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</si>
  <si>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</si>
  <si>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</si>
  <si>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</si>
  <si>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</si>
  <si>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</si>
  <si>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</si>
  <si>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</si>
  <si>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</si>
  <si>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</si>
  <si>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</si>
  <si>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</si>
  <si>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</si>
  <si>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</si>
  <si>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</si>
  <si>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</si>
  <si>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</si>
  <si>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</si>
  <si>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</si>
  <si>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</si>
  <si>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</si>
  <si>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</si>
  <si>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</si>
  <si>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</si>
  <si>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</si>
  <si>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</si>
  <si>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</si>
  <si>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</si>
  <si>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</si>
  <si>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</si>
  <si>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</si>
  <si>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</si>
  <si>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</si>
  <si>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</si>
  <si>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</si>
  <si>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</si>
  <si>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</si>
  <si>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</si>
  <si>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</si>
  <si>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</si>
  <si>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</si>
  <si>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</si>
  <si>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</si>
  <si>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</si>
  <si>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</si>
  <si>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</si>
  <si>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</si>
  <si>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</si>
  <si>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</si>
  <si>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</si>
  <si>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</si>
  <si>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</si>
  <si>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</si>
  <si>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</si>
  <si>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</si>
  <si>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</si>
  <si>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</si>
  <si>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</si>
  <si>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</si>
  <si>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</si>
  <si>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</si>
  <si>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</si>
  <si>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</si>
  <si>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</si>
  <si>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</si>
  <si>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</si>
  <si>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</si>
  <si>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</si>
  <si>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</si>
  <si>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</si>
  <si>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</si>
  <si>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</si>
  <si>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</si>
  <si>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</si>
  <si>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</si>
  <si>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</si>
  <si>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</si>
  <si>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</si>
  <si>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</si>
  <si>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</si>
  <si>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</si>
  <si>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</si>
  <si>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</si>
  <si>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</si>
  <si>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</si>
  <si>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</si>
  <si>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</si>
  <si>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</si>
  <si>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</si>
  <si>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</si>
  <si>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</si>
  <si>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</si>
  <si>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</si>
  <si>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</si>
  <si>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</si>
  <si>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</si>
  <si>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</si>
  <si>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</si>
  <si>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</si>
  <si>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</si>
  <si>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</si>
  <si>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</si>
  <si>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</si>
  <si>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</si>
  <si>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</si>
  <si>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</si>
  <si>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</si>
  <si>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</si>
  <si>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</si>
  <si>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</si>
  <si>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</si>
  <si>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</si>
  <si>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</si>
  <si>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</si>
  <si>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</si>
  <si>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</si>
  <si>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</si>
  <si>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</si>
  <si>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</si>
  <si>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</si>
  <si>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</si>
  <si>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</si>
  <si>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</si>
  <si>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</si>
  <si>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</si>
  <si>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</si>
  <si>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</si>
  <si>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</si>
  <si>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</si>
  <si>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</si>
  <si>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</si>
  <si>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</si>
  <si>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</si>
  <si>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</si>
  <si>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</si>
  <si>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</si>
  <si>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</si>
  <si>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</si>
  <si>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</si>
  <si>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</si>
  <si>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</si>
  <si>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</si>
  <si>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</si>
  <si>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</si>
  <si>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</si>
  <si>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</si>
  <si>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</si>
  <si>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</si>
  <si>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</si>
  <si>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</si>
  <si>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</si>
  <si>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</si>
  <si>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</si>
  <si>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</si>
  <si>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</si>
  <si>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</si>
  <si>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</si>
  <si>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</si>
  <si>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</si>
  <si>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</si>
  <si>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</si>
  <si>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</si>
  <si>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</si>
  <si>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</si>
  <si>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</si>
  <si>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</si>
  <si>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</si>
  <si>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</si>
  <si>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</si>
  <si>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</si>
  <si>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</si>
  <si>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</si>
  <si>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</si>
  <si>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</si>
  <si>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</si>
  <si>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</si>
  <si>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</si>
  <si>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</si>
  <si>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</si>
  <si>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</si>
  <si>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</si>
  <si>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</si>
  <si>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</si>
  <si>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</si>
  <si>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</si>
  <si>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</si>
  <si>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</si>
  <si>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</si>
  <si>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</si>
  <si>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</si>
  <si>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</si>
  <si>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</si>
  <si>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</si>
  <si>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</si>
  <si>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</si>
  <si>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</si>
  <si>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</si>
  <si>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</si>
  <si>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</si>
  <si>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</si>
  <si>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</si>
  <si>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</si>
  <si>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</si>
  <si>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</si>
  <si>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</si>
  <si>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</si>
  <si>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</si>
  <si>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</si>
  <si>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</si>
  <si>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</si>
  <si>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</si>
  <si>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</si>
  <si>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</si>
  <si>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</si>
  <si>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</si>
  <si>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</si>
  <si>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</si>
  <si>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</si>
  <si>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</si>
  <si>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</si>
  <si>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</si>
  <si>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</si>
  <si>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</si>
  <si>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</si>
  <si>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</si>
  <si>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</si>
  <si>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</si>
  <si>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</si>
  <si>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</si>
  <si>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</si>
  <si>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</si>
  <si>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</si>
  <si>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</si>
  <si>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</si>
  <si>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</si>
  <si>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</si>
  <si>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</si>
  <si>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</si>
  <si>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</si>
  <si>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</si>
  <si>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</si>
  <si>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</si>
  <si>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</si>
  <si>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</si>
  <si>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</si>
  <si>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</si>
  <si>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</si>
  <si>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</si>
  <si>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</si>
  <si>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</si>
  <si>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</si>
  <si>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</si>
  <si>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</si>
  <si>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</si>
  <si>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</si>
  <si>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</si>
  <si>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</si>
  <si>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</si>
  <si>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</si>
  <si>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</si>
  <si>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</si>
  <si>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</si>
  <si>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</si>
  <si>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</si>
  <si>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</si>
  <si>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</si>
  <si>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</si>
  <si>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</si>
  <si>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</si>
  <si>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</si>
  <si>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</si>
  <si>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</si>
  <si>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</si>
  <si>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</si>
  <si>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</si>
  <si>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</si>
  <si>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</si>
  <si>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</si>
  <si>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</si>
  <si>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</si>
  <si>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</si>
  <si>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</si>
  <si>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</si>
  <si>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</si>
  <si>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</si>
  <si>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</si>
  <si>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</si>
  <si>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</si>
  <si>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</si>
  <si>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</si>
  <si>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</si>
  <si>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</si>
  <si>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</si>
  <si>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</si>
  <si>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</si>
  <si>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</si>
  <si>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</si>
  <si>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</si>
  <si>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</si>
  <si>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</si>
  <si>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</si>
  <si>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</si>
  <si>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</si>
  <si>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</si>
  <si>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</si>
  <si>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</si>
  <si>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</si>
  <si>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</si>
  <si>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</si>
  <si>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</si>
  <si>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</si>
  <si>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</si>
  <si>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</si>
  <si>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</si>
  <si>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</si>
  <si>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</si>
  <si>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</si>
  <si>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</si>
  <si>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</si>
  <si>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</si>
  <si>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</si>
  <si>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</si>
  <si>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</si>
  <si>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</si>
  <si>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</si>
  <si>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</si>
  <si>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</si>
  <si>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</si>
  <si>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</si>
  <si>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</si>
  <si>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</si>
  <si>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</si>
  <si>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</si>
  <si>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</si>
  <si>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</si>
  <si>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</si>
  <si>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</si>
  <si>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</si>
  <si>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</si>
  <si>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</si>
  <si>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</si>
  <si>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</si>
  <si>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</si>
  <si>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</si>
  <si>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</si>
  <si>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</si>
  <si>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</si>
  <si>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</si>
  <si>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</si>
  <si>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</si>
  <si>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</si>
  <si>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</si>
  <si>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</si>
  <si>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</si>
  <si>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</si>
  <si>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</si>
  <si>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</si>
  <si>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</si>
  <si>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</si>
  <si>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</si>
  <si>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</si>
  <si>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</si>
  <si>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</si>
  <si>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</si>
  <si>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</si>
  <si>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</si>
  <si>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</si>
  <si>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</si>
  <si>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</si>
  <si>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</si>
  <si>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</si>
  <si>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</si>
  <si>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</si>
  <si>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</si>
  <si>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</si>
  <si>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</si>
  <si>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</si>
  <si>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</si>
  <si>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</si>
  <si>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</si>
  <si>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</si>
  <si>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</si>
  <si>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</si>
  <si>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</si>
  <si>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</si>
  <si>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</si>
  <si>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</si>
  <si>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</si>
  <si>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</si>
  <si>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</si>
  <si>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</si>
  <si>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</si>
  <si>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</si>
  <si>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</si>
  <si>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</si>
  <si>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</si>
  <si>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</si>
  <si>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</si>
  <si>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</si>
  <si>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</si>
  <si>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</si>
  <si>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</si>
  <si>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</si>
  <si>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</si>
  <si>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</si>
  <si>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</si>
  <si>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</si>
  <si>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</si>
  <si>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</si>
  <si>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</si>
  <si>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</si>
  <si>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</si>
  <si>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</si>
  <si>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</si>
  <si>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</si>
  <si>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</si>
  <si>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</si>
  <si>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</si>
  <si>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</si>
  <si>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</si>
  <si>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</si>
  <si>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</si>
  <si>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</si>
  <si>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</si>
  <si>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</si>
  <si>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</si>
  <si>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</si>
  <si>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</si>
  <si>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</si>
  <si>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</si>
  <si>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</si>
  <si>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</si>
  <si>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</si>
  <si>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</si>
  <si>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</si>
  <si>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</si>
  <si>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</si>
  <si>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</si>
  <si>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</si>
  <si>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</si>
  <si>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</si>
  <si>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</si>
  <si>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</si>
  <si>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</si>
  <si>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</si>
  <si>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</si>
  <si>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</si>
  <si>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</si>
  <si>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</si>
  <si>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</si>
  <si>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</si>
  <si>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</si>
  <si>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</si>
  <si>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</si>
  <si>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</si>
  <si>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</si>
  <si>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</si>
  <si>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</si>
  <si>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</si>
  <si>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</si>
  <si>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</si>
  <si>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</si>
  <si>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</si>
  <si>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</si>
  <si>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</si>
  <si>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</si>
  <si>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</si>
  <si>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</si>
  <si>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</si>
  <si>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</si>
  <si>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</si>
  <si>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</si>
  <si>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</si>
  <si>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</si>
  <si>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</si>
  <si>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</si>
  <si>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</si>
  <si>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</si>
  <si>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</si>
  <si>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</si>
  <si>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</si>
  <si>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</si>
  <si>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</si>
  <si>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</si>
  <si>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</si>
  <si>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</si>
  <si>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</si>
  <si>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</si>
  <si>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</si>
  <si>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</si>
  <si>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</si>
  <si>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</si>
  <si>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</si>
  <si>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</si>
  <si>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</si>
  <si>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</si>
  <si>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</si>
  <si>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</si>
  <si>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</si>
  <si>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</si>
  <si>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</si>
  <si>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</si>
  <si>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</si>
  <si>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</si>
  <si>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</si>
  <si>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</si>
  <si>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</si>
  <si>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</si>
  <si>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</si>
  <si>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</si>
  <si>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</si>
  <si>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</si>
  <si>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</si>
  <si>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</si>
  <si>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</si>
  <si>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</si>
  <si>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</si>
  <si>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</si>
  <si>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</si>
  <si>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</si>
  <si>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</si>
  <si>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</si>
  <si>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</si>
  <si>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</si>
  <si>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</si>
  <si>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</si>
  <si>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</si>
  <si>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</si>
  <si>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</si>
  <si>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</si>
  <si>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</si>
  <si>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</si>
  <si>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</si>
  <si>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</si>
  <si>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</si>
  <si>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</si>
  <si>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</si>
  <si>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</si>
  <si>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</si>
  <si>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</si>
  <si>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</si>
  <si>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</si>
  <si>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</si>
  <si>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</si>
  <si>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</si>
  <si>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</si>
  <si>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</si>
  <si>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</si>
  <si>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</si>
  <si>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</si>
  <si>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</si>
  <si>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</si>
  <si>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</si>
  <si>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</si>
  <si>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</si>
  <si>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</si>
  <si>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</si>
  <si>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</si>
  <si>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</si>
  <si>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</si>
  <si>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</si>
  <si>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</si>
  <si>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</si>
  <si>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</si>
  <si>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</si>
  <si>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</si>
  <si>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</si>
  <si>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</si>
  <si>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</si>
  <si>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</si>
  <si>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</si>
  <si>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</si>
  <si>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</si>
  <si>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</si>
  <si>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</si>
  <si>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</si>
  <si>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</si>
  <si>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</si>
  <si>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</si>
  <si>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</si>
  <si>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</si>
  <si>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</si>
  <si>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</si>
  <si>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</si>
  <si>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</si>
  <si>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</si>
  <si>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</si>
  <si>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</si>
  <si>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</si>
  <si>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</si>
  <si>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</si>
  <si>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</si>
  <si>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</si>
  <si>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</si>
  <si>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</si>
  <si>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</si>
  <si>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</si>
  <si>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</si>
  <si>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</si>
  <si>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</si>
  <si>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</si>
  <si>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</si>
  <si>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</si>
  <si>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</si>
  <si>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</si>
  <si>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</si>
  <si>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</si>
  <si>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</si>
  <si>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</si>
  <si>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</si>
  <si>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</si>
  <si>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</si>
  <si>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</si>
  <si>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</si>
  <si>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</si>
  <si>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</si>
  <si>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</si>
  <si>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</si>
  <si>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</si>
  <si>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</si>
  <si>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</si>
  <si>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</si>
  <si>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</si>
  <si>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</si>
  <si>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</si>
  <si>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</si>
  <si>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</si>
  <si>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</si>
  <si>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</si>
  <si>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</si>
  <si>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</si>
  <si>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</si>
  <si>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</si>
  <si>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</si>
  <si>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</si>
  <si>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</si>
  <si>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</si>
  <si>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</si>
  <si>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</si>
  <si>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</si>
  <si>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</si>
  <si>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</si>
  <si>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</si>
  <si>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</si>
  <si>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</si>
  <si>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</si>
  <si>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</si>
  <si>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</si>
  <si>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</si>
  <si>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</si>
  <si>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</si>
  <si>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</si>
  <si>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</si>
  <si>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</si>
  <si>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</si>
  <si>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</si>
  <si>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</si>
  <si>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</si>
  <si>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</si>
  <si>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</si>
  <si>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</si>
  <si>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</si>
  <si>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</si>
  <si>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</si>
  <si>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</si>
  <si>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</si>
  <si>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</si>
  <si>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</si>
  <si>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</si>
  <si>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</si>
  <si>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</si>
  <si>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</si>
  <si>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</si>
  <si>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</si>
  <si>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</si>
  <si>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</si>
  <si>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</si>
  <si>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</si>
  <si>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</si>
  <si>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</si>
  <si>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</si>
  <si>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</si>
  <si>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</si>
  <si>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</si>
  <si>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</si>
  <si>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</si>
  <si>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</si>
  <si>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</si>
  <si>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</si>
  <si>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</si>
  <si>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</si>
  <si>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</si>
  <si>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</si>
  <si>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</si>
  <si>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</si>
  <si>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</si>
  <si>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</si>
  <si>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</si>
  <si>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</si>
  <si>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</si>
  <si>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</si>
  <si>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</si>
  <si>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</si>
  <si>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</si>
  <si>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</si>
  <si>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</si>
  <si>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</si>
  <si>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</si>
  <si>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</si>
  <si>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</si>
  <si>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</si>
  <si>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</si>
  <si>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</si>
  <si>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</si>
  <si>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</si>
  <si>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</si>
  <si>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</si>
  <si>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</si>
  <si>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</si>
  <si>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</si>
  <si>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</si>
  <si>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</si>
  <si>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</si>
  <si>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</si>
  <si>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</si>
  <si>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</si>
  <si>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</si>
  <si>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</si>
  <si>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</si>
  <si>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</si>
  <si>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</si>
  <si>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</si>
  <si>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</si>
  <si>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</si>
  <si>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</si>
  <si>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</si>
  <si>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</si>
  <si>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</si>
  <si>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</si>
  <si>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</si>
  <si>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</si>
  <si>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</si>
  <si>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</si>
  <si>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</si>
  <si>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</si>
  <si>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</si>
  <si>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</si>
  <si>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</si>
  <si>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</si>
  <si>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</si>
  <si>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</si>
  <si>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</si>
  <si>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</si>
  <si>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</si>
  <si>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</si>
  <si>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</si>
  <si>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</si>
  <si>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</si>
  <si>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</si>
  <si>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</si>
  <si>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</si>
  <si>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</si>
  <si>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</si>
  <si>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</si>
  <si>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</si>
  <si>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</si>
  <si>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</si>
  <si>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</si>
  <si>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</si>
  <si>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</si>
  <si>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</si>
  <si>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</si>
  <si>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</si>
  <si>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</si>
  <si>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</si>
  <si>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</si>
  <si>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</si>
  <si>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</si>
  <si>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</si>
  <si>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</si>
  <si>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</si>
  <si>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</si>
  <si>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</si>
  <si>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</si>
  <si>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</si>
  <si>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</si>
  <si>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</si>
  <si>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</si>
  <si>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</si>
  <si>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</si>
  <si>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</si>
  <si>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</si>
  <si>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</si>
  <si>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</si>
  <si>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</si>
  <si>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</si>
  <si>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</si>
  <si>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</si>
  <si>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</si>
  <si>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</si>
  <si>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</si>
  <si>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</si>
  <si>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</si>
  <si>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</si>
  <si>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</si>
  <si>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</si>
  <si>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</si>
  <si>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</si>
  <si>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</si>
  <si>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</si>
  <si>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</si>
  <si>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</si>
  <si>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</si>
  <si>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</si>
  <si>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</si>
  <si>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</si>
  <si>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</si>
  <si>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</si>
  <si>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</si>
  <si>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</si>
  <si>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</si>
  <si>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</si>
  <si>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</si>
  <si>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</si>
  <si>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</si>
  <si>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</si>
  <si>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</si>
  <si>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</si>
  <si>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</si>
  <si>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</si>
  <si>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</si>
  <si>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</si>
  <si>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</si>
  <si>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</si>
  <si>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</si>
  <si>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</si>
  <si>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</si>
  <si>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</si>
  <si>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</si>
  <si>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</si>
  <si>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</si>
  <si>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</si>
  <si>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</si>
  <si>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</si>
  <si>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</si>
  <si>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</si>
  <si>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</si>
  <si>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</si>
  <si>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</si>
  <si>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</si>
  <si>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</si>
  <si>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</si>
  <si>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</si>
  <si>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</si>
  <si>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</si>
  <si>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</si>
  <si>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</si>
  <si>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</si>
  <si>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</si>
  <si>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</si>
  <si>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</si>
  <si>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</si>
  <si>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</si>
  <si>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</si>
  <si>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</si>
  <si>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</si>
  <si>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</si>
  <si>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</si>
  <si>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</si>
  <si>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</si>
  <si>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</si>
  <si>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</si>
  <si>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</si>
  <si>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</si>
  <si>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</si>
  <si>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</si>
  <si>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</si>
  <si>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</si>
  <si>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</si>
  <si>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</si>
  <si>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</si>
  <si>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</si>
  <si>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</si>
  <si>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</si>
  <si>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</si>
  <si>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</si>
  <si>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</si>
  <si>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</si>
  <si>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</si>
  <si>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</si>
  <si>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</si>
  <si>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</si>
  <si>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</si>
  <si>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</si>
  <si>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</si>
  <si>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</si>
  <si>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</si>
  <si>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</si>
  <si>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</si>
  <si>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</si>
  <si>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</si>
  <si>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</si>
  <si>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</si>
  <si>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</si>
  <si>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</si>
  <si>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</si>
  <si>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</si>
  <si>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</si>
  <si>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</si>
  <si>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</si>
  <si>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</si>
  <si>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</si>
  <si>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</si>
  <si>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</si>
  <si>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</si>
  <si>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</si>
  <si>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</si>
  <si>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</si>
  <si>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</si>
  <si>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</si>
  <si>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</si>
  <si>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</si>
  <si>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</si>
  <si>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</si>
  <si>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</si>
  <si>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</si>
  <si>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</si>
  <si>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</si>
  <si>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</si>
  <si>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</si>
  <si>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</si>
  <si>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</si>
  <si>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</si>
  <si>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</si>
  <si>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</si>
  <si>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</si>
  <si>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</si>
  <si>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</si>
  <si>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</si>
  <si>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</si>
  <si>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</si>
  <si>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</si>
  <si>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</si>
  <si>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</si>
  <si>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</si>
  <si>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</si>
  <si>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</si>
  <si>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</si>
  <si>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</si>
  <si>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</si>
  <si>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</si>
  <si>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</si>
  <si>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</si>
  <si>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</si>
  <si>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</si>
  <si>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</si>
  <si>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</si>
  <si>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</si>
  <si>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</si>
  <si>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</si>
  <si>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</si>
  <si>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</si>
  <si>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</si>
  <si>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</si>
  <si>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</si>
  <si>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</si>
  <si>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</si>
  <si>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</si>
  <si>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</si>
  <si>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</si>
  <si>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</si>
  <si>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</si>
  <si>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</si>
  <si>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</si>
  <si>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</si>
  <si>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</si>
  <si>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</si>
  <si>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</si>
  <si>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</si>
  <si>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</si>
  <si>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</si>
  <si>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</si>
  <si>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</si>
  <si>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</si>
  <si>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</si>
  <si>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</si>
  <si>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</si>
  <si>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</si>
  <si>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</si>
  <si>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</si>
  <si>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</si>
  <si>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</si>
  <si>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</si>
  <si>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</si>
  <si>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</si>
  <si>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</si>
  <si>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</si>
  <si>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</si>
  <si>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</si>
  <si>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</si>
  <si>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</si>
  <si>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</si>
  <si>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</si>
  <si>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</si>
  <si>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</si>
  <si>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</si>
  <si>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</si>
  <si>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</si>
  <si>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</si>
  <si>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</si>
  <si>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</si>
  <si>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</si>
  <si>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</si>
  <si>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</si>
  <si>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</si>
  <si>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</si>
  <si>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</si>
  <si>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</si>
  <si>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</si>
  <si>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</si>
  <si>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</si>
  <si>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</si>
  <si>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</si>
  <si>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</si>
  <si>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</si>
  <si>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</si>
  <si>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</si>
  <si>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</si>
  <si>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</si>
  <si>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</si>
  <si>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</si>
  <si>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</si>
  <si>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</si>
  <si>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</si>
  <si>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</si>
  <si>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</si>
  <si>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</si>
  <si>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</si>
  <si>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</si>
  <si>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</si>
  <si>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</si>
  <si>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</si>
  <si>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</si>
  <si>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</si>
  <si>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</si>
  <si>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</si>
  <si>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</si>
  <si>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</si>
  <si>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</si>
  <si>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</si>
  <si>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</si>
  <si>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</si>
  <si>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</si>
  <si>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</si>
  <si>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</si>
  <si>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</si>
  <si>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</si>
  <si>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</si>
  <si>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</si>
  <si>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</si>
  <si>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</si>
  <si>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</si>
  <si>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</si>
  <si>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</si>
  <si>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</si>
  <si>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</si>
  <si>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</si>
  <si>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</si>
  <si>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</si>
  <si>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</si>
  <si>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</si>
  <si>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</si>
  <si>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</si>
  <si>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</si>
  <si>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</si>
  <si>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</si>
  <si>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</si>
  <si>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</si>
  <si>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</si>
  <si>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</si>
  <si>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</si>
  <si>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</si>
  <si>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</si>
  <si>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</si>
  <si>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</si>
  <si>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</si>
  <si>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</si>
  <si>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</si>
  <si>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</si>
  <si>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</si>
  <si>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</si>
  <si>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</si>
  <si>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</si>
  <si>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</si>
  <si>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</si>
  <si>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</si>
  <si>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</si>
  <si>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</si>
  <si>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</si>
  <si>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</si>
  <si>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</si>
  <si>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</si>
  <si>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</si>
  <si>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</si>
  <si>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</si>
  <si>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</si>
  <si>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</si>
  <si>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</si>
  <si>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</si>
  <si>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</si>
  <si>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</si>
  <si>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</si>
  <si>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</si>
  <si>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</si>
  <si>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</si>
  <si>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</si>
  <si>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</si>
  <si>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</si>
  <si>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</si>
  <si>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</si>
  <si>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</si>
  <si>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</si>
  <si>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</si>
  <si>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</si>
  <si>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</si>
  <si>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</si>
  <si>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</si>
  <si>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</si>
  <si>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</si>
  <si>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</si>
  <si>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</si>
  <si>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</si>
  <si>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</si>
  <si>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</si>
  <si>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</si>
  <si>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</si>
  <si>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</si>
  <si>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</si>
  <si>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</si>
  <si>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</si>
  <si>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</si>
  <si>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</si>
  <si>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</si>
  <si>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</si>
  <si>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</si>
  <si>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</si>
  <si>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</si>
  <si>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</si>
  <si>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</si>
  <si>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</si>
  <si>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</si>
  <si>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</si>
  <si>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</si>
  <si>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</si>
  <si>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</si>
  <si>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</si>
  <si>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</si>
  <si>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</si>
  <si>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</si>
  <si>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</si>
  <si>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</si>
  <si>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</si>
  <si>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</si>
  <si>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</si>
  <si>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</si>
  <si>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</si>
  <si>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</si>
  <si>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</si>
  <si>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</si>
  <si>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</si>
  <si>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</si>
  <si>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</si>
  <si>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</si>
  <si>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</si>
  <si>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</si>
  <si>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</si>
  <si>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</si>
  <si>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</si>
  <si>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</si>
  <si>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</si>
  <si>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</si>
  <si>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</si>
  <si>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</si>
  <si>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</si>
  <si>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</si>
  <si>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2022-4</t>
    <phoneticPr fontId="3" type="noConversion"/>
  </si>
  <si>
    <t>2023-1</t>
    <phoneticPr fontId="3" type="noConversion"/>
  </si>
  <si>
    <t>2023-2</t>
    <phoneticPr fontId="3" type="noConversion"/>
  </si>
  <si>
    <t>公示增长率-国家级样点（中心城区）</t>
    <phoneticPr fontId="140" type="noConversion"/>
  </si>
  <si>
    <t>公示增长率-市级样点（非中心城区）</t>
    <phoneticPr fontId="140"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</si>
  <si>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</si>
  <si>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</si>
  <si>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</si>
  <si>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</si>
  <si>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</si>
  <si>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</si>
  <si>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</si>
  <si>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</si>
  <si>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</si>
  <si>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</si>
  <si>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t>54号楼</t>
    </r>
    <r>
      <rPr>
        <sz val="11"/>
        <color theme="1"/>
        <rFont val="宋体"/>
        <family val="3"/>
        <charset val="134"/>
        <scheme val="minor"/>
      </rPr>
      <t/>
    </r>
  </si>
  <si>
    <r>
      <t>55号楼</t>
    </r>
    <r>
      <rPr>
        <sz val="11"/>
        <color theme="1"/>
        <rFont val="宋体"/>
        <family val="3"/>
        <charset val="134"/>
        <scheme val="minor"/>
      </rPr>
      <t/>
    </r>
  </si>
  <si>
    <r>
      <t>56号楼</t>
    </r>
    <r>
      <rPr>
        <sz val="11"/>
        <color theme="1"/>
        <rFont val="宋体"/>
        <family val="3"/>
        <charset val="134"/>
        <scheme val="minor"/>
      </rPr>
      <t/>
    </r>
  </si>
  <si>
    <r>
      <t>57号楼</t>
    </r>
    <r>
      <rPr>
        <sz val="11"/>
        <color theme="1"/>
        <rFont val="宋体"/>
        <family val="3"/>
        <charset val="134"/>
        <scheme val="minor"/>
      </rPr>
      <t/>
    </r>
  </si>
  <si>
    <r>
      <t>58号楼</t>
    </r>
    <r>
      <rPr>
        <sz val="11"/>
        <color theme="1"/>
        <rFont val="宋体"/>
        <family val="3"/>
        <charset val="134"/>
        <scheme val="minor"/>
      </rPr>
      <t/>
    </r>
  </si>
  <si>
    <r>
      <t>59号楼</t>
    </r>
    <r>
      <rPr>
        <sz val="11"/>
        <color theme="1"/>
        <rFont val="宋体"/>
        <family val="3"/>
        <charset val="134"/>
        <scheme val="minor"/>
      </rPr>
      <t/>
    </r>
  </si>
  <si>
    <r>
      <t>60号楼</t>
    </r>
    <r>
      <rPr>
        <sz val="11"/>
        <color theme="1"/>
        <rFont val="宋体"/>
        <family val="3"/>
        <charset val="134"/>
        <scheme val="minor"/>
      </rPr>
      <t/>
    </r>
  </si>
  <si>
    <r>
      <t>61号楼</t>
    </r>
    <r>
      <rPr>
        <sz val="11"/>
        <color theme="1"/>
        <rFont val="宋体"/>
        <family val="3"/>
        <charset val="134"/>
        <scheme val="minor"/>
      </rPr>
      <t/>
    </r>
  </si>
  <si>
    <r>
      <t>62号楼</t>
    </r>
    <r>
      <rPr>
        <sz val="11"/>
        <color theme="1"/>
        <rFont val="宋体"/>
        <family val="3"/>
        <charset val="134"/>
        <scheme val="minor"/>
      </rPr>
      <t/>
    </r>
  </si>
  <si>
    <r>
      <t>63号楼</t>
    </r>
    <r>
      <rPr>
        <sz val="11"/>
        <color theme="1"/>
        <rFont val="宋体"/>
        <family val="3"/>
        <charset val="134"/>
        <scheme val="minor"/>
      </rPr>
      <t/>
    </r>
  </si>
  <si>
    <r>
      <t>64号楼</t>
    </r>
    <r>
      <rPr>
        <sz val="11"/>
        <color theme="1"/>
        <rFont val="宋体"/>
        <family val="3"/>
        <charset val="134"/>
        <scheme val="minor"/>
      </rPr>
      <t/>
    </r>
  </si>
  <si>
    <r>
      <t>65号楼</t>
    </r>
    <r>
      <rPr>
        <sz val="11"/>
        <color theme="1"/>
        <rFont val="宋体"/>
        <family val="3"/>
        <charset val="134"/>
        <scheme val="minor"/>
      </rPr>
      <t/>
    </r>
  </si>
  <si>
    <r>
      <t>66号楼</t>
    </r>
    <r>
      <rPr>
        <sz val="11"/>
        <color theme="1"/>
        <rFont val="宋体"/>
        <family val="3"/>
        <charset val="134"/>
        <scheme val="minor"/>
      </rPr>
      <t/>
    </r>
  </si>
  <si>
    <r>
      <t>67号楼</t>
    </r>
    <r>
      <rPr>
        <sz val="11"/>
        <color theme="1"/>
        <rFont val="宋体"/>
        <family val="3"/>
        <charset val="134"/>
        <scheme val="minor"/>
      </rPr>
      <t/>
    </r>
  </si>
  <si>
    <r>
      <t>68号楼</t>
    </r>
    <r>
      <rPr>
        <sz val="11"/>
        <color theme="1"/>
        <rFont val="宋体"/>
        <family val="3"/>
        <charset val="134"/>
        <scheme val="minor"/>
      </rPr>
      <t/>
    </r>
  </si>
  <si>
    <r>
      <t>69号楼</t>
    </r>
    <r>
      <rPr>
        <sz val="11"/>
        <color theme="1"/>
        <rFont val="宋体"/>
        <family val="3"/>
        <charset val="134"/>
        <scheme val="minor"/>
      </rPr>
      <t/>
    </r>
  </si>
  <si>
    <r>
      <t>77号楼</t>
    </r>
    <r>
      <rPr>
        <sz val="11"/>
        <color theme="1"/>
        <rFont val="宋体"/>
        <family val="3"/>
        <charset val="134"/>
        <scheme val="minor"/>
      </rPr>
      <t/>
    </r>
  </si>
  <si>
    <t>地上</t>
  </si>
  <si>
    <t>地上</t>
    <phoneticPr fontId="132" type="noConversion"/>
  </si>
  <si>
    <t>餐饮</t>
    <phoneticPr fontId="132" type="noConversion"/>
  </si>
  <si>
    <t>集体宿舍</t>
    <phoneticPr fontId="132" type="noConversion"/>
  </si>
  <si>
    <t>商铺</t>
    <phoneticPr fontId="132" type="noConversion"/>
  </si>
  <si>
    <t>52号楼</t>
    <phoneticPr fontId="132" type="noConversion"/>
  </si>
  <si>
    <t>53号楼</t>
    <phoneticPr fontId="132" type="noConversion"/>
  </si>
  <si>
    <t>54号楼</t>
  </si>
  <si>
    <t>55号楼</t>
  </si>
  <si>
    <t>56号楼</t>
  </si>
  <si>
    <t>57号楼</t>
  </si>
  <si>
    <t>58号楼</t>
  </si>
  <si>
    <t>59号楼</t>
  </si>
  <si>
    <t>60号楼</t>
  </si>
  <si>
    <t>62号楼</t>
  </si>
  <si>
    <t>63号楼</t>
  </si>
  <si>
    <t>64号楼</t>
  </si>
  <si>
    <t>65号楼</t>
  </si>
  <si>
    <t>66号楼</t>
  </si>
  <si>
    <t>67号楼</t>
  </si>
  <si>
    <t>68号楼</t>
  </si>
  <si>
    <t>小计</t>
  </si>
  <si>
    <t>小计</t>
    <phoneticPr fontId="132" type="noConversion"/>
  </si>
  <si>
    <t>楼层</t>
    <phoneticPr fontId="132" type="noConversion"/>
  </si>
  <si>
    <t>1-6层</t>
    <phoneticPr fontId="132" type="noConversion"/>
  </si>
  <si>
    <t>1-5层</t>
    <phoneticPr fontId="132" type="noConversion"/>
  </si>
  <si>
    <t>研发试制楼</t>
    <phoneticPr fontId="132" type="noConversion"/>
  </si>
  <si>
    <t>1-15层</t>
    <phoneticPr fontId="132" type="noConversion"/>
  </si>
  <si>
    <t>1-7层</t>
    <phoneticPr fontId="132" type="noConversion"/>
  </si>
  <si>
    <t>1-2层</t>
    <phoneticPr fontId="132" type="noConversion"/>
  </si>
  <si>
    <t>地下</t>
  </si>
  <si>
    <t>地下</t>
    <phoneticPr fontId="132" type="noConversion"/>
  </si>
  <si>
    <t>地下室</t>
    <phoneticPr fontId="132" type="noConversion"/>
  </si>
  <si>
    <t>食堂</t>
    <phoneticPr fontId="132" type="noConversion"/>
  </si>
  <si>
    <t>合计</t>
    <phoneticPr fontId="132" type="noConversion"/>
  </si>
  <si>
    <t>总计</t>
    <phoneticPr fontId="132" type="noConversion"/>
  </si>
  <si>
    <t>1-11层</t>
    <phoneticPr fontId="132" type="noConversion"/>
  </si>
  <si>
    <t>Ⅵ-BDA东</t>
  </si>
  <si>
    <t>是</t>
  </si>
  <si>
    <t>工业</t>
    <phoneticPr fontId="7" type="noConversion"/>
  </si>
  <si>
    <r>
      <t>2023</t>
    </r>
    <r>
      <rPr>
        <sz val="10"/>
        <color indexed="8"/>
        <rFont val="宋体"/>
        <family val="3"/>
        <charset val="134"/>
      </rPr>
      <t>年世联</t>
    </r>
    <phoneticPr fontId="8" type="noConversion"/>
  </si>
  <si>
    <t>自定义容积率</t>
  </si>
  <si>
    <t>序号</t>
  </si>
  <si>
    <t>房号</t>
  </si>
  <si>
    <t>租约面积</t>
  </si>
  <si>
    <t>承租人</t>
  </si>
  <si>
    <t>签约起止时间</t>
  </si>
  <si>
    <t>（平米）</t>
  </si>
  <si>
    <t>租金单价</t>
    <phoneticPr fontId="132" type="noConversion"/>
  </si>
  <si>
    <t>涨幅</t>
    <phoneticPr fontId="132" type="noConversion"/>
  </si>
  <si>
    <t>押金</t>
    <phoneticPr fontId="132" type="noConversion"/>
  </si>
  <si>
    <t>当前租金单价</t>
    <phoneticPr fontId="132" type="noConversion"/>
  </si>
  <si>
    <t>年租金</t>
    <phoneticPr fontId="132" type="noConversion"/>
  </si>
  <si>
    <t>52号楼</t>
  </si>
  <si>
    <t>北京名创商业管理有限公司</t>
  </si>
  <si>
    <t>2022/8/1-2031/7/31</t>
  </si>
  <si>
    <t>前三年不变，之后每三年涨幅5%</t>
    <phoneticPr fontId="132" type="noConversion"/>
  </si>
  <si>
    <t>53号楼</t>
  </si>
  <si>
    <t>2022/2/18-2031/2/17</t>
  </si>
  <si>
    <t>每年涨幅3%</t>
    <phoneticPr fontId="132" type="noConversion"/>
  </si>
  <si>
    <t>2022/6/10-2031/6/9</t>
  </si>
  <si>
    <t>北京京东世纪贸易有限公司</t>
  </si>
  <si>
    <t>2022.10.10至2027.10.9</t>
  </si>
  <si>
    <t>每年涨幅6%</t>
    <phoneticPr fontId="132" type="noConversion"/>
  </si>
  <si>
    <t>前两年不变，之后每年涨幅3%</t>
    <phoneticPr fontId="132" type="noConversion"/>
  </si>
  <si>
    <t>33.3310.82</t>
    <phoneticPr fontId="132" type="noConversion"/>
  </si>
  <si>
    <t>61号楼1层101#、102#、103#</t>
  </si>
  <si>
    <t>北京小马易行科技有限公司</t>
  </si>
  <si>
    <t>2022/7/1-2025/6/30</t>
  </si>
  <si>
    <t>61号楼2层201#、202#、203#</t>
  </si>
  <si>
    <t>【61】号楼【 3】层【301、302、303、308、309】号房</t>
  </si>
  <si>
    <t>2023-1-1至2025-6-30</t>
  </si>
  <si>
    <t>60号楼12层1201号房</t>
  </si>
  <si>
    <t>康宝智信测量技术（北京）有限公司</t>
  </si>
  <si>
    <t>2019/11/15-2024/11/14</t>
  </si>
  <si>
    <t>61号楼3A03#</t>
  </si>
  <si>
    <t>北京意达拓普物业管理有限公司</t>
  </si>
  <si>
    <t>2023-4-16至2025-4-15</t>
  </si>
  <si>
    <t>61号楼4-15层</t>
  </si>
  <si>
    <t>2021/12/14-2031/12/13</t>
  </si>
  <si>
    <t>2021/11/15-2031/11/14</t>
  </si>
  <si>
    <t>2022/4/1-2031/3/31</t>
  </si>
  <si>
    <t>2020/9/15-2027/9/14</t>
  </si>
  <si>
    <t>每年涨幅5%</t>
    <phoneticPr fontId="132" type="noConversion"/>
  </si>
  <si>
    <t>69号楼1层101#、102#</t>
  </si>
  <si>
    <t>2022/9/1-2031/8/31</t>
  </si>
  <si>
    <t>每三年涨幅5%</t>
    <phoneticPr fontId="132" type="noConversion"/>
  </si>
  <si>
    <t>69号楼1层106#</t>
  </si>
  <si>
    <t>中国银行股份有限公司北京市分行</t>
  </si>
  <si>
    <t>2019/12/15-2029/12/14</t>
  </si>
  <si>
    <t>每年涨幅2%</t>
    <phoneticPr fontId="132" type="noConversion"/>
  </si>
  <si>
    <t>69号楼1层108#</t>
  </si>
  <si>
    <t>69号楼1层110#</t>
  </si>
  <si>
    <t>69号楼2层</t>
  </si>
  <si>
    <t>2022/2/18-2036/2/17</t>
  </si>
  <si>
    <t>69号楼负1层</t>
  </si>
  <si>
    <t>润百仓企业管理（北京）有限公司</t>
  </si>
  <si>
    <t>2021/4/1-2034/1/31</t>
  </si>
  <si>
    <t xml:space="preserve"> </t>
  </si>
  <si>
    <t>总建筑面积</t>
    <phoneticPr fontId="132" type="noConversion"/>
  </si>
  <si>
    <t>成新度</t>
  </si>
  <si>
    <t>直线</t>
    <phoneticPr fontId="3" type="noConversion"/>
  </si>
  <si>
    <t>收益法</t>
  </si>
  <si>
    <t>押一</t>
  </si>
  <si>
    <t>钢混</t>
  </si>
  <si>
    <t>非生产用房</t>
  </si>
  <si>
    <t>与级别开发程度一致</t>
  </si>
  <si>
    <t>不临65条商业街</t>
  </si>
  <si>
    <t>通路</t>
  </si>
  <si>
    <t>通电</t>
  </si>
  <si>
    <t>通讯</t>
  </si>
  <si>
    <t>通上水</t>
  </si>
  <si>
    <t>通下水</t>
  </si>
  <si>
    <t>通热</t>
  </si>
  <si>
    <t>燃气</t>
  </si>
  <si>
    <t>平整</t>
  </si>
  <si>
    <t>较好</t>
  </si>
  <si>
    <t>一般</t>
  </si>
  <si>
    <t>好</t>
  </si>
  <si>
    <t>未包含在土地购买价格中</t>
  </si>
  <si>
    <t>全部缴纳</t>
  </si>
  <si>
    <t>已包含在土地取得成本中</t>
  </si>
  <si>
    <t>成本法</t>
  </si>
  <si>
    <t>总价</t>
  </si>
  <si>
    <t>自定义</t>
  </si>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</sst>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b/>
      <sz val="10"/>
      <name val="宋体"/>
      <family val="3"/>
      <charset val="134"/>
      <scheme val="minor"/>
    </font>
    <font>
      <sz val="10"/>
      <color rgb="FF00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0" fontId="106" fillId="0" borderId="0" xfId="0" applyFont="1" applyAlignment="1">
      <alignment horizontal="left" vertical="center"/>
    </xf>
    <xf numFmtId="58" fontId="106" fillId="0" borderId="0" xfId="0" applyNumberFormat="1" applyFont="1" applyAlignment="1">
      <alignment horizontal="left" vertical="center"/>
    </xf>
    <xf numFmtId="0" fontId="267" fillId="0" borderId="1" xfId="0" applyFont="1" applyFill="1" applyBorder="1" applyAlignment="1">
      <alignment horizontal="center" vertical="center" wrapText="1"/>
    </xf>
    <xf numFmtId="0" fontId="106" fillId="0" borderId="0" xfId="0" applyFont="1" applyFill="1" applyAlignment="1">
      <alignment vertical="center" wrapText="1"/>
    </xf>
    <xf numFmtId="0" fontId="268" fillId="0" borderId="0" xfId="0" applyFont="1" applyFill="1" applyAlignment="1">
      <alignment vertical="center" wrapText="1"/>
    </xf>
    <xf numFmtId="179" fontId="267" fillId="0" borderId="1" xfId="0" applyNumberFormat="1" applyFont="1" applyFill="1" applyBorder="1" applyAlignment="1">
      <alignment horizontal="center" vertical="center" wrapText="1"/>
    </xf>
    <xf numFmtId="0" fontId="269" fillId="0" borderId="1" xfId="0" applyFont="1" applyFill="1" applyBorder="1" applyAlignment="1">
      <alignment horizontal="center" vertical="center" wrapText="1"/>
    </xf>
    <xf numFmtId="0" fontId="111" fillId="0" borderId="0" xfId="0" applyFont="1" applyFill="1" applyAlignment="1">
      <alignment vertical="center" wrapText="1"/>
    </xf>
    <xf numFmtId="0" fontId="270" fillId="0" borderId="0" xfId="0" applyFont="1" applyFill="1" applyAlignment="1">
      <alignment horizontal="justify" vertical="center" wrapText="1"/>
    </xf>
    <xf numFmtId="0" fontId="106" fillId="0" borderId="0" xfId="0" applyFont="1" applyFill="1" applyAlignment="1">
      <alignment horizontal="center" vertical="center" wrapText="1"/>
    </xf>
    <xf numFmtId="0" fontId="106" fillId="0" borderId="0" xfId="0" applyFont="1" applyAlignment="1">
      <alignment vertical="center" wrapText="1"/>
    </xf>
    <xf numFmtId="0" fontId="77" fillId="12" borderId="0" xfId="0" applyFont="1" applyFill="1" applyAlignment="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47" fillId="6" borderId="0" xfId="0" applyNumberFormat="1" applyFont="1" applyFill="1" applyProtection="1">
      <alignment vertical="center"/>
      <protection locked="0"/>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4" fillId="0" borderId="0" xfId="9" applyFont="1" applyAlignment="1">
      <alignment horizontal="left" vertical="center"/>
    </xf>
    <xf numFmtId="0" fontId="102" fillId="0" borderId="0" xfId="9" applyFont="1" applyAlignment="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xf numFmtId="0" fontId="267" fillId="0" borderId="1" xfId="0" applyFont="1" applyFill="1" applyBorder="1" applyAlignment="1">
      <alignment horizontal="center" vertical="center" wrapText="1"/>
    </xf>
    <xf numFmtId="0" fontId="269" fillId="0" borderId="1" xfId="0" applyFont="1" applyFill="1" applyBorder="1" applyAlignment="1">
      <alignment horizontal="center" vertical="center" wrapText="1"/>
    </xf>
    <xf numFmtId="179" fontId="44" fillId="5" borderId="23"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25</xdr:row>
      <xdr:rowOff>76200</xdr:rowOff>
    </xdr:from>
    <xdr:to>
      <xdr:col>10</xdr:col>
      <xdr:colOff>494393</xdr:colOff>
      <xdr:row>42</xdr:row>
      <xdr:rowOff>75876</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4210050"/>
          <a:ext cx="7257143" cy="2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190500</xdr:colOff>
      <xdr:row>0</xdr:row>
      <xdr:rowOff>114570</xdr:rowOff>
    </xdr:from>
    <xdr:to>
      <xdr:col>21</xdr:col>
      <xdr:colOff>274757</xdr:colOff>
      <xdr:row>13</xdr:row>
      <xdr:rowOff>141788</xdr:rowOff>
    </xdr:to>
    <xdr:pic>
      <xdr:nvPicPr>
        <xdr:cNvPr id="2" name="图片 1"/>
        <xdr:cNvPicPr>
          <a:picLocks noChangeAspect="1"/>
        </xdr:cNvPicPr>
      </xdr:nvPicPr>
      <xdr:blipFill>
        <a:blip xmlns:r="http://schemas.openxmlformats.org/officeDocument/2006/relationships" r:embed="rId1"/>
        <a:stretch>
          <a:fillRect/>
        </a:stretch>
      </xdr:blipFill>
      <xdr:spPr>
        <a:xfrm>
          <a:off x="11334750" y="114570"/>
          <a:ext cx="7523282" cy="5570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估价对象为北京市房地产，为所有。根据《国有土地使用证》[]，估价对象（分摊）出让国有建设用地使用权面积为0平方米，建筑面积为108132.23平方米。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估价对象为北京市房地产,属开发建设的，该项目尚在开发建设中。根据《国有土地使用证》[]，估价对象（分摊）出让国有建设用地使用权面积为0平方米，规划建筑面积为108132.23平方米。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2024年5月8日（评估专业人员实地查勘之日）</v>
      </c>
    </row>
    <row r="13" spans="1:2" s="1203" customFormat="1">
      <c r="A13" s="1201" t="s">
        <v>529</v>
      </c>
      <c r="B13" s="1202" t="str">
        <f>'预评函-1'!A18</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113520</v>
      </c>
    </row>
    <row r="21" spans="1:2" s="1203" customFormat="1">
      <c r="A21" s="1201" t="s">
        <v>537</v>
      </c>
      <c r="B21" s="1202">
        <f ca="1">'预评函-2'!D7</f>
        <v>10498</v>
      </c>
    </row>
    <row r="22" spans="1:2" s="1203" customFormat="1">
      <c r="A22" s="1201" t="s">
        <v>538</v>
      </c>
      <c r="B22" s="1202" t="str">
        <f ca="1">'预评函-2'!D6</f>
        <v>壹拾壹亿叁仟伍佰贰拾万元整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113520</v>
      </c>
    </row>
    <row r="31" spans="1:2" s="1203" customFormat="1">
      <c r="A31" s="1201" t="s">
        <v>576</v>
      </c>
      <c r="B31" s="1202">
        <f ca="1">'预评函-2'!D15</f>
        <v>10498</v>
      </c>
    </row>
    <row r="32" spans="1:2" s="1203" customFormat="1">
      <c r="A32" s="1201" t="s">
        <v>543</v>
      </c>
      <c r="B32" s="1202" t="str">
        <f ca="1">'预评函-2'!D14</f>
        <v>壹拾壹亿叁仟伍佰贰拾万元整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43157</v>
      </c>
    </row>
    <row r="39" spans="1:2" s="1203" customFormat="1">
      <c r="A39" s="1201" t="s">
        <v>545</v>
      </c>
      <c r="B39" s="1202">
        <f ca="1">'预评函-2'!D21</f>
        <v>3991</v>
      </c>
    </row>
    <row r="40" spans="1:2" s="1203" customFormat="1">
      <c r="A40" s="1201" t="s">
        <v>546</v>
      </c>
      <c r="B40" s="1202" t="str">
        <f ca="1">'预评函-2'!D20</f>
        <v>肆亿叁仟壹佰伍拾柒万元整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108132.23000000003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3329</v>
      </c>
    </row>
    <row r="8" spans="1:23">
      <c r="A8" s="1546" t="s">
        <v>1026</v>
      </c>
      <c r="B8" s="1546" t="s">
        <v>1027</v>
      </c>
      <c r="C8" s="1547" t="s">
        <v>319</v>
      </c>
      <c r="F8" s="1548" t="s">
        <v>1028</v>
      </c>
      <c r="H8" s="1548" t="s">
        <v>2564</v>
      </c>
      <c r="I8" s="1548" t="s">
        <v>3330</v>
      </c>
    </row>
    <row r="9" spans="1:23">
      <c r="A9" s="1546" t="s">
        <v>1029</v>
      </c>
      <c r="B9" s="1546" t="s">
        <v>1030</v>
      </c>
      <c r="C9" s="1547" t="s">
        <v>320</v>
      </c>
      <c r="F9" s="1548" t="s">
        <v>1031</v>
      </c>
      <c r="H9" s="1548"/>
      <c r="I9" s="1551" t="s">
        <v>3331</v>
      </c>
    </row>
    <row r="10" spans="1:23">
      <c r="A10" s="1546" t="s">
        <v>1032</v>
      </c>
      <c r="B10" s="1546" t="s">
        <v>1033</v>
      </c>
      <c r="C10" s="1547" t="s">
        <v>321</v>
      </c>
      <c r="F10" s="1548" t="s">
        <v>2565</v>
      </c>
      <c r="I10" s="1551" t="s">
        <v>3332</v>
      </c>
    </row>
    <row r="11" spans="1:23">
      <c r="A11" s="1546" t="s">
        <v>1034</v>
      </c>
      <c r="B11" s="1546" t="s">
        <v>1035</v>
      </c>
      <c r="C11" s="1547" t="s">
        <v>322</v>
      </c>
      <c r="F11" s="1548" t="s">
        <v>13</v>
      </c>
      <c r="I11" s="1551" t="s">
        <v>3333</v>
      </c>
    </row>
    <row r="12" spans="1:23">
      <c r="A12" s="1546" t="s">
        <v>1036</v>
      </c>
      <c r="B12" s="1546" t="s">
        <v>1037</v>
      </c>
      <c r="C12" s="1547" t="s">
        <v>323</v>
      </c>
      <c r="I12" s="1551" t="s">
        <v>3334</v>
      </c>
    </row>
    <row r="13" spans="1:23">
      <c r="A13" s="1546" t="s">
        <v>1038</v>
      </c>
      <c r="B13" s="1546" t="s">
        <v>1039</v>
      </c>
      <c r="C13" s="1547" t="s">
        <v>324</v>
      </c>
      <c r="I13" s="1551" t="s">
        <v>3335</v>
      </c>
    </row>
    <row r="14" spans="1:23">
      <c r="A14" s="1546" t="s">
        <v>1040</v>
      </c>
      <c r="B14" s="1546" t="s">
        <v>1041</v>
      </c>
      <c r="C14" s="1548" t="s">
        <v>13</v>
      </c>
      <c r="I14" s="1551" t="s">
        <v>3336</v>
      </c>
    </row>
    <row r="15" spans="1:23">
      <c r="A15" s="1546" t="s">
        <v>1042</v>
      </c>
      <c r="B15" s="1546" t="s">
        <v>1043</v>
      </c>
      <c r="C15" s="1547"/>
      <c r="I15" s="1551" t="s">
        <v>3337</v>
      </c>
    </row>
    <row r="16" spans="1:23">
      <c r="A16" s="1546" t="s">
        <v>1044</v>
      </c>
      <c r="B16" s="1546" t="s">
        <v>312</v>
      </c>
      <c r="C16" s="1547"/>
    </row>
    <row r="17" spans="1:3">
      <c r="A17" s="1546" t="s">
        <v>1045</v>
      </c>
      <c r="B17" s="1546" t="s">
        <v>2276</v>
      </c>
      <c r="C17" s="1547"/>
    </row>
    <row r="18" spans="1:3">
      <c r="A18" s="1546" t="s">
        <v>1046</v>
      </c>
      <c r="B18" s="1546" t="s">
        <v>2420</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2487</v>
      </c>
      <c r="B1" s="2993"/>
      <c r="C1" s="2993"/>
      <c r="D1" s="2993"/>
      <c r="E1" s="2993"/>
      <c r="F1" s="2994"/>
      <c r="I1" s="3416" t="s">
        <v>2580</v>
      </c>
      <c r="J1" s="3205"/>
      <c r="K1" s="3205"/>
      <c r="L1" s="3205"/>
      <c r="M1" s="3205"/>
      <c r="N1" s="3417"/>
      <c r="O1" s="3417"/>
      <c r="P1" s="3417"/>
      <c r="Q1" s="3417"/>
      <c r="R1" s="3417"/>
    </row>
    <row r="2" spans="1:18">
      <c r="A2" s="2996"/>
      <c r="B2" s="2997"/>
      <c r="C2" s="2997"/>
      <c r="D2" s="2997"/>
      <c r="E2" s="2997"/>
      <c r="F2" s="2998"/>
      <c r="I2" s="3495" t="s">
        <v>2567</v>
      </c>
      <c r="J2" s="3495"/>
      <c r="K2" s="3495"/>
      <c r="L2" s="3495"/>
      <c r="M2" s="3495"/>
      <c r="N2" s="3495"/>
      <c r="O2" s="3495"/>
      <c r="P2" s="3495"/>
      <c r="Q2" s="3495"/>
      <c r="R2" s="3495"/>
    </row>
    <row r="3" spans="1:18">
      <c r="A3" s="2999" t="s">
        <v>2488</v>
      </c>
      <c r="B3" s="3000">
        <f>项目基本情况!D3</f>
        <v>45420</v>
      </c>
      <c r="C3" s="3002"/>
      <c r="D3" s="3002"/>
      <c r="E3" s="3002"/>
      <c r="F3" s="2998"/>
      <c r="I3" s="3418"/>
      <c r="J3" s="3418" t="s">
        <v>2571</v>
      </c>
      <c r="K3" s="3418" t="s">
        <v>2572</v>
      </c>
      <c r="L3" s="3418" t="s">
        <v>2573</v>
      </c>
      <c r="M3" s="3418" t="s">
        <v>2574</v>
      </c>
      <c r="N3" s="3419" t="s">
        <v>2575</v>
      </c>
      <c r="O3" s="3419" t="s">
        <v>2576</v>
      </c>
      <c r="P3" s="3419" t="s">
        <v>2577</v>
      </c>
      <c r="Q3" s="3419" t="s">
        <v>2578</v>
      </c>
      <c r="R3" s="3419" t="s">
        <v>2579</v>
      </c>
    </row>
    <row r="4" spans="1:18">
      <c r="A4" s="2999" t="s">
        <v>2489</v>
      </c>
      <c r="B4" s="3002" t="s">
        <v>2490</v>
      </c>
      <c r="C4" s="3002" t="s">
        <v>2491</v>
      </c>
      <c r="D4" s="3002" t="s">
        <v>2492</v>
      </c>
      <c r="E4" s="3002" t="s">
        <v>2493</v>
      </c>
      <c r="F4" s="2998"/>
      <c r="I4" s="3418" t="s">
        <v>2568</v>
      </c>
      <c r="J4" s="3418">
        <v>80</v>
      </c>
      <c r="K4" s="3418">
        <v>70</v>
      </c>
      <c r="L4" s="3418">
        <v>20</v>
      </c>
      <c r="M4" s="3418">
        <v>30</v>
      </c>
      <c r="N4" s="3002">
        <v>45</v>
      </c>
      <c r="O4" s="3002">
        <v>60</v>
      </c>
      <c r="P4" s="3002">
        <v>50</v>
      </c>
      <c r="Q4" s="3002">
        <v>20</v>
      </c>
      <c r="R4" s="3002">
        <v>375</v>
      </c>
    </row>
    <row r="5" spans="1:18">
      <c r="A5" s="3003">
        <v>40</v>
      </c>
      <c r="B5" s="3000">
        <v>46375</v>
      </c>
      <c r="C5" s="3002">
        <f>ROUNDDOWN(MIN((B5-B3)/365,A5),2)</f>
        <v>2.61</v>
      </c>
      <c r="D5" s="3004">
        <f>IF(ISERROR(ROUND(POWER(1+E5,A5-C5)*(POWER(1+E5,C5)-1)/(POWER(1+E5,A5)-1),3)),0,ROUND(POWER(1+E5,A5-C5)*(POWER(1+E5,C5)-1)/(POWER(1+E5,A5)-1),4))</f>
        <v>0.1229</v>
      </c>
      <c r="E5" s="3005">
        <v>0.04</v>
      </c>
      <c r="F5" s="2998"/>
      <c r="I5" s="3418" t="s">
        <v>2569</v>
      </c>
      <c r="J5" s="3418">
        <v>70</v>
      </c>
      <c r="K5" s="3418">
        <v>60</v>
      </c>
      <c r="L5" s="3418">
        <v>15</v>
      </c>
      <c r="M5" s="3418">
        <v>25</v>
      </c>
      <c r="N5" s="3002">
        <v>40</v>
      </c>
      <c r="O5" s="3002">
        <v>50</v>
      </c>
      <c r="P5" s="3002">
        <v>40</v>
      </c>
      <c r="Q5" s="3002">
        <v>15</v>
      </c>
      <c r="R5" s="3002">
        <v>315</v>
      </c>
    </row>
    <row r="6" spans="1:18">
      <c r="A6" s="3003">
        <v>50</v>
      </c>
      <c r="B6" s="3000">
        <v>50028</v>
      </c>
      <c r="C6" s="3002">
        <f>ROUNDDOWN(MIN((B6-B3)/365,A6),2)</f>
        <v>12.62</v>
      </c>
      <c r="D6" s="3004">
        <f>IF(ISERROR(ROUND(POWER(1+E6,A6-C6)*(POWER(1+E6,C6)-1)/(POWER(1+E6,A6)-1),3)),0,ROUND(POWER(1+E6,A6-C6)*(POWER(1+E6,C6)-1)/(POWER(1+E6,A6)-1),4))</f>
        <v>0.45429999999999998</v>
      </c>
      <c r="E6" s="3005">
        <v>0.04</v>
      </c>
      <c r="F6" s="2998"/>
      <c r="I6" s="3418" t="s">
        <v>2570</v>
      </c>
      <c r="J6" s="3418">
        <v>60</v>
      </c>
      <c r="K6" s="3418">
        <v>50</v>
      </c>
      <c r="L6" s="3418">
        <v>10</v>
      </c>
      <c r="M6" s="3418">
        <v>20</v>
      </c>
      <c r="N6" s="3002">
        <v>35</v>
      </c>
      <c r="O6" s="3002">
        <v>40</v>
      </c>
      <c r="P6" s="3002">
        <v>30</v>
      </c>
      <c r="Q6" s="3002">
        <v>10</v>
      </c>
      <c r="R6" s="3002">
        <v>255</v>
      </c>
    </row>
    <row r="7" spans="1:18">
      <c r="A7" s="3003">
        <v>70</v>
      </c>
      <c r="B7" s="3000">
        <v>57333</v>
      </c>
      <c r="C7" s="3002">
        <f>ROUNDDOWN(MIN((B7-B3)/365,A7),2)</f>
        <v>32.630000000000003</v>
      </c>
      <c r="D7" s="3004">
        <f>IF(ISERROR(ROUND(POWER(1+E7,A7-C7)*(POWER(1+E7,C7)-1)/(POWER(1+E7,A7)-1),3)),0,ROUND(POWER(1+E7,A7-C7)*(POWER(1+E7,C7)-1)/(POWER(1+E7,A7)-1),4))</f>
        <v>0.77139999999999997</v>
      </c>
      <c r="E7" s="3005">
        <v>0.04</v>
      </c>
      <c r="F7" s="2998"/>
    </row>
    <row r="8" spans="1:18">
      <c r="A8" s="2996"/>
      <c r="B8" s="2997"/>
      <c r="C8" s="2997"/>
      <c r="D8" s="2997"/>
      <c r="E8" s="2997"/>
      <c r="F8" s="2998"/>
    </row>
    <row r="9" spans="1:18">
      <c r="A9" s="2999" t="s">
        <v>2494</v>
      </c>
      <c r="B9" s="3002"/>
      <c r="C9" s="3002"/>
      <c r="D9" s="3002"/>
      <c r="E9" s="3002"/>
      <c r="F9" s="3006"/>
    </row>
    <row r="10" spans="1:18">
      <c r="A10" s="2999" t="s">
        <v>2495</v>
      </c>
      <c r="B10" s="3002"/>
      <c r="C10" s="3002"/>
      <c r="D10" s="3002" t="s">
        <v>2493</v>
      </c>
      <c r="E10" s="3002"/>
      <c r="F10" s="3006" t="s">
        <v>2492</v>
      </c>
    </row>
    <row r="11" spans="1:18">
      <c r="A11" s="2999" t="s">
        <v>2496</v>
      </c>
      <c r="B11" s="3007">
        <v>70</v>
      </c>
      <c r="C11" s="3002" t="s">
        <v>2497</v>
      </c>
      <c r="D11" s="3008">
        <v>4.4999999999999998E-2</v>
      </c>
      <c r="E11" s="3002" t="s">
        <v>2498</v>
      </c>
      <c r="F11" s="3009">
        <f>ROUND(1-(1/(POWER(1+D11,B11))),4)</f>
        <v>0.95409999999999995</v>
      </c>
    </row>
    <row r="12" spans="1:18">
      <c r="A12" s="2999" t="s">
        <v>2499</v>
      </c>
      <c r="B12" s="3007">
        <v>40</v>
      </c>
      <c r="C12" s="3002" t="s">
        <v>2500</v>
      </c>
      <c r="D12" s="3008">
        <v>4.4999999999999998E-2</v>
      </c>
      <c r="E12" s="3002" t="s">
        <v>2501</v>
      </c>
      <c r="F12" s="3009">
        <f>ROUND(1-(1/(POWER(1+D12,B12))),4)</f>
        <v>0.82809999999999995</v>
      </c>
    </row>
    <row r="13" spans="1:18">
      <c r="A13" s="2999" t="s">
        <v>2502</v>
      </c>
      <c r="B13" s="3002"/>
      <c r="C13" s="3002"/>
      <c r="D13" s="2997"/>
      <c r="E13" s="2997"/>
      <c r="F13" s="2998"/>
    </row>
    <row r="14" spans="1:18">
      <c r="A14" s="2999" t="s">
        <v>2503</v>
      </c>
      <c r="B14" s="3007">
        <v>5000</v>
      </c>
      <c r="C14" s="3001"/>
      <c r="D14" s="2997"/>
      <c r="E14" s="2997"/>
      <c r="F14" s="2998"/>
    </row>
    <row r="15" spans="1:18">
      <c r="A15" s="2999" t="s">
        <v>2504</v>
      </c>
      <c r="B15" s="3002">
        <f>ROUND(B14*F12/F11,2)</f>
        <v>4339.6899999999996</v>
      </c>
      <c r="C15" s="3002">
        <f>ROUND(F12/F11,4)</f>
        <v>0.8679</v>
      </c>
      <c r="D15" s="2997"/>
      <c r="E15" s="2997"/>
      <c r="F15" s="2998"/>
    </row>
    <row r="16" spans="1:18">
      <c r="A16" s="2999" t="s">
        <v>2505</v>
      </c>
      <c r="B16" s="3002"/>
      <c r="C16" s="3002"/>
      <c r="D16" s="2997"/>
      <c r="E16" s="2997"/>
      <c r="F16" s="2998"/>
    </row>
    <row r="17" spans="1:13">
      <c r="A17" s="2999" t="s">
        <v>2504</v>
      </c>
      <c r="B17" s="3008">
        <v>4810</v>
      </c>
      <c r="C17" s="3001"/>
      <c r="D17" s="2997"/>
      <c r="E17" s="2997"/>
      <c r="F17" s="2998"/>
    </row>
    <row r="18" spans="1:13" ht="14.25" thickBot="1">
      <c r="A18" s="3010" t="s">
        <v>2503</v>
      </c>
      <c r="B18" s="3011">
        <f>ROUND(B17*F11/F12,2)</f>
        <v>5541.87</v>
      </c>
      <c r="C18" s="3011">
        <f>ROUND(F11/F12,4)</f>
        <v>1.1521999999999999</v>
      </c>
      <c r="D18" s="3012"/>
      <c r="E18" s="3012"/>
      <c r="F18" s="3013"/>
    </row>
    <row r="19" spans="1:13" ht="14.25" thickBot="1"/>
    <row r="20" spans="1:13" s="3048" customFormat="1" ht="14.25" thickTop="1">
      <c r="A20" s="3045" t="s">
        <v>2506</v>
      </c>
      <c r="B20" s="3046"/>
      <c r="C20" s="3046"/>
      <c r="D20" s="3046"/>
      <c r="E20" s="3046"/>
      <c r="F20" s="3046"/>
      <c r="G20" s="3047"/>
      <c r="I20" s="3049" t="s">
        <v>2551</v>
      </c>
      <c r="J20" s="3049" t="s">
        <v>2556</v>
      </c>
      <c r="K20" s="3049"/>
      <c r="L20" s="3049"/>
      <c r="M20" s="3049"/>
    </row>
    <row r="21" spans="1:13">
      <c r="A21" s="3014"/>
      <c r="B21" s="3015" t="s">
        <v>2507</v>
      </c>
      <c r="C21" s="3015" t="s">
        <v>2508</v>
      </c>
      <c r="D21" s="3015" t="s">
        <v>2509</v>
      </c>
      <c r="E21" s="3015" t="s">
        <v>2510</v>
      </c>
      <c r="F21" s="3015" t="s">
        <v>2511</v>
      </c>
      <c r="G21" s="3016" t="s">
        <v>2512</v>
      </c>
      <c r="I21" s="3037">
        <v>5</v>
      </c>
      <c r="J21" s="3037">
        <v>54.2</v>
      </c>
    </row>
    <row r="22" spans="1:13">
      <c r="A22" s="3014" t="s">
        <v>2513</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2514</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2554</v>
      </c>
      <c r="M23" s="3037" t="s">
        <v>2555</v>
      </c>
    </row>
    <row r="24" spans="1:13">
      <c r="A24" s="3014" t="s">
        <v>2515</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2553</v>
      </c>
      <c r="M24" s="3037">
        <v>10</v>
      </c>
    </row>
    <row r="25" spans="1:13">
      <c r="A25" s="3014" t="s">
        <v>2516</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2557</v>
      </c>
      <c r="M25" s="3037">
        <v>8</v>
      </c>
    </row>
    <row r="26" spans="1:13">
      <c r="A26" s="3019"/>
      <c r="B26" s="3020"/>
      <c r="C26" s="3020"/>
      <c r="D26" s="3020"/>
      <c r="E26" s="3020"/>
      <c r="F26" s="3020"/>
      <c r="G26" s="3021"/>
      <c r="I26" s="3037">
        <v>30</v>
      </c>
      <c r="J26" s="3037">
        <v>90.5</v>
      </c>
      <c r="K26" s="3037">
        <f t="shared" si="2"/>
        <v>4.2000000000000028</v>
      </c>
      <c r="L26" s="3037" t="s">
        <v>2558</v>
      </c>
      <c r="M26" s="3037">
        <v>5</v>
      </c>
    </row>
    <row r="27" spans="1:13">
      <c r="A27" s="3019" t="s">
        <v>2517</v>
      </c>
      <c r="B27" s="3020"/>
      <c r="C27" s="3020"/>
      <c r="D27" s="3020"/>
      <c r="E27" s="3020"/>
      <c r="F27" s="3020"/>
      <c r="G27" s="3021"/>
      <c r="I27" s="3037">
        <v>35</v>
      </c>
      <c r="J27" s="3037">
        <v>93.8</v>
      </c>
      <c r="K27" s="3037">
        <f t="shared" si="2"/>
        <v>3.2999999999999972</v>
      </c>
      <c r="L27" s="3037" t="s">
        <v>2559</v>
      </c>
      <c r="M27" s="3037">
        <v>3</v>
      </c>
    </row>
    <row r="28" spans="1:13">
      <c r="A28" s="3019" t="s">
        <v>2518</v>
      </c>
      <c r="B28" s="3020"/>
      <c r="C28" s="3020"/>
      <c r="D28" s="3020"/>
      <c r="E28" s="3020"/>
      <c r="F28" s="3020"/>
      <c r="G28" s="3021"/>
      <c r="I28" s="3037">
        <v>40</v>
      </c>
      <c r="J28" s="3037">
        <v>96.4</v>
      </c>
      <c r="K28" s="3037">
        <f t="shared" si="2"/>
        <v>2.6000000000000085</v>
      </c>
      <c r="L28" s="3037" t="s">
        <v>2560</v>
      </c>
      <c r="M28" s="3037">
        <v>2</v>
      </c>
    </row>
    <row r="29" spans="1:13">
      <c r="A29" s="3019" t="s">
        <v>2519</v>
      </c>
      <c r="B29" s="3020"/>
      <c r="C29" s="3020"/>
      <c r="D29" s="3020"/>
      <c r="E29" s="3020"/>
      <c r="F29" s="3020"/>
      <c r="G29" s="3021"/>
      <c r="I29" s="3037">
        <v>45</v>
      </c>
      <c r="J29" s="3037">
        <v>98.4</v>
      </c>
      <c r="K29" s="3037">
        <f t="shared" si="2"/>
        <v>2</v>
      </c>
    </row>
    <row r="30" spans="1:13">
      <c r="A30" s="3019" t="s">
        <v>2520</v>
      </c>
      <c r="B30" s="3020"/>
      <c r="C30" s="3020"/>
      <c r="D30" s="3020"/>
      <c r="E30" s="3020"/>
      <c r="F30" s="3020"/>
      <c r="G30" s="3021"/>
      <c r="I30" s="3037">
        <v>50</v>
      </c>
      <c r="J30" s="3037">
        <v>100</v>
      </c>
      <c r="K30" s="3037">
        <f t="shared" si="2"/>
        <v>1.5999999999999943</v>
      </c>
    </row>
    <row r="31" spans="1:13">
      <c r="A31" s="3019" t="s">
        <v>2521</v>
      </c>
      <c r="B31" s="3020"/>
      <c r="C31" s="3020"/>
      <c r="D31" s="3020"/>
      <c r="E31" s="3020"/>
      <c r="F31" s="3020"/>
      <c r="G31" s="3021"/>
      <c r="I31" s="3037" t="s">
        <v>2552</v>
      </c>
    </row>
    <row r="32" spans="1:13">
      <c r="A32" s="3019" t="s">
        <v>2522</v>
      </c>
      <c r="B32" s="3020"/>
      <c r="C32" s="3020"/>
      <c r="D32" s="3020"/>
      <c r="E32" s="3020"/>
      <c r="F32" s="3020"/>
      <c r="G32" s="3021"/>
    </row>
    <row r="33" spans="1:13">
      <c r="A33" s="3019" t="s">
        <v>2523</v>
      </c>
      <c r="B33" s="3020"/>
      <c r="C33" s="3020"/>
      <c r="D33" s="3020"/>
      <c r="E33" s="3020"/>
      <c r="F33" s="3020"/>
      <c r="G33" s="3021"/>
      <c r="I33" s="3037" t="s">
        <v>2551</v>
      </c>
      <c r="J33" s="3037" t="s">
        <v>2561</v>
      </c>
    </row>
    <row r="34" spans="1:13">
      <c r="A34" s="3019" t="s">
        <v>2524</v>
      </c>
      <c r="B34" s="3020"/>
      <c r="C34" s="3020"/>
      <c r="D34" s="3020"/>
      <c r="E34" s="3020"/>
      <c r="F34" s="3020"/>
      <c r="G34" s="3021"/>
      <c r="I34" s="3037">
        <v>5</v>
      </c>
      <c r="J34" s="3037">
        <v>55.1</v>
      </c>
    </row>
    <row r="35" spans="1:13">
      <c r="A35" s="3019" t="s">
        <v>2525</v>
      </c>
      <c r="B35" s="3020"/>
      <c r="C35" s="3020"/>
      <c r="D35" s="3020"/>
      <c r="E35" s="3020"/>
      <c r="F35" s="3020"/>
      <c r="G35" s="3021"/>
      <c r="I35" s="3037">
        <v>10</v>
      </c>
      <c r="J35" s="3037">
        <v>67</v>
      </c>
      <c r="K35" s="3037">
        <f>J35-J34</f>
        <v>11.899999999999999</v>
      </c>
    </row>
    <row r="36" spans="1:13">
      <c r="A36" s="3019" t="s">
        <v>2526</v>
      </c>
      <c r="B36" s="3020"/>
      <c r="C36" s="3020"/>
      <c r="D36" s="3020"/>
      <c r="E36" s="3020"/>
      <c r="F36" s="3020"/>
      <c r="G36" s="3021"/>
      <c r="I36" s="3037">
        <v>15</v>
      </c>
      <c r="J36" s="3037">
        <v>76.3</v>
      </c>
      <c r="K36" s="3037">
        <f t="shared" ref="K36:K41" si="3">J36-J35</f>
        <v>9.2999999999999972</v>
      </c>
      <c r="L36" s="3037" t="s">
        <v>2554</v>
      </c>
      <c r="M36" s="3037" t="s">
        <v>2555</v>
      </c>
    </row>
    <row r="37" spans="1:13">
      <c r="A37" s="3019" t="s">
        <v>2527</v>
      </c>
      <c r="B37" s="3020"/>
      <c r="C37" s="3020"/>
      <c r="D37" s="3020"/>
      <c r="E37" s="3020"/>
      <c r="F37" s="3020"/>
      <c r="G37" s="3021"/>
      <c r="I37" s="3037">
        <v>20</v>
      </c>
      <c r="J37" s="3037">
        <v>83.6</v>
      </c>
      <c r="K37" s="3037">
        <f t="shared" si="3"/>
        <v>7.2999999999999972</v>
      </c>
      <c r="L37" s="3037" t="s">
        <v>2553</v>
      </c>
      <c r="M37" s="3037">
        <v>10</v>
      </c>
    </row>
    <row r="38" spans="1:13">
      <c r="A38" s="3019" t="s">
        <v>2528</v>
      </c>
      <c r="B38" s="3020"/>
      <c r="C38" s="3020"/>
      <c r="D38" s="3020"/>
      <c r="E38" s="3020"/>
      <c r="F38" s="3020"/>
      <c r="G38" s="3021"/>
      <c r="I38" s="3037">
        <v>25</v>
      </c>
      <c r="J38" s="3037">
        <v>89.3</v>
      </c>
      <c r="K38" s="3037">
        <f t="shared" si="3"/>
        <v>5.7000000000000028</v>
      </c>
      <c r="L38" s="3037" t="s">
        <v>2557</v>
      </c>
      <c r="M38" s="3037">
        <v>8</v>
      </c>
    </row>
    <row r="39" spans="1:13">
      <c r="A39" s="3019"/>
      <c r="B39" s="3020"/>
      <c r="C39" s="3020"/>
      <c r="D39" s="3020"/>
      <c r="E39" s="3020"/>
      <c r="F39" s="3020"/>
      <c r="G39" s="3021"/>
      <c r="I39" s="3037">
        <v>30</v>
      </c>
      <c r="J39" s="3037">
        <v>93.8</v>
      </c>
      <c r="K39" s="3037">
        <f t="shared" si="3"/>
        <v>4.5</v>
      </c>
      <c r="L39" s="3037" t="s">
        <v>2558</v>
      </c>
      <c r="M39" s="3037">
        <v>6</v>
      </c>
    </row>
    <row r="40" spans="1:13">
      <c r="A40" s="3022" t="s">
        <v>2529</v>
      </c>
      <c r="B40" s="3023"/>
      <c r="C40" s="3023"/>
      <c r="D40" s="3023"/>
      <c r="E40" s="3023"/>
      <c r="F40" s="3023"/>
      <c r="G40" s="3024"/>
      <c r="I40" s="3037">
        <v>35</v>
      </c>
      <c r="J40" s="3037">
        <v>97.2</v>
      </c>
      <c r="K40" s="3037">
        <f t="shared" si="3"/>
        <v>3.4000000000000057</v>
      </c>
      <c r="L40" s="3037" t="s">
        <v>2559</v>
      </c>
      <c r="M40" s="3037">
        <v>3</v>
      </c>
    </row>
    <row r="41" spans="1:13">
      <c r="A41" s="3025" t="s">
        <v>2530</v>
      </c>
      <c r="B41" s="3026" t="s">
        <v>2531</v>
      </c>
      <c r="C41" s="3027" t="s">
        <v>2532</v>
      </c>
      <c r="D41" s="3027" t="s">
        <v>2533</v>
      </c>
      <c r="E41" s="3028"/>
      <c r="F41" s="3029"/>
      <c r="G41" s="3030"/>
      <c r="I41" s="3037">
        <v>40</v>
      </c>
      <c r="J41" s="3037">
        <v>100</v>
      </c>
      <c r="K41" s="3037">
        <f t="shared" si="3"/>
        <v>2.7999999999999972</v>
      </c>
    </row>
    <row r="42" spans="1:13">
      <c r="A42" s="3025" t="s">
        <v>2534</v>
      </c>
      <c r="B42" s="3026" t="s">
        <v>2535</v>
      </c>
      <c r="C42" s="3027" t="s">
        <v>2536</v>
      </c>
      <c r="D42" s="3031" t="s">
        <v>2537</v>
      </c>
      <c r="E42" s="3023" t="s">
        <v>2538</v>
      </c>
      <c r="F42" s="3023"/>
      <c r="G42" s="3024"/>
    </row>
    <row r="43" spans="1:13">
      <c r="A43" s="3025" t="s">
        <v>2539</v>
      </c>
      <c r="B43" s="3026" t="s">
        <v>2540</v>
      </c>
      <c r="C43" s="3027" t="s">
        <v>2541</v>
      </c>
      <c r="D43" s="3027" t="s">
        <v>2542</v>
      </c>
      <c r="E43" s="3028" t="s">
        <v>2543</v>
      </c>
      <c r="F43" s="3029"/>
      <c r="G43" s="3030"/>
      <c r="I43" s="3037" t="s">
        <v>2551</v>
      </c>
      <c r="J43" s="3037" t="s">
        <v>2562</v>
      </c>
    </row>
    <row r="44" spans="1:13">
      <c r="A44" s="3025" t="s">
        <v>2544</v>
      </c>
      <c r="B44" s="3026" t="s">
        <v>2545</v>
      </c>
      <c r="C44" s="3027" t="s">
        <v>2546</v>
      </c>
      <c r="D44" s="3031">
        <v>0.5</v>
      </c>
      <c r="E44" s="3028" t="s">
        <v>2547</v>
      </c>
      <c r="F44" s="3029"/>
      <c r="G44" s="3030"/>
      <c r="I44" s="3037">
        <v>30</v>
      </c>
      <c r="J44" s="3037">
        <v>81.7</v>
      </c>
    </row>
    <row r="45" spans="1:13" ht="14.25" thickBot="1">
      <c r="A45" s="3032" t="s">
        <v>2548</v>
      </c>
      <c r="B45" s="3033" t="s">
        <v>2535</v>
      </c>
      <c r="C45" s="3034" t="s">
        <v>2535</v>
      </c>
      <c r="D45" s="3034" t="s">
        <v>2549</v>
      </c>
      <c r="E45" s="3035" t="s">
        <v>2550</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K18" sqref="K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8" customWidth="1"/>
    <col min="12" max="13" width="10" style="260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2151</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2152</v>
      </c>
      <c r="B2" s="2371"/>
      <c r="C2" s="2372"/>
      <c r="D2" s="2650"/>
      <c r="E2" s="2642"/>
      <c r="F2" s="2642"/>
      <c r="G2" s="2643"/>
      <c r="H2" s="2643"/>
      <c r="I2" s="264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2153</v>
      </c>
      <c r="B3" s="2373">
        <v>45420</v>
      </c>
      <c r="C3" s="2374" t="s">
        <v>2154</v>
      </c>
      <c r="D3" s="2373">
        <v>45420</v>
      </c>
      <c r="E3" s="2643"/>
      <c r="F3" s="2643"/>
      <c r="G3" s="2643"/>
      <c r="H3" s="2643"/>
      <c r="I3" s="264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2155</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2156</v>
      </c>
      <c r="B5" s="2380"/>
      <c r="C5" s="2381"/>
      <c r="D5" s="2382"/>
      <c r="E5" s="2644"/>
      <c r="F5" s="2644"/>
      <c r="G5" s="2644"/>
      <c r="H5" s="2644"/>
      <c r="I5" s="264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2157</v>
      </c>
      <c r="B6" s="2384"/>
      <c r="C6" s="2385"/>
      <c r="D6" s="2386"/>
      <c r="E6" s="2642"/>
      <c r="F6" s="2644"/>
      <c r="G6" s="2644"/>
      <c r="H6" s="2644"/>
      <c r="I6" s="2644"/>
      <c r="J6" s="2439"/>
      <c r="K6" s="2595" t="str">
        <f>IF(COUNTIF(B6,"*上海银行*"),"上海银行","")</f>
        <v/>
      </c>
      <c r="L6" s="2593"/>
      <c r="M6" s="2593"/>
      <c r="N6" s="2439"/>
      <c r="O6" s="2450"/>
      <c r="P6" s="2439"/>
      <c r="Q6" s="2439"/>
      <c r="R6" s="2439"/>
    </row>
    <row r="7" spans="1:30">
      <c r="A7" s="2383" t="s">
        <v>2158</v>
      </c>
      <c r="B7" s="2387"/>
      <c r="C7" s="2385"/>
      <c r="D7" s="2386"/>
      <c r="E7" s="2642"/>
      <c r="F7" s="2644"/>
      <c r="G7" s="2644"/>
      <c r="H7" s="2644"/>
      <c r="I7" s="2644"/>
      <c r="J7" s="2439"/>
      <c r="K7" s="2596"/>
      <c r="L7" s="2593"/>
      <c r="M7" s="2593"/>
      <c r="N7" s="2439"/>
      <c r="O7" s="2450"/>
      <c r="P7" s="2439"/>
      <c r="Q7" s="2439"/>
      <c r="R7" s="2439"/>
    </row>
    <row r="8" spans="1:30">
      <c r="A8" s="2388" t="s">
        <v>2159</v>
      </c>
      <c r="B8" s="2389" t="s">
        <v>3363</v>
      </c>
      <c r="C8" s="2390"/>
      <c r="D8" s="3499" t="s">
        <v>2160</v>
      </c>
      <c r="E8" s="2391" t="s">
        <v>3367</v>
      </c>
      <c r="F8" s="2392"/>
      <c r="G8" s="2643"/>
      <c r="H8" s="2643"/>
      <c r="I8" s="2643"/>
      <c r="J8" s="2439"/>
      <c r="K8" s="2594"/>
      <c r="L8" s="2593"/>
      <c r="M8" s="2593"/>
      <c r="N8" s="2439"/>
      <c r="O8" s="2450"/>
      <c r="P8" s="2439"/>
      <c r="Q8" s="2439"/>
      <c r="R8" s="2439"/>
    </row>
    <row r="9" spans="1:30" ht="13.5" thickBot="1">
      <c r="A9" s="2393" t="s">
        <v>2161</v>
      </c>
      <c r="B9" s="2394" t="s">
        <v>3367</v>
      </c>
      <c r="C9" s="2395"/>
      <c r="D9" s="3500"/>
      <c r="E9" s="2394" t="s">
        <v>587</v>
      </c>
      <c r="F9" s="2396"/>
      <c r="G9" s="2645"/>
      <c r="H9" s="2645"/>
      <c r="I9" s="2645"/>
      <c r="J9" s="2439"/>
      <c r="K9" s="2596"/>
      <c r="L9" s="2593"/>
      <c r="M9" s="2593"/>
      <c r="N9" s="2439"/>
      <c r="O9" s="2450"/>
      <c r="P9" s="2439"/>
      <c r="Q9" s="2439"/>
      <c r="R9" s="2439"/>
    </row>
    <row r="10" spans="1:30" ht="13.5" thickTop="1">
      <c r="A10" s="2397" t="s">
        <v>2162</v>
      </c>
      <c r="B10" s="2398" t="s">
        <v>3368</v>
      </c>
      <c r="C10" s="2399"/>
      <c r="D10" s="2382"/>
      <c r="E10" s="2400" t="s">
        <v>2163</v>
      </c>
      <c r="F10" s="2646"/>
      <c r="G10" s="2647"/>
      <c r="H10" s="2648"/>
      <c r="I10" s="2649"/>
      <c r="J10" s="2439"/>
      <c r="K10" s="2596"/>
      <c r="L10" s="2593"/>
      <c r="M10" s="2593"/>
      <c r="N10" s="2439"/>
      <c r="O10" s="2450"/>
      <c r="P10" s="2439"/>
      <c r="Q10" s="2439"/>
      <c r="R10" s="2439"/>
    </row>
    <row r="11" spans="1:30">
      <c r="A11" s="2401" t="s">
        <v>2164</v>
      </c>
      <c r="B11" s="2402" t="s">
        <v>3369</v>
      </c>
      <c r="C11" s="2403"/>
      <c r="D11" s="2404"/>
      <c r="E11" s="2370"/>
      <c r="F11" s="2370"/>
      <c r="G11" s="2370"/>
      <c r="H11" s="2370"/>
      <c r="I11" s="2370"/>
      <c r="J11" s="3040"/>
      <c r="K11" s="3039"/>
      <c r="L11" s="2593"/>
      <c r="M11" s="2593"/>
      <c r="N11" s="2439"/>
      <c r="O11" s="2450"/>
      <c r="P11" s="2439"/>
      <c r="Q11" s="2439"/>
      <c r="R11" s="2439"/>
    </row>
    <row r="12" spans="1:30">
      <c r="A12" s="2405" t="s">
        <v>2165</v>
      </c>
      <c r="B12" s="323" t="s">
        <v>2166</v>
      </c>
      <c r="C12" s="2406" t="s">
        <v>2167</v>
      </c>
      <c r="D12" s="2406" t="s">
        <v>2168</v>
      </c>
      <c r="E12" s="2406" t="s">
        <v>2169</v>
      </c>
      <c r="F12" s="2406" t="s">
        <v>2170</v>
      </c>
      <c r="G12" s="2406" t="s">
        <v>2171</v>
      </c>
      <c r="H12" s="2406" t="s">
        <v>2172</v>
      </c>
      <c r="I12" s="3038" t="s">
        <v>2563</v>
      </c>
      <c r="J12" s="3041"/>
      <c r="K12" s="2593"/>
      <c r="L12" s="2593"/>
      <c r="M12" s="2439"/>
      <c r="N12" s="2450"/>
      <c r="O12" s="2439"/>
      <c r="P12" s="2439"/>
      <c r="Q12" s="2439"/>
      <c r="AD12" s="1745"/>
    </row>
    <row r="13" spans="1:30">
      <c r="A13" s="3402" t="s">
        <v>3319</v>
      </c>
      <c r="B13" s="2407" t="s">
        <v>2173</v>
      </c>
      <c r="C13" s="856"/>
      <c r="D13" s="856"/>
      <c r="E13" s="856"/>
      <c r="F13" s="856"/>
      <c r="G13" s="856"/>
      <c r="H13" s="856">
        <v>58802</v>
      </c>
      <c r="I13" s="856"/>
      <c r="J13" s="3041"/>
      <c r="K13" s="2593"/>
      <c r="L13" s="2593"/>
      <c r="M13" s="2439"/>
      <c r="N13" s="2450"/>
      <c r="O13" s="2439"/>
      <c r="P13" s="2439"/>
      <c r="Q13" s="2439"/>
      <c r="AD13" s="1745"/>
    </row>
    <row r="14" spans="1:30">
      <c r="A14" s="1081"/>
      <c r="B14" s="2407" t="s">
        <v>2174</v>
      </c>
      <c r="C14" s="2408"/>
      <c r="D14" s="2408"/>
      <c r="E14" s="2408"/>
      <c r="F14" s="2408"/>
      <c r="G14" s="2408"/>
      <c r="H14" s="2408">
        <v>50</v>
      </c>
      <c r="I14" s="2408"/>
      <c r="J14" s="3042"/>
      <c r="K14" s="2593"/>
      <c r="L14" s="2593"/>
      <c r="M14" s="2439"/>
      <c r="N14" s="2450"/>
      <c r="O14" s="2439"/>
      <c r="P14" s="2439"/>
      <c r="Q14" s="2439"/>
      <c r="AD14" s="1745"/>
    </row>
    <row r="15" spans="1:30">
      <c r="A15" s="320"/>
      <c r="B15" s="2409" t="s">
        <v>2175</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36.659999999999997</v>
      </c>
      <c r="I15" s="2410" t="str">
        <f>IF(A13="出让",IF(I13="","",ROUNDDOWN(MIN((I13-$D$3)/365,I14),2)),I14)</f>
        <v/>
      </c>
      <c r="J15" s="3043"/>
      <c r="K15" s="2451"/>
      <c r="L15" s="2451"/>
      <c r="M15" s="2509"/>
      <c r="N15" s="2451"/>
      <c r="O15" s="2509"/>
      <c r="P15" s="2439"/>
      <c r="Q15" s="2439"/>
      <c r="AD15" s="1745"/>
    </row>
    <row r="16" spans="1:30">
      <c r="A16" s="2400" t="s">
        <v>2176</v>
      </c>
      <c r="B16" s="3506"/>
      <c r="C16" s="3507"/>
      <c r="D16" s="3508"/>
      <c r="E16" s="2413" t="s">
        <v>2177</v>
      </c>
      <c r="F16" s="3509"/>
      <c r="G16" s="3510"/>
      <c r="H16" s="3510"/>
      <c r="I16" s="3511"/>
      <c r="J16" s="2439"/>
      <c r="K16" s="2597"/>
      <c r="L16" s="2451"/>
      <c r="M16" s="2451"/>
      <c r="N16" s="2509"/>
      <c r="O16" s="2451"/>
      <c r="P16" s="2509"/>
      <c r="Q16" s="2439"/>
      <c r="R16" s="2439"/>
    </row>
    <row r="17" spans="1:28">
      <c r="A17" s="313" t="s">
        <v>2178</v>
      </c>
      <c r="B17" s="302" t="s">
        <v>2179</v>
      </c>
      <c r="C17" s="8">
        <f>'数据-汇总表'!E3</f>
        <v>108132.23000000003</v>
      </c>
      <c r="D17" s="2322" t="s">
        <v>2180</v>
      </c>
      <c r="E17" s="3512" t="s">
        <v>2181</v>
      </c>
      <c r="F17" s="3513"/>
      <c r="G17" s="3513"/>
      <c r="H17" s="3513"/>
      <c r="I17" s="3514"/>
      <c r="J17" s="2439"/>
      <c r="K17" s="2598"/>
      <c r="L17" s="2451"/>
      <c r="M17" s="2451"/>
      <c r="N17" s="2509"/>
      <c r="O17" s="2451"/>
      <c r="P17" s="2509"/>
      <c r="Q17" s="2439"/>
      <c r="R17" s="2439"/>
      <c r="S17" s="2439"/>
      <c r="T17" s="2439"/>
      <c r="U17" s="2439"/>
      <c r="V17" s="2439"/>
    </row>
    <row r="18" spans="1:28" ht="24.75" thickBot="1">
      <c r="A18" s="2414" t="s">
        <v>2182</v>
      </c>
      <c r="B18" s="1090" t="s">
        <v>2183</v>
      </c>
      <c r="C18" s="2415">
        <f>'数据-汇总表'!D3</f>
        <v>0</v>
      </c>
      <c r="D18" s="1092" t="s">
        <v>2184</v>
      </c>
      <c r="E18" s="3515" t="s">
        <v>2185</v>
      </c>
      <c r="F18" s="3516"/>
      <c r="G18" s="3516"/>
      <c r="H18" s="3516"/>
      <c r="I18" s="3517"/>
      <c r="J18" s="2439"/>
      <c r="K18" s="2598"/>
      <c r="L18" s="2451"/>
      <c r="M18" s="2451"/>
      <c r="N18" s="2509"/>
      <c r="O18" s="2451"/>
      <c r="P18" s="2509"/>
      <c r="Q18" s="2439"/>
      <c r="R18" s="2439"/>
      <c r="S18" s="2439"/>
      <c r="T18" s="2439"/>
      <c r="U18" s="2439"/>
      <c r="V18" s="2439"/>
    </row>
    <row r="19" spans="1:28" ht="37.5" thickTop="1" thickBot="1">
      <c r="A19" s="327" t="s">
        <v>1055</v>
      </c>
      <c r="B19" s="307" t="s">
        <v>2186</v>
      </c>
      <c r="C19" s="1563"/>
      <c r="D19" s="1564" t="s">
        <v>2187</v>
      </c>
      <c r="E19" s="1565"/>
      <c r="F19" s="1566" t="str">
        <f>IF(AND(C19="是",E19="否"),"是否提供他项权证或相关说明","")</f>
        <v/>
      </c>
      <c r="G19" s="1567"/>
      <c r="H19" s="2644"/>
      <c r="I19" s="2644"/>
      <c r="J19" s="2439"/>
      <c r="K19" s="2596"/>
      <c r="L19" s="2593"/>
      <c r="M19" s="2593"/>
      <c r="N19" s="2509"/>
      <c r="O19" s="2451"/>
      <c r="P19" s="2509"/>
      <c r="Q19" s="2439"/>
      <c r="R19" s="2439"/>
      <c r="S19" s="2439"/>
      <c r="T19" s="2439"/>
      <c r="U19" s="2439"/>
      <c r="V19" s="2439"/>
    </row>
    <row r="20" spans="1:28">
      <c r="A20" s="2612" t="s">
        <v>2188</v>
      </c>
      <c r="B20" s="3502" t="s">
        <v>2189</v>
      </c>
      <c r="C20" s="3503"/>
      <c r="D20" s="3504" t="s">
        <v>2190</v>
      </c>
      <c r="E20" s="3505"/>
      <c r="F20" s="2627" t="s">
        <v>1056</v>
      </c>
      <c r="G20" s="2644"/>
      <c r="H20" s="2644"/>
      <c r="I20" s="2644"/>
      <c r="J20" s="2439"/>
      <c r="K20" s="3501" t="s">
        <v>2191</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12"/>
      <c r="B21" s="2613" t="s">
        <v>2192</v>
      </c>
      <c r="C21" s="2614" t="s">
        <v>1057</v>
      </c>
      <c r="D21" s="1568" t="s">
        <v>2193</v>
      </c>
      <c r="E21" s="2615" t="s">
        <v>1057</v>
      </c>
      <c r="F21" s="2628"/>
      <c r="G21" s="2644"/>
      <c r="H21" s="2644"/>
      <c r="I21" s="264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12"/>
      <c r="B22" s="2616" t="s">
        <v>2194</v>
      </c>
      <c r="C22" s="2614" t="s">
        <v>1058</v>
      </c>
      <c r="D22" s="2643"/>
      <c r="E22" s="2643"/>
      <c r="F22" s="2643"/>
      <c r="G22" s="2644"/>
      <c r="H22" s="2644"/>
      <c r="I22" s="264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7" t="s">
        <v>2195</v>
      </c>
      <c r="B23" s="2502" t="s">
        <v>2196</v>
      </c>
      <c r="C23" s="2618"/>
      <c r="D23" s="2619" t="s">
        <v>2196</v>
      </c>
      <c r="E23" s="2620"/>
      <c r="F23" s="2643"/>
      <c r="G23" s="2644"/>
      <c r="H23" s="2644"/>
      <c r="I23" s="2644"/>
      <c r="J23" s="2439"/>
      <c r="K23" s="2599"/>
      <c r="L23" s="2475"/>
      <c r="M23" s="2593"/>
      <c r="N23" s="2509"/>
      <c r="O23" s="2451"/>
      <c r="P23" s="2509"/>
      <c r="Q23" s="2439"/>
      <c r="R23" s="2439"/>
      <c r="S23" s="2439"/>
      <c r="T23" s="2439"/>
      <c r="U23" s="2439"/>
      <c r="V23" s="2439"/>
    </row>
    <row r="24" spans="1:28">
      <c r="A24" s="2617"/>
      <c r="B24" s="2502" t="s">
        <v>1059</v>
      </c>
      <c r="C24" s="2621"/>
      <c r="D24" s="2617" t="s">
        <v>1059</v>
      </c>
      <c r="E24" s="2622"/>
      <c r="F24" s="2643"/>
      <c r="G24" s="2644"/>
      <c r="H24" s="2644"/>
      <c r="I24" s="2644"/>
      <c r="J24" s="2439"/>
      <c r="K24" s="2599"/>
      <c r="L24" s="2475"/>
      <c r="M24" s="2593"/>
      <c r="N24" s="2509"/>
      <c r="O24" s="2451"/>
      <c r="P24" s="2509"/>
      <c r="Q24" s="2439"/>
      <c r="R24" s="2439"/>
      <c r="S24" s="2439"/>
      <c r="T24" s="2439"/>
      <c r="U24" s="2439"/>
      <c r="V24" s="2439"/>
    </row>
    <row r="25" spans="1:28">
      <c r="A25" s="2617"/>
      <c r="B25" s="2502" t="s">
        <v>1060</v>
      </c>
      <c r="C25" s="2621"/>
      <c r="D25" s="2617" t="s">
        <v>1060</v>
      </c>
      <c r="E25" s="2622"/>
      <c r="F25" s="2643"/>
      <c r="G25" s="2644"/>
      <c r="H25" s="2644"/>
      <c r="I25" s="2644"/>
      <c r="J25" s="2439"/>
      <c r="K25" s="2596"/>
      <c r="L25" s="2593"/>
      <c r="M25" s="2593"/>
      <c r="N25" s="2509"/>
      <c r="O25" s="2451"/>
      <c r="P25" s="2509"/>
      <c r="Q25" s="2439"/>
      <c r="R25" s="2439"/>
      <c r="S25" s="2439"/>
      <c r="T25" s="2439"/>
      <c r="U25" s="2439"/>
      <c r="V25" s="2439"/>
    </row>
    <row r="26" spans="1:28" ht="13.5" thickBot="1">
      <c r="A26" s="2623"/>
      <c r="B26" s="2624" t="s">
        <v>1061</v>
      </c>
      <c r="C26" s="2625"/>
      <c r="D26" s="2623" t="s">
        <v>1061</v>
      </c>
      <c r="E26" s="2626"/>
      <c r="F26" s="2645"/>
      <c r="G26" s="2645"/>
      <c r="H26" s="2645"/>
      <c r="I26" s="2645"/>
      <c r="J26" s="2439"/>
      <c r="K26" s="2596"/>
      <c r="L26" s="2593"/>
      <c r="M26" s="2593"/>
      <c r="N26" s="2509"/>
      <c r="O26" s="2451"/>
      <c r="P26" s="2509"/>
      <c r="Q26" s="2439"/>
      <c r="R26" s="2439"/>
      <c r="S26" s="2439"/>
      <c r="T26" s="2439"/>
      <c r="U26" s="2439"/>
      <c r="V26" s="2439"/>
    </row>
    <row r="27" spans="1:28" ht="13.5" thickTop="1">
      <c r="A27" s="3519" t="s">
        <v>2197</v>
      </c>
      <c r="B27" s="320" t="s">
        <v>2198</v>
      </c>
      <c r="C27" s="2416"/>
      <c r="D27" s="2417"/>
      <c r="E27" s="2644"/>
      <c r="F27" s="2644"/>
      <c r="G27" s="2644"/>
      <c r="H27" s="2644"/>
      <c r="I27" s="2644"/>
      <c r="J27" s="2439"/>
      <c r="K27" s="2597"/>
      <c r="L27" s="2451"/>
      <c r="M27" s="2451"/>
      <c r="N27" s="2509"/>
      <c r="O27" s="2451"/>
      <c r="P27" s="2509"/>
      <c r="Q27" s="2439"/>
      <c r="R27" s="2439"/>
      <c r="S27" s="2439"/>
      <c r="T27" s="2439"/>
      <c r="U27" s="2439"/>
      <c r="V27" s="2439"/>
    </row>
    <row r="28" spans="1:28">
      <c r="A28" s="3519"/>
      <c r="B28" s="302" t="s">
        <v>2199</v>
      </c>
      <c r="C28" s="2418"/>
      <c r="D28" s="2419"/>
      <c r="E28" s="2644"/>
      <c r="F28" s="2644"/>
      <c r="G28" s="2644"/>
      <c r="H28" s="2644"/>
      <c r="I28" s="2644"/>
      <c r="J28" s="2439"/>
      <c r="K28" s="2596"/>
      <c r="L28" s="2593"/>
      <c r="M28" s="2593"/>
      <c r="N28" s="2439"/>
      <c r="O28" s="2450"/>
      <c r="P28" s="2439"/>
      <c r="Q28" s="2439"/>
      <c r="R28" s="2439"/>
      <c r="S28" s="2439"/>
      <c r="T28" s="2439"/>
      <c r="U28" s="2439"/>
      <c r="V28" s="2439"/>
    </row>
    <row r="29" spans="1:28">
      <c r="A29" s="3519"/>
      <c r="B29" s="302" t="s">
        <v>2200</v>
      </c>
      <c r="C29" s="2420"/>
      <c r="D29" s="2421"/>
      <c r="E29" s="2644"/>
      <c r="F29" s="2644"/>
      <c r="G29" s="2644"/>
      <c r="H29" s="2644"/>
      <c r="I29" s="2644"/>
      <c r="J29" s="2439"/>
      <c r="K29" s="2596"/>
      <c r="L29" s="2593"/>
      <c r="M29" s="2593"/>
      <c r="N29" s="2439"/>
      <c r="O29" s="2450"/>
      <c r="P29" s="2439"/>
      <c r="Q29" s="2439"/>
      <c r="R29" s="2439"/>
      <c r="S29" s="2439"/>
      <c r="T29" s="2439"/>
      <c r="U29" s="2439"/>
      <c r="V29" s="2439"/>
    </row>
    <row r="30" spans="1:28">
      <c r="A30" s="3520"/>
      <c r="B30" s="302" t="s">
        <v>2201</v>
      </c>
      <c r="C30" s="3521"/>
      <c r="D30" s="3522"/>
      <c r="E30" s="2644"/>
      <c r="F30" s="2644"/>
      <c r="G30" s="2644"/>
      <c r="H30" s="2644"/>
      <c r="I30" s="2644"/>
      <c r="J30" s="2439"/>
      <c r="K30" s="2596"/>
      <c r="L30" s="2593"/>
      <c r="M30" s="2593"/>
      <c r="N30" s="2439"/>
      <c r="O30" s="2450"/>
      <c r="P30" s="2439"/>
      <c r="Q30" s="2439"/>
      <c r="R30" s="2439"/>
      <c r="S30" s="2439"/>
      <c r="T30" s="2439"/>
      <c r="U30" s="2439"/>
      <c r="V30" s="2439"/>
    </row>
    <row r="31" spans="1:28">
      <c r="A31" s="3523" t="s">
        <v>2202</v>
      </c>
      <c r="B31" s="2422"/>
      <c r="C31" s="2323" t="str">
        <f>IF(B31="现房","成新及维护状况正常否",IF(B31="在建","工程状态是否正常",IF(B31="土地","是否闲置","-")))</f>
        <v>-</v>
      </c>
      <c r="D31" s="1373"/>
      <c r="E31" s="2423"/>
      <c r="F31" s="2644"/>
      <c r="G31" s="2644"/>
      <c r="H31" s="2644"/>
      <c r="I31" s="2644"/>
      <c r="J31" s="2439"/>
      <c r="K31" s="2595"/>
      <c r="L31" s="2593"/>
      <c r="M31" s="259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44"/>
      <c r="G32" s="2644"/>
      <c r="H32" s="2644"/>
      <c r="I32" s="2644"/>
      <c r="J32" s="2439"/>
      <c r="K32" s="2596"/>
      <c r="L32" s="2593"/>
      <c r="M32" s="259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44"/>
      <c r="G33" s="2644"/>
      <c r="H33" s="2644"/>
      <c r="I33" s="2644"/>
      <c r="J33" s="2439"/>
      <c r="K33" s="2596"/>
      <c r="L33" s="2593"/>
      <c r="M33" s="2593"/>
      <c r="N33" s="2439"/>
      <c r="O33" s="2450"/>
      <c r="P33" s="2439"/>
      <c r="Q33" s="2439"/>
      <c r="R33" s="2439"/>
      <c r="S33" s="2439"/>
      <c r="T33" s="2439"/>
      <c r="U33" s="2439"/>
      <c r="V33" s="2439"/>
    </row>
    <row r="34" spans="1:30">
      <c r="A34" s="302" t="s">
        <v>2203</v>
      </c>
      <c r="B34" s="2026"/>
      <c r="C34" s="2026"/>
      <c r="D34" s="2026"/>
      <c r="E34" s="2026"/>
      <c r="F34" s="2026"/>
      <c r="G34" s="2026"/>
      <c r="H34" s="2026"/>
      <c r="I34" s="2644"/>
      <c r="J34" s="2439"/>
      <c r="K34" s="2427">
        <f>COUNTIF(B34:H34,"——")</f>
        <v>0</v>
      </c>
      <c r="L34" s="323" t="s">
        <v>2204</v>
      </c>
      <c r="M34" s="323" t="s">
        <v>2205</v>
      </c>
      <c r="N34" s="323" t="s">
        <v>2206</v>
      </c>
      <c r="O34" s="323" t="s">
        <v>2207</v>
      </c>
      <c r="P34" s="323" t="s">
        <v>2208</v>
      </c>
      <c r="Q34" s="323" t="s">
        <v>2209</v>
      </c>
      <c r="R34" s="323" t="s">
        <v>2210</v>
      </c>
      <c r="S34" s="3518" t="s">
        <v>2211</v>
      </c>
      <c r="T34" s="2428" t="str">
        <f>NUMBERSTRING(7-K34,1)&amp;"通"</f>
        <v>七通</v>
      </c>
      <c r="U34" s="2439"/>
      <c r="V34" s="2439"/>
    </row>
    <row r="35" spans="1:30">
      <c r="A35" s="2429"/>
      <c r="B35" s="3525" t="s">
        <v>2212</v>
      </c>
      <c r="C35" s="3525"/>
      <c r="D35" s="3525"/>
      <c r="E35" s="3525"/>
      <c r="F35" s="664">
        <f>C10</f>
        <v>0</v>
      </c>
      <c r="G35" s="2644"/>
      <c r="H35" s="2644"/>
      <c r="I35" s="264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2168</v>
      </c>
      <c r="C36" s="664" t="s">
        <v>2169</v>
      </c>
      <c r="D36" s="664" t="s">
        <v>2167</v>
      </c>
      <c r="E36" s="664" t="s">
        <v>2172</v>
      </c>
      <c r="F36" s="3044" t="s">
        <v>2566</v>
      </c>
      <c r="G36" s="2644"/>
      <c r="H36" s="2644"/>
      <c r="I36" s="2644"/>
      <c r="J36" s="2439"/>
      <c r="K36" s="2596"/>
      <c r="L36" s="2593"/>
      <c r="M36" s="2593"/>
      <c r="N36" s="2439"/>
      <c r="O36" s="2450"/>
      <c r="P36" s="2439"/>
      <c r="Q36" s="2439"/>
      <c r="R36" s="2439"/>
      <c r="S36" s="2439"/>
      <c r="T36" s="2439"/>
      <c r="U36" s="2439"/>
      <c r="V36" s="2439"/>
    </row>
    <row r="37" spans="1:30">
      <c r="A37" s="2610" t="s">
        <v>2213</v>
      </c>
      <c r="B37" s="2431"/>
      <c r="C37" s="2431"/>
      <c r="D37" s="2431"/>
      <c r="E37" s="2431" t="s">
        <v>29</v>
      </c>
      <c r="F37" s="2431"/>
      <c r="G37" s="2644"/>
      <c r="H37" s="2644"/>
      <c r="I37" s="2644"/>
      <c r="J37" s="2439"/>
      <c r="K37" s="2596"/>
      <c r="L37" s="2593"/>
      <c r="M37" s="2593"/>
      <c r="N37" s="2439"/>
      <c r="O37" s="2450"/>
      <c r="P37" s="2439"/>
      <c r="Q37" s="2439"/>
      <c r="R37" s="2439"/>
      <c r="S37" s="2439"/>
      <c r="T37" s="2439"/>
      <c r="U37" s="2439"/>
      <c r="V37" s="2439"/>
    </row>
    <row r="38" spans="1:30" ht="13.5" thickBot="1">
      <c r="A38" s="2611" t="s">
        <v>2214</v>
      </c>
      <c r="B38" s="2432"/>
      <c r="C38" s="2432"/>
      <c r="D38" s="2432"/>
      <c r="E38" s="2432" t="s">
        <v>3424</v>
      </c>
      <c r="F38" s="2432"/>
      <c r="G38" s="2645"/>
      <c r="H38" s="2645"/>
      <c r="I38" s="2645"/>
      <c r="J38" s="2439"/>
      <c r="K38" s="2596"/>
      <c r="L38" s="2593"/>
      <c r="M38" s="2593"/>
      <c r="N38" s="2439"/>
      <c r="O38" s="2450"/>
      <c r="P38" s="2439"/>
      <c r="Q38" s="2439"/>
      <c r="R38" s="2439"/>
      <c r="S38" s="2439"/>
      <c r="T38" s="2439"/>
      <c r="U38" s="2439"/>
      <c r="V38" s="2439"/>
    </row>
    <row r="39" spans="1:30" s="2435" customFormat="1" ht="14.25" thickTop="1" thickBot="1">
      <c r="A39" s="2433" t="s">
        <v>2215</v>
      </c>
      <c r="B39" s="2434"/>
      <c r="C39" s="2434"/>
      <c r="D39" s="2434"/>
      <c r="E39" s="2434"/>
      <c r="F39" s="2434"/>
      <c r="G39" s="2434"/>
      <c r="H39" s="2434"/>
      <c r="I39" s="2434"/>
      <c r="J39" s="2602"/>
      <c r="K39" s="2603"/>
      <c r="L39" s="2602"/>
      <c r="M39" s="2602"/>
      <c r="N39" s="2602"/>
      <c r="O39" s="2604"/>
      <c r="P39" s="2602"/>
      <c r="Q39" s="2602"/>
      <c r="R39" s="2602"/>
      <c r="S39" s="2602"/>
      <c r="T39" s="2602"/>
      <c r="U39" s="2602"/>
      <c r="V39" s="2602"/>
      <c r="W39" s="2605"/>
      <c r="X39" s="2605"/>
      <c r="Y39" s="2605"/>
      <c r="Z39" s="2605"/>
      <c r="AA39" s="2605"/>
      <c r="AB39" s="2605"/>
      <c r="AC39" s="2605"/>
      <c r="AD39" s="2605"/>
    </row>
    <row r="40" spans="1:30">
      <c r="A40" s="2370"/>
      <c r="B40" s="2370"/>
      <c r="C40" s="2370"/>
      <c r="D40" s="2370"/>
      <c r="E40" s="2370"/>
      <c r="F40" s="2370"/>
      <c r="G40" s="2370"/>
      <c r="H40" s="2370"/>
      <c r="I40" s="1578"/>
      <c r="J40" s="2509"/>
      <c r="K40" s="2595"/>
      <c r="L40" s="2451"/>
      <c r="M40" s="2451"/>
      <c r="N40" s="2509"/>
      <c r="O40" s="2451"/>
      <c r="P40" s="2439"/>
      <c r="Q40" s="2439"/>
      <c r="R40" s="2439"/>
      <c r="S40" s="2439"/>
      <c r="T40" s="2439"/>
      <c r="U40" s="2439"/>
      <c r="V40" s="2439"/>
    </row>
    <row r="41" spans="1:30">
      <c r="A41" s="2436" t="s">
        <v>2216</v>
      </c>
      <c r="B41" s="1757"/>
      <c r="C41" s="1373"/>
      <c r="D41" s="2370"/>
      <c r="E41" s="2370"/>
      <c r="F41" s="2370"/>
      <c r="G41" s="2370"/>
      <c r="H41" s="2370"/>
      <c r="I41" s="1576"/>
      <c r="J41" s="2439"/>
      <c r="K41" s="2596"/>
      <c r="L41" s="2593"/>
      <c r="M41" s="2593"/>
      <c r="N41" s="2439"/>
      <c r="O41" s="2450"/>
      <c r="P41" s="2439"/>
      <c r="Q41" s="2439"/>
      <c r="R41" s="2439"/>
      <c r="S41" s="2439"/>
      <c r="T41" s="2439"/>
      <c r="U41" s="2439"/>
      <c r="V41" s="2439"/>
    </row>
    <row r="42" spans="1:30" ht="25.5">
      <c r="A42" s="323" t="s">
        <v>2217</v>
      </c>
      <c r="B42" s="8" t="s">
        <v>2218</v>
      </c>
      <c r="C42" s="8" t="s">
        <v>2219</v>
      </c>
      <c r="D42" s="8" t="s">
        <v>2220</v>
      </c>
      <c r="E42" s="8" t="s">
        <v>2221</v>
      </c>
      <c r="F42" s="8" t="s">
        <v>2222</v>
      </c>
      <c r="G42" s="8" t="s">
        <v>2223</v>
      </c>
      <c r="H42" s="8" t="s">
        <v>2224</v>
      </c>
      <c r="I42" s="8" t="s">
        <v>2225</v>
      </c>
      <c r="J42" s="2606" t="s">
        <v>2226</v>
      </c>
      <c r="K42" s="2607" t="s">
        <v>2227</v>
      </c>
      <c r="L42" s="2607" t="s">
        <v>2228</v>
      </c>
      <c r="M42" s="2607" t="s">
        <v>2229</v>
      </c>
      <c r="N42" s="2600" t="s">
        <v>2230</v>
      </c>
      <c r="O42" s="2600" t="s">
        <v>2231</v>
      </c>
      <c r="P42" s="2600" t="s">
        <v>2232</v>
      </c>
      <c r="Q42" s="2601" t="s">
        <v>2233</v>
      </c>
      <c r="R42" s="2601" t="s">
        <v>2234</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4:K25"/>
  <sheetViews>
    <sheetView workbookViewId="0">
      <selection activeCell="Q31" sqref="Q31"/>
    </sheetView>
  </sheetViews>
  <sheetFormatPr defaultRowHeight="12"/>
  <cols>
    <col min="1" max="16384" width="9" style="3428"/>
  </cols>
  <sheetData>
    <row r="4" spans="1:11">
      <c r="C4" s="3428" t="s">
        <v>3388</v>
      </c>
      <c r="H4" s="3428" t="s">
        <v>3418</v>
      </c>
    </row>
    <row r="5" spans="1:11">
      <c r="B5" s="3428" t="s">
        <v>3421</v>
      </c>
      <c r="C5" s="3428" t="s">
        <v>3409</v>
      </c>
      <c r="D5" s="3428" t="s">
        <v>3389</v>
      </c>
      <c r="E5" s="3428" t="s">
        <v>3390</v>
      </c>
      <c r="F5" s="3428" t="s">
        <v>3391</v>
      </c>
      <c r="G5" s="3428" t="s">
        <v>3413</v>
      </c>
      <c r="H5" s="3428" t="s">
        <v>3409</v>
      </c>
      <c r="I5" s="3428" t="s">
        <v>3419</v>
      </c>
      <c r="J5" s="3428" t="s">
        <v>3420</v>
      </c>
      <c r="K5" s="3428" t="s">
        <v>3410</v>
      </c>
    </row>
    <row r="6" spans="1:11">
      <c r="A6" s="3428" t="s">
        <v>3392</v>
      </c>
      <c r="B6" s="3428">
        <f>C6+H6</f>
        <v>15739.939999999999</v>
      </c>
      <c r="C6" s="3428">
        <f>SUM(D6:G6)</f>
        <v>15739.939999999999</v>
      </c>
      <c r="D6" s="3428">
        <v>278.70999999999998</v>
      </c>
      <c r="E6" s="3428">
        <v>15020.3</v>
      </c>
      <c r="F6" s="3428">
        <v>440.93</v>
      </c>
      <c r="H6" s="3428">
        <f>I6+J6</f>
        <v>0</v>
      </c>
      <c r="K6" s="3428" t="s">
        <v>3423</v>
      </c>
    </row>
    <row r="7" spans="1:11">
      <c r="A7" s="3428" t="s">
        <v>3393</v>
      </c>
      <c r="B7" s="3428">
        <f t="shared" ref="B7:B24" si="0">C7+H7</f>
        <v>3437.73</v>
      </c>
      <c r="C7" s="3428">
        <f t="shared" ref="C7:C24" si="1">SUM(D7:G7)</f>
        <v>3437.73</v>
      </c>
      <c r="G7" s="3428">
        <v>3437.73</v>
      </c>
      <c r="H7" s="3428">
        <f t="shared" ref="H7:H24" si="2">I7+J7</f>
        <v>0</v>
      </c>
      <c r="K7" s="3429" t="s">
        <v>3411</v>
      </c>
    </row>
    <row r="8" spans="1:11" ht="13.5">
      <c r="A8" s="3428" t="s">
        <v>3370</v>
      </c>
      <c r="B8" s="3428">
        <f t="shared" si="0"/>
        <v>3437.73</v>
      </c>
      <c r="C8" s="3428">
        <f t="shared" si="1"/>
        <v>3437.73</v>
      </c>
      <c r="G8" s="3428">
        <v>3437.73</v>
      </c>
      <c r="H8" s="3428">
        <f t="shared" si="2"/>
        <v>0</v>
      </c>
      <c r="K8" s="3429" t="s">
        <v>3411</v>
      </c>
    </row>
    <row r="9" spans="1:11" ht="13.5">
      <c r="A9" s="3428" t="s">
        <v>3371</v>
      </c>
      <c r="B9" s="3428">
        <f t="shared" si="0"/>
        <v>3437.73</v>
      </c>
      <c r="C9" s="3428">
        <f t="shared" si="1"/>
        <v>3437.73</v>
      </c>
      <c r="G9" s="3428">
        <v>3437.73</v>
      </c>
      <c r="H9" s="3428">
        <f t="shared" si="2"/>
        <v>0</v>
      </c>
      <c r="K9" s="3429" t="s">
        <v>3411</v>
      </c>
    </row>
    <row r="10" spans="1:11" ht="13.5">
      <c r="A10" s="3428" t="s">
        <v>3372</v>
      </c>
      <c r="B10" s="3428">
        <f t="shared" si="0"/>
        <v>2404.84</v>
      </c>
      <c r="C10" s="3428">
        <f t="shared" si="1"/>
        <v>2404.84</v>
      </c>
      <c r="G10" s="3428">
        <v>2404.84</v>
      </c>
      <c r="H10" s="3428">
        <f t="shared" si="2"/>
        <v>0</v>
      </c>
      <c r="K10" s="3429" t="s">
        <v>3412</v>
      </c>
    </row>
    <row r="11" spans="1:11" ht="13.5">
      <c r="A11" s="3428" t="s">
        <v>3373</v>
      </c>
      <c r="B11" s="3428">
        <f t="shared" si="0"/>
        <v>2404.84</v>
      </c>
      <c r="C11" s="3428">
        <f t="shared" si="1"/>
        <v>2404.84</v>
      </c>
      <c r="G11" s="3428">
        <v>2404.84</v>
      </c>
      <c r="H11" s="3428">
        <f t="shared" si="2"/>
        <v>0</v>
      </c>
      <c r="K11" s="3429" t="s">
        <v>3412</v>
      </c>
    </row>
    <row r="12" spans="1:11" ht="13.5">
      <c r="A12" s="3428" t="s">
        <v>3374</v>
      </c>
      <c r="B12" s="3428">
        <f t="shared" si="0"/>
        <v>2404.84</v>
      </c>
      <c r="C12" s="3428">
        <f t="shared" si="1"/>
        <v>2404.84</v>
      </c>
      <c r="G12" s="3428">
        <v>2404.84</v>
      </c>
      <c r="H12" s="3428">
        <f t="shared" si="2"/>
        <v>0</v>
      </c>
      <c r="K12" s="3429" t="s">
        <v>3412</v>
      </c>
    </row>
    <row r="13" spans="1:11" ht="13.5">
      <c r="A13" s="3428" t="s">
        <v>3375</v>
      </c>
      <c r="B13" s="3428">
        <f t="shared" si="0"/>
        <v>2404.84</v>
      </c>
      <c r="C13" s="3428">
        <f t="shared" si="1"/>
        <v>2404.84</v>
      </c>
      <c r="G13" s="3428">
        <v>2404.84</v>
      </c>
      <c r="H13" s="3428">
        <f t="shared" si="2"/>
        <v>0</v>
      </c>
      <c r="K13" s="3429" t="s">
        <v>3412</v>
      </c>
    </row>
    <row r="14" spans="1:11" ht="13.5">
      <c r="A14" s="3428" t="s">
        <v>3376</v>
      </c>
      <c r="B14" s="3428">
        <f t="shared" si="0"/>
        <v>17837.259999999998</v>
      </c>
      <c r="C14" s="3428">
        <f t="shared" si="1"/>
        <v>17837.259999999998</v>
      </c>
      <c r="G14" s="3428">
        <v>17837.259999999998</v>
      </c>
      <c r="H14" s="3428">
        <f t="shared" si="2"/>
        <v>0</v>
      </c>
      <c r="K14" s="3429" t="s">
        <v>3414</v>
      </c>
    </row>
    <row r="15" spans="1:11" ht="13.5">
      <c r="A15" s="3428" t="s">
        <v>3377</v>
      </c>
      <c r="B15" s="3428">
        <f t="shared" si="0"/>
        <v>17868.009999999998</v>
      </c>
      <c r="C15" s="3428">
        <f t="shared" si="1"/>
        <v>17868.009999999998</v>
      </c>
      <c r="G15" s="3428">
        <v>17868.009999999998</v>
      </c>
      <c r="H15" s="3428">
        <f t="shared" si="2"/>
        <v>0</v>
      </c>
      <c r="K15" s="3429" t="s">
        <v>3414</v>
      </c>
    </row>
    <row r="16" spans="1:11" ht="13.5">
      <c r="A16" s="3428" t="s">
        <v>3378</v>
      </c>
      <c r="B16" s="3428">
        <f t="shared" si="0"/>
        <v>3528.82</v>
      </c>
      <c r="C16" s="3428">
        <f t="shared" si="1"/>
        <v>3528.82</v>
      </c>
      <c r="G16" s="3428">
        <v>3528.82</v>
      </c>
      <c r="H16" s="3428">
        <f t="shared" si="2"/>
        <v>0</v>
      </c>
      <c r="K16" s="3428" t="s">
        <v>3415</v>
      </c>
    </row>
    <row r="17" spans="1:11" ht="13.5">
      <c r="A17" s="3428" t="s">
        <v>3379</v>
      </c>
      <c r="B17" s="3428">
        <f t="shared" si="0"/>
        <v>3528.82</v>
      </c>
      <c r="C17" s="3428">
        <f t="shared" si="1"/>
        <v>3528.82</v>
      </c>
      <c r="G17" s="3428">
        <v>3528.82</v>
      </c>
      <c r="H17" s="3428">
        <f t="shared" si="2"/>
        <v>0</v>
      </c>
      <c r="K17" s="3428" t="s">
        <v>3415</v>
      </c>
    </row>
    <row r="18" spans="1:11" ht="13.5">
      <c r="A18" s="3428" t="s">
        <v>3380</v>
      </c>
      <c r="B18" s="3428">
        <f t="shared" si="0"/>
        <v>3528.82</v>
      </c>
      <c r="C18" s="3428">
        <f t="shared" si="1"/>
        <v>3528.82</v>
      </c>
      <c r="G18" s="3428">
        <v>3528.82</v>
      </c>
      <c r="H18" s="3428">
        <f t="shared" si="2"/>
        <v>0</v>
      </c>
      <c r="K18" s="3428" t="s">
        <v>3415</v>
      </c>
    </row>
    <row r="19" spans="1:11" ht="13.5">
      <c r="A19" s="3428" t="s">
        <v>3381</v>
      </c>
      <c r="B19" s="3428">
        <f t="shared" si="0"/>
        <v>3528.82</v>
      </c>
      <c r="C19" s="3428">
        <f t="shared" si="1"/>
        <v>3528.82</v>
      </c>
      <c r="G19" s="3428">
        <v>3528.82</v>
      </c>
      <c r="H19" s="3428">
        <f t="shared" si="2"/>
        <v>0</v>
      </c>
      <c r="K19" s="3428" t="s">
        <v>3415</v>
      </c>
    </row>
    <row r="20" spans="1:11" ht="13.5">
      <c r="A20" s="3428" t="s">
        <v>3382</v>
      </c>
      <c r="B20" s="3428">
        <f t="shared" si="0"/>
        <v>3528.82</v>
      </c>
      <c r="C20" s="3428">
        <f t="shared" si="1"/>
        <v>3528.82</v>
      </c>
      <c r="G20" s="3428">
        <v>3528.82</v>
      </c>
      <c r="H20" s="3428">
        <f t="shared" si="2"/>
        <v>0</v>
      </c>
      <c r="K20" s="3428" t="s">
        <v>3415</v>
      </c>
    </row>
    <row r="21" spans="1:11" ht="13.5">
      <c r="A21" s="3428" t="s">
        <v>3383</v>
      </c>
      <c r="B21" s="3428">
        <f t="shared" si="0"/>
        <v>3528.82</v>
      </c>
      <c r="C21" s="3428">
        <f t="shared" si="1"/>
        <v>3528.82</v>
      </c>
      <c r="G21" s="3428">
        <v>3528.82</v>
      </c>
      <c r="H21" s="3428">
        <f t="shared" si="2"/>
        <v>0</v>
      </c>
      <c r="K21" s="3428" t="s">
        <v>3415</v>
      </c>
    </row>
    <row r="22" spans="1:11" ht="13.5">
      <c r="A22" s="3428" t="s">
        <v>3384</v>
      </c>
      <c r="B22" s="3428">
        <f t="shared" si="0"/>
        <v>4090.42</v>
      </c>
      <c r="C22" s="3428">
        <f t="shared" si="1"/>
        <v>4090.42</v>
      </c>
      <c r="G22" s="3428">
        <v>4090.42</v>
      </c>
      <c r="H22" s="3428">
        <f t="shared" si="2"/>
        <v>0</v>
      </c>
      <c r="K22" s="3428" t="s">
        <v>3415</v>
      </c>
    </row>
    <row r="23" spans="1:11" ht="13.5">
      <c r="A23" s="3428" t="s">
        <v>3385</v>
      </c>
      <c r="B23" s="3428">
        <f t="shared" si="0"/>
        <v>4095.97</v>
      </c>
      <c r="C23" s="3428">
        <f t="shared" si="1"/>
        <v>4095.97</v>
      </c>
      <c r="F23" s="3428">
        <v>4095.97</v>
      </c>
      <c r="H23" s="3428">
        <f t="shared" si="2"/>
        <v>0</v>
      </c>
      <c r="K23" s="3428" t="s">
        <v>3416</v>
      </c>
    </row>
    <row r="24" spans="1:11" ht="13.5">
      <c r="A24" s="3428" t="s">
        <v>3386</v>
      </c>
      <c r="B24" s="3428">
        <f t="shared" si="0"/>
        <v>7395.16</v>
      </c>
      <c r="C24" s="3428">
        <f t="shared" si="1"/>
        <v>0</v>
      </c>
      <c r="H24" s="3428">
        <f t="shared" si="2"/>
        <v>7395.16</v>
      </c>
      <c r="I24" s="3428">
        <v>4446.57</v>
      </c>
      <c r="J24" s="3428">
        <v>2948.59</v>
      </c>
    </row>
    <row r="25" spans="1:11">
      <c r="A25" s="3428" t="s">
        <v>3422</v>
      </c>
      <c r="B25" s="3428">
        <f>SUM(B6:B24)</f>
        <v>108132.23000000003</v>
      </c>
      <c r="C25" s="3428">
        <f>SUM(C6:C24)</f>
        <v>100737.07000000002</v>
      </c>
      <c r="H25" s="3428">
        <f>SUM(H6:H24)</f>
        <v>7395.16</v>
      </c>
    </row>
  </sheetData>
  <phoneticPr fontId="13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108132.23000000003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108132.23000000003</v>
      </c>
      <c r="H5" s="13">
        <f t="shared" ref="H5:AT5" si="0">SUM(H13:H656)</f>
        <v>108132.23000000003</v>
      </c>
      <c r="I5" s="13">
        <f t="shared" si="0"/>
        <v>100737.07000000002</v>
      </c>
      <c r="J5" s="13">
        <f t="shared" si="0"/>
        <v>0</v>
      </c>
      <c r="K5" s="13">
        <f t="shared" si="0"/>
        <v>7395.16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108132.23000000003</v>
      </c>
      <c r="BA5" s="15">
        <f t="shared" si="1"/>
        <v>108132.23000000003</v>
      </c>
      <c r="BB5" s="15">
        <f t="shared" si="1"/>
        <v>100737.07000000002</v>
      </c>
      <c r="BC5" s="15">
        <f t="shared" si="1"/>
        <v>7395.16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3417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3425</v>
      </c>
      <c r="E13" s="13">
        <f>IF($C$3="是",ROUND($A$3*G13/$B$3,2),ROUND($A$3*(G13-AT13)/$B$3,2))</f>
        <v>0</v>
      </c>
      <c r="F13" s="29"/>
      <c r="G13" s="30">
        <f>H13+AC13+AT13</f>
        <v>108132.23000000003</v>
      </c>
      <c r="H13" s="17">
        <f>SUMIF(I$12:AB$12,"总值",I13:AB13)</f>
        <v>108132.23000000003</v>
      </c>
      <c r="I13" s="1626">
        <f>面积表!C25</f>
        <v>100737.07000000002</v>
      </c>
      <c r="J13" s="1626"/>
      <c r="K13" s="1626">
        <f>面积表!H25</f>
        <v>7395.16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108132.23000000003</v>
      </c>
      <c r="BA13" s="13">
        <f>SUM(BB13:BK13)</f>
        <v>108132.23000000003</v>
      </c>
      <c r="BB13" s="13">
        <f>IF($D13="是",I13-J13,0)</f>
        <v>100737.07000000002</v>
      </c>
      <c r="BC13" s="13">
        <f>IF($D13="是",K13-L13,0)</f>
        <v>7395.16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42" sqref="P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39"/>
      <c r="G2" s="2630"/>
      <c r="H2" s="2631"/>
      <c r="I2" s="2325" t="s">
        <v>1132</v>
      </c>
      <c r="J2" s="2639"/>
      <c r="K2" s="2639"/>
      <c r="L2" s="2639"/>
      <c r="M2" s="2639"/>
      <c r="N2" s="2641"/>
      <c r="O2" s="2639"/>
      <c r="P2" s="2639"/>
    </row>
    <row r="3" spans="1:16" ht="15.75" thickBot="1">
      <c r="A3" s="3536" t="s">
        <v>1105</v>
      </c>
      <c r="B3" s="3536"/>
      <c r="C3" s="3536"/>
      <c r="D3" s="43">
        <f>'数据-基础表'!AY6</f>
        <v>0</v>
      </c>
      <c r="E3" s="43">
        <f>'数据-基础表'!AZ5</f>
        <v>108132.23000000003</v>
      </c>
      <c r="F3" s="2639"/>
      <c r="G3" s="1145"/>
      <c r="H3" s="1026" t="s">
        <v>1106</v>
      </c>
      <c r="I3" s="855" t="e">
        <f>ROUND('数据-基础表'!B3/'数据-基础表'!A3,2)</f>
        <v>#DIV/0!</v>
      </c>
      <c r="J3" s="2639"/>
      <c r="K3" s="2639"/>
      <c r="L3" s="2639"/>
      <c r="M3" s="2639"/>
      <c r="N3" s="2641"/>
      <c r="O3" s="2639"/>
      <c r="P3" s="2639"/>
    </row>
    <row r="4" spans="1:16" ht="15">
      <c r="A4" s="3537"/>
      <c r="B4" s="3538"/>
      <c r="C4" s="3539"/>
      <c r="D4" s="1641" t="s">
        <v>1107</v>
      </c>
      <c r="E4" s="1642" t="s">
        <v>1108</v>
      </c>
      <c r="F4" s="2639"/>
      <c r="G4" s="2632" t="s">
        <v>1133</v>
      </c>
      <c r="H4" s="1026" t="s">
        <v>1113</v>
      </c>
      <c r="I4" s="855" t="e">
        <f>ROUND(SUMIF('数据-基础表'!I9:AS9,"地上",'数据-基础表'!I5:AS5)/'数据-基础表'!A3,2)</f>
        <v>#DIV/0!</v>
      </c>
      <c r="J4" s="2639"/>
      <c r="K4" s="2639"/>
      <c r="L4" s="2639"/>
      <c r="M4" s="2639"/>
      <c r="N4" s="2641"/>
      <c r="O4" s="2639"/>
      <c r="P4" s="2639"/>
    </row>
    <row r="5" spans="1:16">
      <c r="A5" s="44" t="s">
        <v>1109</v>
      </c>
      <c r="B5" s="3540" t="s">
        <v>1110</v>
      </c>
      <c r="C5" s="3540"/>
      <c r="D5" s="45">
        <f>ROUND($D$3*E5/$E$3,2)</f>
        <v>0</v>
      </c>
      <c r="E5" s="46">
        <f>SUMIF('数据-基础表'!$11:$11,"住宅",'数据-基础表'!$5:$5)</f>
        <v>0</v>
      </c>
      <c r="F5" s="2639"/>
      <c r="G5" s="1145"/>
      <c r="H5" s="1026" t="s">
        <v>1106</v>
      </c>
      <c r="I5" s="855" t="e">
        <f>ROUND(E31/D31,2)</f>
        <v>#DIV/0!</v>
      </c>
      <c r="J5" s="2639"/>
      <c r="K5" s="2639"/>
      <c r="L5" s="2639"/>
      <c r="M5" s="2639"/>
      <c r="N5" s="2639"/>
      <c r="O5" s="2639"/>
      <c r="P5" s="2639"/>
    </row>
    <row r="6" spans="1:16" ht="15" thickBot="1">
      <c r="A6" s="1644"/>
      <c r="B6" s="3540" t="s">
        <v>1111</v>
      </c>
      <c r="C6" s="3540"/>
      <c r="D6" s="45">
        <f>ROUND($D$3*E6/$E$3,2)</f>
        <v>0</v>
      </c>
      <c r="E6" s="46">
        <f>E3-E5</f>
        <v>108132.23000000003</v>
      </c>
      <c r="F6" s="2639"/>
      <c r="G6" s="2633" t="s">
        <v>1112</v>
      </c>
      <c r="H6" s="1146" t="s">
        <v>1113</v>
      </c>
      <c r="I6" s="2634" t="e">
        <f>ROUND(F31/D31,2)</f>
        <v>#DIV/0!</v>
      </c>
      <c r="J6" s="2639"/>
      <c r="K6" s="2639"/>
      <c r="L6" s="2639"/>
      <c r="M6" s="2639"/>
      <c r="N6" s="2639"/>
      <c r="O6" s="2639"/>
      <c r="P6" s="2639"/>
    </row>
    <row r="7" spans="1:16" ht="15.75" thickBot="1">
      <c r="A7" s="3532"/>
      <c r="B7" s="3533"/>
      <c r="C7" s="3534"/>
      <c r="D7" s="1641" t="s">
        <v>1107</v>
      </c>
      <c r="E7" s="1645" t="s">
        <v>1114</v>
      </c>
      <c r="F7" s="2639"/>
      <c r="G7" s="2635" t="s">
        <v>1115</v>
      </c>
      <c r="H7" s="2636"/>
      <c r="I7" s="2637">
        <v>1.5</v>
      </c>
      <c r="J7" s="2639"/>
      <c r="K7" s="2639"/>
      <c r="L7" s="2639"/>
      <c r="M7" s="2639"/>
      <c r="N7" s="2639"/>
      <c r="O7" s="2639"/>
      <c r="P7" s="2639"/>
    </row>
    <row r="8" spans="1:16">
      <c r="A8" s="44" t="s">
        <v>1116</v>
      </c>
      <c r="B8" s="47" t="s">
        <v>1117</v>
      </c>
      <c r="C8" s="45" t="s">
        <v>1118</v>
      </c>
      <c r="D8" s="45">
        <f t="shared" ref="D8:D15" si="0">ROUND($D$3*E8/$E$3,2)</f>
        <v>0</v>
      </c>
      <c r="E8" s="48">
        <f>SUMIF('数据-基础表'!BB10:BK10,"地上",'数据-基础表'!BB5:BK5)</f>
        <v>100737.07000000002</v>
      </c>
      <c r="F8" s="2639"/>
      <c r="G8" s="2640"/>
      <c r="H8" s="2640"/>
      <c r="I8" s="2639"/>
      <c r="J8" s="2639"/>
      <c r="K8" s="2639"/>
      <c r="L8" s="2639"/>
      <c r="M8" s="2639"/>
      <c r="N8" s="2639"/>
      <c r="O8" s="2639"/>
      <c r="P8" s="2639"/>
    </row>
    <row r="9" spans="1:16">
      <c r="A9" s="1646"/>
      <c r="B9" s="1647"/>
      <c r="C9" s="45" t="s">
        <v>1119</v>
      </c>
      <c r="D9" s="45">
        <f t="shared" si="0"/>
        <v>0</v>
      </c>
      <c r="E9" s="49">
        <v>0</v>
      </c>
      <c r="F9" s="2639"/>
      <c r="G9" s="2640"/>
      <c r="H9" s="2640"/>
      <c r="I9" s="2639"/>
      <c r="J9" s="2639"/>
      <c r="K9" s="2639"/>
      <c r="L9" s="2639"/>
      <c r="M9" s="2639"/>
      <c r="N9" s="2639"/>
      <c r="O9" s="2639"/>
      <c r="P9" s="2639"/>
    </row>
    <row r="10" spans="1:16">
      <c r="A10" s="1646"/>
      <c r="B10" s="1647"/>
      <c r="C10" s="45" t="s">
        <v>1128</v>
      </c>
      <c r="D10" s="45">
        <f t="shared" si="0"/>
        <v>0</v>
      </c>
      <c r="E10" s="48">
        <f>SUMPRODUCT(('数据-基础表'!BB10:BK10="地下")*('数据-基础表'!BB11:BK11="商业")*('数据-基础表'!BB5:BK5))</f>
        <v>0</v>
      </c>
      <c r="F10" s="2639"/>
      <c r="G10" s="2640"/>
      <c r="H10" s="2640"/>
      <c r="I10" s="2639"/>
      <c r="J10" s="2639"/>
      <c r="K10" s="2639"/>
      <c r="L10" s="2639"/>
      <c r="M10" s="2639"/>
      <c r="N10" s="2639"/>
      <c r="O10" s="2639"/>
      <c r="P10" s="2639"/>
    </row>
    <row r="11" spans="1:16">
      <c r="A11" s="1646"/>
      <c r="B11" s="1647"/>
      <c r="C11" s="45" t="s">
        <v>1120</v>
      </c>
      <c r="D11" s="45">
        <f t="shared" si="0"/>
        <v>0</v>
      </c>
      <c r="E11" s="48">
        <f>SUMPRODUCT(('数据-基础表'!BB10:BK10="地下")*('数据-基础表'!BB11:BK11="办公")*('数据-基础表'!BB5:BK5))+'数据-基础表'!BP5</f>
        <v>0</v>
      </c>
      <c r="F11" s="2639"/>
      <c r="G11" s="2640"/>
      <c r="H11" s="2640"/>
      <c r="I11" s="2639"/>
      <c r="J11" s="2639"/>
      <c r="K11" s="2639"/>
      <c r="L11" s="2639"/>
      <c r="M11" s="2639"/>
      <c r="N11" s="2639"/>
      <c r="O11" s="2639"/>
      <c r="P11" s="2639"/>
    </row>
    <row r="12" spans="1:16">
      <c r="A12" s="1646"/>
      <c r="B12" s="1647"/>
      <c r="C12" s="45" t="s">
        <v>1121</v>
      </c>
      <c r="D12" s="45">
        <f t="shared" si="0"/>
        <v>0</v>
      </c>
      <c r="E12" s="48">
        <f>SUMPRODUCT(('数据-基础表'!BB10:BK10="地下")*('数据-基础表'!BB11:BK11="仓储")*('数据-基础表'!BB5:BK5))</f>
        <v>0</v>
      </c>
      <c r="F12" s="2639"/>
      <c r="G12" s="2640"/>
      <c r="H12" s="2640"/>
      <c r="I12" s="2639"/>
      <c r="J12" s="2639"/>
      <c r="K12" s="2639"/>
      <c r="L12" s="2639"/>
      <c r="M12" s="2639"/>
      <c r="N12" s="2639"/>
      <c r="O12" s="2639"/>
      <c r="P12" s="2639"/>
    </row>
    <row r="13" spans="1:16">
      <c r="A13" s="1646"/>
      <c r="B13" s="1647"/>
      <c r="C13" s="45" t="s">
        <v>1122</v>
      </c>
      <c r="D13" s="45">
        <f t="shared" si="0"/>
        <v>0</v>
      </c>
      <c r="E13" s="48">
        <f>SUMPRODUCT(('数据-基础表'!BB10:BK10="地下")*('数据-基础表'!BB11:BK11="车库")*('数据-基础表'!BB5:BK5))</f>
        <v>0</v>
      </c>
      <c r="F13" s="2639"/>
      <c r="G13" s="2640"/>
      <c r="H13" s="2640"/>
      <c r="I13" s="2639"/>
      <c r="J13" s="2639"/>
      <c r="K13" s="2639"/>
      <c r="L13" s="2639"/>
      <c r="M13" s="2639"/>
      <c r="N13" s="2639"/>
      <c r="O13" s="2639"/>
      <c r="P13" s="2639"/>
    </row>
    <row r="14" spans="1:16">
      <c r="A14" s="1646"/>
      <c r="B14" s="1647"/>
      <c r="C14" s="45" t="s">
        <v>1134</v>
      </c>
      <c r="D14" s="45">
        <f t="shared" si="0"/>
        <v>0</v>
      </c>
      <c r="E14" s="48">
        <f>SUMPRODUCT(('数据-基础表'!BB10:BK10="地下")*('数据-基础表'!BB11:BK11="车库—商业")*('数据-基础表'!BB5:BK5))</f>
        <v>0</v>
      </c>
      <c r="F14" s="2639"/>
      <c r="G14" s="2640"/>
      <c r="H14" s="2640"/>
      <c r="I14" s="2639"/>
      <c r="J14" s="2639"/>
      <c r="K14" s="2639"/>
      <c r="L14" s="2639"/>
      <c r="M14" s="2639"/>
      <c r="N14" s="2639"/>
      <c r="O14" s="2639"/>
      <c r="P14" s="2639"/>
    </row>
    <row r="15" spans="1:16" ht="15" thickBot="1">
      <c r="A15" s="1646"/>
      <c r="B15" s="1647"/>
      <c r="C15" s="45" t="s">
        <v>1129</v>
      </c>
      <c r="D15" s="45">
        <f t="shared" si="0"/>
        <v>0</v>
      </c>
      <c r="E15" s="48">
        <f>SUMPRODUCT(('数据-基础表'!BB10:BK10="地下")*('数据-基础表'!BB11:BK11="车库—办公")*('数据-基础表'!BB5:BK5))</f>
        <v>0</v>
      </c>
      <c r="F15" s="2639"/>
      <c r="G15" s="2640"/>
      <c r="H15" s="2640"/>
      <c r="I15" s="2639"/>
      <c r="J15" s="2639"/>
      <c r="K15" s="2639"/>
      <c r="L15" s="2639"/>
      <c r="M15" s="2639"/>
      <c r="N15" s="2639"/>
      <c r="O15" s="2639"/>
      <c r="P15" s="2639"/>
    </row>
    <row r="16" spans="1:16" ht="15.75" thickBot="1">
      <c r="A16" s="1644"/>
      <c r="B16" s="1647"/>
      <c r="C16" s="47" t="s">
        <v>1123</v>
      </c>
      <c r="D16" s="47">
        <f>SUM(D8:D15)</f>
        <v>0</v>
      </c>
      <c r="E16" s="50">
        <f>SUM(E8:E15)</f>
        <v>100737.07000000002</v>
      </c>
      <c r="F16" s="2639"/>
      <c r="G16" s="264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6" t="s">
        <v>3426</v>
      </c>
      <c r="D19" s="45">
        <f>ROUND($D$3*E19/$E$3,2)</f>
        <v>0</v>
      </c>
      <c r="E19" s="53">
        <f t="shared" ref="E19:E26" si="1">SUM(F19:G19)</f>
        <v>108132.23000000003</v>
      </c>
      <c r="F19" s="2774">
        <f>面积表!C25</f>
        <v>100737.07000000002</v>
      </c>
      <c r="G19" s="2775">
        <f>面积表!H25</f>
        <v>7395.16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108132.23000000003</v>
      </c>
    </row>
    <row r="20" spans="1:19">
      <c r="A20" s="1670"/>
      <c r="B20" s="47" t="s">
        <v>1153</v>
      </c>
      <c r="C20" s="3396"/>
      <c r="D20" s="45">
        <f t="shared" ref="D20:D26" si="6">ROUND($D$3*E20/$E$3,2)</f>
        <v>0</v>
      </c>
      <c r="E20" s="53">
        <f t="shared" si="1"/>
        <v>0</v>
      </c>
      <c r="F20" s="2774"/>
      <c r="G20" s="277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6"/>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7"/>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7"/>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7"/>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7"/>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108132.23000000003</v>
      </c>
      <c r="F27" s="1140">
        <f>IF(SUM(F19:F26)=E8,SUM(F19:F26),"地上面积有误")</f>
        <v>100737.07000000002</v>
      </c>
      <c r="G27" s="1142">
        <f>SUM(G19:G26)</f>
        <v>7395.16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108132.23000000003</v>
      </c>
    </row>
    <row r="28" spans="1:19">
      <c r="A28" s="1670"/>
      <c r="B28" s="47" t="s">
        <v>1155</v>
      </c>
      <c r="C28" s="1038" t="s">
        <v>1156</v>
      </c>
      <c r="D28" s="45">
        <f>ROUND($D$3*E28/$E$3,2)</f>
        <v>0</v>
      </c>
      <c r="E28" s="53">
        <f>SUM(F28:G28)</f>
        <v>0</v>
      </c>
      <c r="F28" s="56">
        <f>'数据-基础表'!BQ5+'数据-基础表'!BS5</f>
        <v>0</v>
      </c>
      <c r="G28" s="57">
        <f>'数据-基础表'!BR5+'数据-基础表'!BT5</f>
        <v>0</v>
      </c>
      <c r="H28" s="2639"/>
      <c r="I28" s="2639"/>
      <c r="J28" s="2639"/>
      <c r="K28" s="2639"/>
      <c r="L28" s="2639"/>
      <c r="M28" s="2639"/>
      <c r="N28" s="2639"/>
      <c r="O28" s="2639"/>
      <c r="P28" s="2639"/>
    </row>
    <row r="29" spans="1:19">
      <c r="A29" s="1670"/>
      <c r="B29" s="47" t="s">
        <v>1155</v>
      </c>
      <c r="C29" s="1674" t="s">
        <v>1157</v>
      </c>
      <c r="D29" s="45">
        <f>ROUND($D$3*E29/$E$3,2)</f>
        <v>0</v>
      </c>
      <c r="E29" s="53">
        <f>SUM(F29:G29)</f>
        <v>0</v>
      </c>
      <c r="F29" s="58">
        <f>'数据-基础表'!BM5+'数据-基础表'!BO5</f>
        <v>0</v>
      </c>
      <c r="G29" s="59">
        <f>'数据-基础表'!BN5+'数据-基础表'!BP5</f>
        <v>0</v>
      </c>
      <c r="H29" s="2639"/>
      <c r="I29" s="2639"/>
      <c r="J29" s="2639"/>
      <c r="K29" s="2639"/>
      <c r="L29" s="2639"/>
      <c r="M29" s="2639"/>
      <c r="N29" s="2639"/>
      <c r="O29" s="2639"/>
      <c r="P29" s="2639"/>
    </row>
    <row r="30" spans="1:19" ht="15">
      <c r="A30" s="1670"/>
      <c r="B30" s="47"/>
      <c r="C30" s="1675" t="s">
        <v>1154</v>
      </c>
      <c r="D30" s="1140">
        <f>SUM(D28:D29)</f>
        <v>0</v>
      </c>
      <c r="E30" s="1140">
        <f>SUM(E28:E29)</f>
        <v>0</v>
      </c>
      <c r="F30" s="1140">
        <f>SUM(F28:F29)</f>
        <v>0</v>
      </c>
      <c r="G30" s="1142">
        <f>SUM(G28:G29)</f>
        <v>0</v>
      </c>
      <c r="H30" s="2639"/>
      <c r="I30" s="2639"/>
      <c r="J30" s="2639"/>
      <c r="K30" s="2639"/>
      <c r="L30" s="2639"/>
      <c r="M30" s="2639"/>
      <c r="N30" s="2639"/>
      <c r="O30" s="2639"/>
      <c r="P30" s="2639"/>
    </row>
    <row r="31" spans="1:19" ht="15.75" thickBot="1">
      <c r="A31" s="1676"/>
      <c r="B31" s="1677"/>
      <c r="C31" s="835" t="s">
        <v>1158</v>
      </c>
      <c r="D31" s="676">
        <f>D27+D30</f>
        <v>0</v>
      </c>
      <c r="E31" s="676">
        <f>E27+E30</f>
        <v>108132.23000000003</v>
      </c>
      <c r="F31" s="677">
        <f>F27+F30</f>
        <v>100737.07000000002</v>
      </c>
      <c r="G31" s="678">
        <f>G27+G30</f>
        <v>7395.16</v>
      </c>
      <c r="H31" s="2639"/>
      <c r="I31" s="2639"/>
      <c r="J31" s="2639"/>
      <c r="K31" s="2639"/>
      <c r="L31" s="2639"/>
      <c r="M31" s="2639"/>
      <c r="N31" s="2639"/>
      <c r="O31" s="2639"/>
      <c r="P31" s="2639"/>
    </row>
    <row r="32" spans="1:19">
      <c r="A32" s="1643"/>
      <c r="B32" s="1643" t="s">
        <v>1159</v>
      </c>
      <c r="C32" s="1643"/>
      <c r="D32" s="1643"/>
      <c r="E32" s="1053">
        <f>SUMIF(C19:C26,"*住宅*",E19:E26)</f>
        <v>0</v>
      </c>
      <c r="F32" s="1643"/>
      <c r="G32" s="1643"/>
      <c r="H32" s="2639"/>
      <c r="I32" s="2639"/>
      <c r="J32" s="2639"/>
      <c r="K32" s="2639"/>
      <c r="L32" s="2639"/>
      <c r="M32" s="2639"/>
      <c r="N32" s="2639"/>
      <c r="O32" s="2639"/>
      <c r="P32" s="263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30" sqref="M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1"/>
      <c r="AO1" s="2651"/>
      <c r="AP1" s="2651"/>
      <c r="AQ1" s="2651"/>
      <c r="AR1" s="2651"/>
    </row>
    <row r="2" spans="1:67" s="1559" customFormat="1" ht="15.75" thickBot="1">
      <c r="A2" s="1683" t="s">
        <v>1161</v>
      </c>
      <c r="B2" s="1045">
        <f>项目基本情况!D3</f>
        <v>45420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3"/>
      <c r="AO2" s="2653"/>
      <c r="AP2" s="2653"/>
      <c r="AQ2" s="2653"/>
      <c r="AR2" s="265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3"/>
      <c r="AO3" s="2653"/>
      <c r="AP3" s="2653"/>
      <c r="AQ3" s="2653"/>
      <c r="AR3" s="265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3"/>
      <c r="AO4" s="2653"/>
      <c r="AP4" s="2653"/>
      <c r="AQ4" s="2653"/>
      <c r="AR4" s="265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58802</v>
      </c>
      <c r="F6" s="64">
        <f>SUMIF(项目基本情况!C$12:I$12,C6,项目基本情况!C$15:I$15)</f>
        <v>36.659999999999997</v>
      </c>
      <c r="G6" s="65">
        <f>IF(ISERROR(ROUND(POWER(1+H6,D6-F6)*(POWER(1+H6,F6)-1)/(POWER(1+H6,D6)-1),3)),0,ROUND(POWER(1+H6,D6-F6)*(POWER(1+H6,F6)-1)/(POWER(1+H6,D6)-1),3))</f>
        <v>0.90100000000000002</v>
      </c>
      <c r="H6" s="732">
        <v>4.4999999999999998E-2</v>
      </c>
      <c r="I6" s="732">
        <v>5.5E-2</v>
      </c>
      <c r="J6" s="66">
        <v>7.0000000000000007E-2</v>
      </c>
      <c r="K6" s="1030">
        <f>SUMIF('数据-汇总表'!C$19:C$33,A6,'数据-汇总表'!E$19:E$33)</f>
        <v>108132.23000000003</v>
      </c>
      <c r="L6" s="733">
        <v>4500</v>
      </c>
      <c r="M6" s="67">
        <f t="shared" ref="M6:M14" si="0">ROUND(K6*L6/10000,0)</f>
        <v>48660</v>
      </c>
      <c r="N6" s="731">
        <f>N19</f>
        <v>0.82</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795">
        <v>2.0499999999999998</v>
      </c>
      <c r="V6" s="3796">
        <v>0.03</v>
      </c>
      <c r="W6" s="70">
        <v>0.05</v>
      </c>
      <c r="X6" s="1040"/>
      <c r="Y6" s="71">
        <f>N6</f>
        <v>0.82</v>
      </c>
      <c r="Z6" s="72"/>
      <c r="AA6" s="66"/>
      <c r="AB6" s="66"/>
      <c r="AC6" s="1040"/>
      <c r="AD6" s="73"/>
      <c r="AE6" s="1041">
        <f ca="1">IF(AN6="",0,SUMIF(INDIRECT("'"&amp;AN6&amp;"'"&amp;"!E:E"),$AE$5,INDIRECT("'"&amp;AN6&amp;"'"&amp;"!F:F")))</f>
        <v>36.659999999999997</v>
      </c>
      <c r="AF6" s="1348"/>
      <c r="AG6" s="138">
        <f>IF(AF6="",0,AE6-AF6)</f>
        <v>0</v>
      </c>
      <c r="AH6" s="74"/>
      <c r="AI6" s="76">
        <v>365</v>
      </c>
      <c r="AJ6" s="77"/>
      <c r="AK6" s="78">
        <v>0.01</v>
      </c>
      <c r="AL6" s="79">
        <v>1E-3</v>
      </c>
      <c r="AM6" s="80">
        <v>0.01</v>
      </c>
      <c r="AN6" s="1715" t="s">
        <v>3489</v>
      </c>
      <c r="AO6" s="52">
        <f ca="1">SUMIF(INDIRECT("'"&amp;AN6&amp;"'"&amp;"!A:A"),"总价",INDIRECT("'"&amp;AN6&amp;"'"&amp;"!B:B"))</f>
        <v>132710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1"/>
      <c r="AO14" s="2653"/>
      <c r="AP14" s="2653"/>
      <c r="AQ14" s="2653"/>
      <c r="AR14" s="265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1"/>
      <c r="AO15" s="2653"/>
      <c r="AP15" s="2653"/>
      <c r="AQ15" s="2653"/>
      <c r="AR15" s="265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4.4999999999999998E-2</v>
      </c>
      <c r="I16" s="91"/>
      <c r="J16" s="91"/>
      <c r="K16" s="92">
        <f>SUM(K6:K15)</f>
        <v>108132.23000000003</v>
      </c>
      <c r="L16" s="93">
        <f>ROUND(M16*10000/SUM(K6:K14),0)</f>
        <v>4500</v>
      </c>
      <c r="M16" s="93">
        <f>SUM(M6:M14)</f>
        <v>48660</v>
      </c>
      <c r="N16" s="94">
        <f>ROUND(SUMPRODUCT(M6:M14,N6:N14)/M16,3)</f>
        <v>0.82</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2651">
        <v>2013</v>
      </c>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22" t="s">
        <v>1211</v>
      </c>
      <c r="B19" s="103">
        <v>0</v>
      </c>
      <c r="C19" s="2778" t="s">
        <v>2288</v>
      </c>
      <c r="D19" s="2656"/>
      <c r="E19" s="2653"/>
      <c r="F19" s="2653"/>
      <c r="G19" s="2653"/>
      <c r="H19" s="2653"/>
      <c r="I19" s="2653"/>
      <c r="J19" s="2653"/>
      <c r="K19" s="2652"/>
      <c r="L19" s="2652"/>
      <c r="M19" s="3439" t="s">
        <v>3488</v>
      </c>
      <c r="N19" s="2651">
        <f>ROUND(1-(2024-N18)/60,2)</f>
        <v>0.82</v>
      </c>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23" t="s">
        <v>1212</v>
      </c>
      <c r="B20" s="104">
        <v>2.5</v>
      </c>
      <c r="C20" s="2779" t="s">
        <v>2286</v>
      </c>
      <c r="D20" s="2656"/>
      <c r="E20" s="2653"/>
      <c r="F20" s="2653"/>
      <c r="G20" s="2653"/>
      <c r="H20" s="2653"/>
      <c r="I20" s="2653"/>
      <c r="J20" s="2653"/>
      <c r="K20" s="2652"/>
      <c r="L20" s="2652"/>
      <c r="M20" s="2651"/>
      <c r="N20" s="2651"/>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24" t="s">
        <v>1213</v>
      </c>
      <c r="B21" s="104">
        <v>2.5</v>
      </c>
      <c r="C21" s="2653"/>
      <c r="D21" s="2656"/>
      <c r="E21" s="2653"/>
      <c r="F21" s="2653"/>
      <c r="G21" s="2653"/>
      <c r="H21" s="2653"/>
      <c r="I21" s="2653"/>
      <c r="J21" s="2653"/>
      <c r="K21" s="2652"/>
      <c r="L21" s="2652"/>
      <c r="M21" s="2651"/>
      <c r="N21" s="2651"/>
      <c r="O21" s="2651"/>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23" t="s">
        <v>1214</v>
      </c>
      <c r="B22" s="105">
        <f>B19+B20</f>
        <v>2.5</v>
      </c>
      <c r="C22" s="2653"/>
      <c r="D22" s="2656"/>
      <c r="E22" s="2653"/>
      <c r="F22" s="2653"/>
      <c r="G22" s="2653"/>
      <c r="H22" s="2653"/>
      <c r="I22" s="2653"/>
      <c r="J22" s="2653"/>
      <c r="K22" s="2652"/>
      <c r="L22" s="2652"/>
      <c r="M22" s="2651"/>
      <c r="N22" s="2651"/>
      <c r="O22" s="2651"/>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24" t="s">
        <v>1215</v>
      </c>
      <c r="B23" s="105">
        <f>B19+B21</f>
        <v>2.5</v>
      </c>
      <c r="C23" s="2653"/>
      <c r="D23" s="2656"/>
      <c r="E23" s="2653"/>
      <c r="F23" s="2653"/>
      <c r="G23" s="2653"/>
      <c r="H23" s="2653"/>
      <c r="I23" s="2653"/>
      <c r="J23" s="2653"/>
      <c r="K23" s="2652"/>
      <c r="L23" s="2652"/>
      <c r="M23" s="2651"/>
      <c r="N23" s="2651"/>
      <c r="O23" s="2651"/>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25" t="s">
        <v>1216</v>
      </c>
      <c r="B24" s="106">
        <f>B20-B21</f>
        <v>0</v>
      </c>
      <c r="C24" s="2653"/>
      <c r="D24" s="2656"/>
      <c r="E24" s="2653"/>
      <c r="F24" s="2653"/>
      <c r="G24" s="2653"/>
      <c r="H24" s="2653"/>
      <c r="I24" s="2653"/>
      <c r="J24" s="2653"/>
      <c r="K24" s="2652"/>
      <c r="L24" s="2652"/>
      <c r="M24" s="2651"/>
      <c r="N24" s="2651"/>
      <c r="O24" s="2651"/>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57"/>
      <c r="B25" s="1687"/>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83" t="s">
        <v>1217</v>
      </c>
      <c r="B26" s="1726" t="s">
        <v>1218</v>
      </c>
      <c r="C26" s="2657" t="s">
        <v>1219</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28" customFormat="1" ht="27.75">
      <c r="A27" s="1727" t="s">
        <v>1220</v>
      </c>
      <c r="B27" s="107">
        <v>160</v>
      </c>
      <c r="C27" s="2780" t="s">
        <v>2290</v>
      </c>
      <c r="D27" s="2659"/>
      <c r="E27" s="2641"/>
      <c r="F27" s="2641"/>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60"/>
      <c r="D28" s="2659"/>
      <c r="E28" s="2641"/>
      <c r="F28" s="2641"/>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2055</v>
      </c>
      <c r="C29" s="2781" t="s">
        <v>2277</v>
      </c>
      <c r="D29" s="2659"/>
      <c r="E29" s="2641"/>
      <c r="F29" s="2641"/>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60"/>
      <c r="D30" s="2659"/>
      <c r="E30" s="2641"/>
      <c r="F30" s="2641"/>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8"/>
      <c r="D31" s="2659"/>
      <c r="E31" s="2641"/>
      <c r="F31" s="2641"/>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82" t="s">
        <v>2278</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2" t="s">
        <v>2279</v>
      </c>
      <c r="D34" s="2664" t="s">
        <v>2287</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82" t="s">
        <v>2280</v>
      </c>
      <c r="D35" s="2659"/>
      <c r="E35" s="2641"/>
      <c r="F35" s="2641"/>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82" t="s">
        <v>2281</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31" t="s">
        <v>1230</v>
      </c>
      <c r="B37" s="115">
        <v>0.02</v>
      </c>
      <c r="C37" s="2782" t="s">
        <v>2282</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29" t="s">
        <v>1231</v>
      </c>
      <c r="B38" s="113">
        <v>0.02</v>
      </c>
      <c r="C38" s="2782" t="s">
        <v>2282</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32" t="s">
        <v>1232</v>
      </c>
      <c r="B39" s="31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4" t="s">
        <v>2297</v>
      </c>
      <c r="B40" s="1078">
        <f ca="1">IF(A40="利息：取LPR",存贷款利率!G1,存贷款利率!G1+C40)</f>
        <v>3.4500000000000003E-2</v>
      </c>
      <c r="C40" s="2793">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27" t="s">
        <v>1233</v>
      </c>
      <c r="B41" s="116">
        <f>B42+B43</f>
        <v>5.6000000000000001E-2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33" t="s">
        <v>1234</v>
      </c>
      <c r="B42" s="117">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33" t="s">
        <v>1235</v>
      </c>
      <c r="B43" s="118">
        <f>B42*(B44+B45+B46)+B47</f>
        <v>6.000000000000001E-3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34" t="s">
        <v>1236</v>
      </c>
      <c r="B44" s="119">
        <v>7.0000000000000007E-2</v>
      </c>
      <c r="C44" s="2782" t="s">
        <v>2291</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34" t="s">
        <v>1237</v>
      </c>
      <c r="B45" s="117">
        <v>0.03</v>
      </c>
      <c r="C45" s="2781" t="s">
        <v>2283</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34" t="s">
        <v>1238</v>
      </c>
      <c r="B46" s="117">
        <v>0.02</v>
      </c>
      <c r="C46" s="2781" t="s">
        <v>2284</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35" t="s">
        <v>1239</v>
      </c>
      <c r="B47" s="120"/>
      <c r="C47" s="2784" t="s">
        <v>2292</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36" t="s">
        <v>1240</v>
      </c>
      <c r="B48" s="121">
        <v>0.03</v>
      </c>
      <c r="C48" s="2781" t="s">
        <v>2283</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32" t="s">
        <v>1241</v>
      </c>
      <c r="B49" s="117">
        <v>5.0000000000000001E-4</v>
      </c>
      <c r="C49" s="2781" t="s">
        <v>2285</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37" t="s">
        <v>1242</v>
      </c>
      <c r="B50" s="122">
        <v>1.2E-2</v>
      </c>
      <c r="C50" s="2641"/>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30" t="s">
        <v>1243</v>
      </c>
      <c r="B51" s="123">
        <v>0.12</v>
      </c>
      <c r="C51" s="2641"/>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37" t="s">
        <v>1244</v>
      </c>
      <c r="B52" s="124">
        <f>SUMIF(A54:A63,B53,B54:B63)</f>
        <v>1.5</v>
      </c>
      <c r="C52" s="2641"/>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29" t="s">
        <v>1245</v>
      </c>
      <c r="B53" s="1738" t="s">
        <v>29</v>
      </c>
      <c r="C53" s="2641" t="s">
        <v>1246</v>
      </c>
      <c r="D53" s="2783" t="s">
        <v>2289</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39" t="s">
        <v>1247</v>
      </c>
      <c r="B54" s="75"/>
      <c r="C54" s="2641">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39" t="s">
        <v>1248</v>
      </c>
      <c r="B55" s="75"/>
      <c r="C55" s="2641">
        <v>24</v>
      </c>
      <c r="D55" s="2656"/>
      <c r="E55" s="2653"/>
      <c r="F55" s="2653"/>
      <c r="G55" s="2653"/>
      <c r="H55" s="2653"/>
      <c r="I55" s="2654"/>
      <c r="J55" s="2653"/>
      <c r="K55" s="2652"/>
      <c r="L55" s="2652"/>
      <c r="M55" s="2651"/>
      <c r="N55" s="2651"/>
      <c r="O55" s="2651"/>
      <c r="P55" s="2651"/>
      <c r="Q55" s="2651"/>
      <c r="R55" s="2651"/>
      <c r="S55" s="2651"/>
      <c r="T55" s="2651"/>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39" t="s">
        <v>1249</v>
      </c>
      <c r="B56" s="75"/>
      <c r="C56" s="2641">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39" t="s">
        <v>1250</v>
      </c>
      <c r="B57" s="75"/>
      <c r="C57" s="2641">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39" t="s">
        <v>1251</v>
      </c>
      <c r="B58" s="75"/>
      <c r="C58" s="2641">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39" t="s">
        <v>1252</v>
      </c>
      <c r="B59" s="75">
        <v>1.5</v>
      </c>
      <c r="C59" s="2641">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39"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39"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39"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40" t="s">
        <v>1256</v>
      </c>
      <c r="B63" s="12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93" customFormat="1">
      <c r="A64" s="2644"/>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93" customFormat="1">
      <c r="A65" s="2644"/>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93" customFormat="1">
      <c r="A66" s="2644"/>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93" customFormat="1">
      <c r="A67" s="2644"/>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93" customFormat="1">
      <c r="A68" s="2644"/>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2269</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2264</v>
      </c>
      <c r="D2" s="2461"/>
      <c r="E2" s="2458"/>
      <c r="F2" s="2462"/>
      <c r="G2" s="2460" t="s">
        <v>2265</v>
      </c>
      <c r="H2" s="799"/>
      <c r="I2" s="799"/>
      <c r="J2" s="799"/>
      <c r="K2" s="799"/>
      <c r="L2" s="799"/>
      <c r="M2" s="799"/>
      <c r="N2" s="799"/>
      <c r="O2" s="799"/>
      <c r="P2" s="799"/>
      <c r="Q2" s="799"/>
      <c r="R2" s="799"/>
    </row>
    <row r="3" spans="1:29" ht="48">
      <c r="A3" s="2441" t="s">
        <v>2266</v>
      </c>
      <c r="B3" s="2463" t="s">
        <v>2235</v>
      </c>
      <c r="C3" s="2464" t="s">
        <v>2267</v>
      </c>
      <c r="D3" s="2465"/>
      <c r="E3" s="2442" t="s">
        <v>2266</v>
      </c>
      <c r="F3" s="2466" t="s">
        <v>2236</v>
      </c>
      <c r="G3" s="2467" t="s">
        <v>2268</v>
      </c>
      <c r="H3" s="799"/>
      <c r="I3" s="799"/>
      <c r="J3" s="799"/>
      <c r="K3" s="799"/>
      <c r="L3" s="799"/>
      <c r="M3" s="799"/>
      <c r="N3" s="799"/>
      <c r="O3" s="799"/>
      <c r="P3" s="799"/>
      <c r="Q3" s="799"/>
      <c r="R3" s="799"/>
    </row>
    <row r="4" spans="1:29" ht="36.75">
      <c r="A4" s="2442"/>
      <c r="B4" s="323" t="s">
        <v>2237</v>
      </c>
      <c r="C4" s="2468" t="s">
        <v>2238</v>
      </c>
      <c r="D4" s="2465"/>
      <c r="E4" s="2469"/>
      <c r="F4" s="1373" t="s">
        <v>2239</v>
      </c>
      <c r="G4" s="2470" t="s">
        <v>2240</v>
      </c>
      <c r="H4" s="799"/>
      <c r="I4" s="799"/>
      <c r="J4" s="799"/>
      <c r="K4" s="799"/>
      <c r="L4" s="799"/>
      <c r="M4" s="799"/>
      <c r="N4" s="799"/>
      <c r="O4" s="799"/>
      <c r="P4" s="799"/>
      <c r="Q4" s="799"/>
      <c r="R4" s="799"/>
    </row>
    <row r="5" spans="1:29" ht="36.75">
      <c r="A5" s="2442"/>
      <c r="B5" s="323" t="s">
        <v>2241</v>
      </c>
      <c r="C5" s="2468" t="s">
        <v>2242</v>
      </c>
      <c r="D5" s="2465"/>
      <c r="E5" s="2469"/>
      <c r="F5" s="323" t="s">
        <v>2243</v>
      </c>
      <c r="G5" s="2470" t="s">
        <v>2244</v>
      </c>
      <c r="H5" s="799"/>
      <c r="I5" s="799"/>
      <c r="J5" s="799"/>
      <c r="K5" s="799"/>
      <c r="L5" s="799"/>
      <c r="M5" s="799"/>
      <c r="N5" s="799"/>
      <c r="O5" s="799"/>
      <c r="P5" s="799"/>
      <c r="Q5" s="799"/>
      <c r="R5" s="799"/>
    </row>
    <row r="6" spans="1:29" ht="36">
      <c r="A6" s="2442"/>
      <c r="B6" s="323" t="s">
        <v>2245</v>
      </c>
      <c r="C6" s="2470" t="s">
        <v>2240</v>
      </c>
      <c r="D6" s="2465"/>
      <c r="E6" s="2469"/>
      <c r="F6" s="323" t="s">
        <v>2246</v>
      </c>
      <c r="G6" s="2470" t="s">
        <v>2247</v>
      </c>
      <c r="H6" s="799"/>
      <c r="I6" s="799"/>
      <c r="J6" s="799"/>
      <c r="K6" s="799"/>
      <c r="L6" s="799"/>
      <c r="M6" s="799"/>
      <c r="N6" s="799"/>
      <c r="O6" s="799"/>
      <c r="P6" s="799"/>
      <c r="Q6" s="799"/>
      <c r="R6" s="799"/>
    </row>
    <row r="7" spans="1:29" ht="24.75" thickBot="1">
      <c r="A7" s="2442"/>
      <c r="B7" s="323" t="s">
        <v>2243</v>
      </c>
      <c r="C7" s="2470" t="s">
        <v>2244</v>
      </c>
      <c r="D7" s="2471"/>
      <c r="E7" s="2472"/>
      <c r="F7" s="2473" t="s">
        <v>2248</v>
      </c>
      <c r="G7" s="2474" t="s">
        <v>2249</v>
      </c>
      <c r="H7" s="799"/>
      <c r="I7" s="799"/>
      <c r="J7" s="799"/>
      <c r="K7" s="799"/>
      <c r="L7" s="799"/>
      <c r="M7" s="799"/>
      <c r="N7" s="799"/>
      <c r="O7" s="799"/>
      <c r="P7" s="799"/>
      <c r="Q7" s="799"/>
      <c r="R7" s="799"/>
    </row>
    <row r="8" spans="1:29">
      <c r="A8" s="2442"/>
      <c r="B8" s="323" t="s">
        <v>2246</v>
      </c>
      <c r="C8" s="2470" t="s">
        <v>2247</v>
      </c>
      <c r="D8" s="2471"/>
      <c r="E8" s="2471"/>
      <c r="F8" s="2475"/>
      <c r="G8" s="2475"/>
      <c r="H8" s="799"/>
      <c r="I8" s="799"/>
      <c r="J8" s="799"/>
      <c r="K8" s="799"/>
      <c r="L8" s="799"/>
      <c r="M8" s="799"/>
      <c r="N8" s="799"/>
      <c r="O8" s="799"/>
      <c r="P8" s="799"/>
      <c r="Q8" s="799"/>
      <c r="R8" s="799"/>
    </row>
    <row r="9" spans="1:29" ht="24">
      <c r="A9" s="2442"/>
      <c r="B9" s="323" t="s">
        <v>2250</v>
      </c>
      <c r="C9" s="2468" t="s">
        <v>2251</v>
      </c>
      <c r="D9" s="2465"/>
      <c r="E9" s="2471"/>
      <c r="F9" s="2475"/>
      <c r="G9" s="2475"/>
      <c r="H9" s="799"/>
      <c r="I9" s="799"/>
      <c r="J9" s="799"/>
      <c r="K9" s="799"/>
      <c r="L9" s="799"/>
      <c r="M9" s="799"/>
      <c r="N9" s="799"/>
      <c r="O9" s="799"/>
      <c r="P9" s="799"/>
      <c r="Q9" s="799"/>
      <c r="R9" s="799"/>
    </row>
    <row r="10" spans="1:29" s="2481" customFormat="1" ht="15" thickBot="1">
      <c r="A10" s="2443"/>
      <c r="B10" s="2476" t="s">
        <v>2252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2270</v>
      </c>
      <c r="B13" s="2484"/>
      <c r="C13" s="2484"/>
      <c r="D13" s="2482"/>
      <c r="E13" s="2484"/>
      <c r="F13" s="2484"/>
      <c r="G13" s="2484"/>
    </row>
    <row r="14" spans="1:29" ht="15" thickBot="1">
      <c r="A14" s="2494"/>
      <c r="B14" s="2494"/>
      <c r="C14" s="2495" t="s">
        <v>2253</v>
      </c>
      <c r="D14" s="2465"/>
      <c r="E14" s="2496"/>
      <c r="F14" s="2496"/>
      <c r="G14" s="2460" t="s">
        <v>2254</v>
      </c>
    </row>
    <row r="15" spans="1:29" ht="51">
      <c r="A15" s="2444" t="s">
        <v>2255</v>
      </c>
      <c r="B15" s="2497" t="s">
        <v>2235</v>
      </c>
      <c r="C15" s="2498" t="str">
        <f>C3</f>
        <v>估价对象周边居住用地比例、居住小区规模和社区发展完善程度，综合评价居住社区成熟度一般</v>
      </c>
      <c r="D15" s="2465"/>
      <c r="E15" s="2445" t="s">
        <v>2256</v>
      </c>
      <c r="F15" s="2497" t="s">
        <v>2257</v>
      </c>
      <c r="G15" s="2499" t="str">
        <f>G3</f>
        <v>估价对象位于XX开发区，园区建设成熟度XX，产业集聚程度XX</v>
      </c>
    </row>
    <row r="16" spans="1:29" ht="38.25">
      <c r="A16" s="2446"/>
      <c r="B16" s="2500" t="s">
        <v>2237</v>
      </c>
      <c r="C16" s="2501" t="str">
        <f>C4</f>
        <v>估价对象位于XX商圈，周边商业氛围成熟，人流量大，商业繁华度好</v>
      </c>
      <c r="D16" s="2465"/>
      <c r="E16" s="2447"/>
      <c r="F16" s="2502" t="s">
        <v>2239</v>
      </c>
      <c r="G16" s="2503" t="str">
        <f>G4</f>
        <v>估价对象周边道路状况、公共交通通达情况、停车便捷程度，综合评价交通便捷度较好</v>
      </c>
    </row>
    <row r="17" spans="1:18" ht="38.25">
      <c r="A17" s="2446"/>
      <c r="B17" s="2500" t="s">
        <v>2241</v>
      </c>
      <c r="C17" s="2501" t="str">
        <f>C5</f>
        <v>估价对象位于XX商圈，周边办公楼项目较多，入驻率高，办公集聚程度较好</v>
      </c>
      <c r="D17" s="2471"/>
      <c r="E17" s="2447"/>
      <c r="F17" s="2502" t="s">
        <v>2258</v>
      </c>
      <c r="G17" s="2504"/>
    </row>
    <row r="18" spans="1:18" ht="38.25">
      <c r="A18" s="2446"/>
      <c r="B18" s="2502" t="s">
        <v>2245</v>
      </c>
      <c r="C18" s="2503" t="str">
        <f>C6</f>
        <v>估价对象周边道路状况、公共交通通达情况、停车便捷程度，综合评价交通便捷度较好</v>
      </c>
      <c r="D18" s="2471"/>
      <c r="E18" s="2447"/>
      <c r="F18" s="2502" t="s">
        <v>2248</v>
      </c>
      <c r="G18" s="2503" t="str">
        <f>G7</f>
        <v>该园区内是否有污染型企业，绿化情况，卫生条件，整体环境状况判断</v>
      </c>
    </row>
    <row r="19" spans="1:18" ht="25.5">
      <c r="A19" s="2446"/>
      <c r="B19" s="2502" t="s">
        <v>2259</v>
      </c>
      <c r="C19" s="2504"/>
      <c r="D19" s="2465"/>
      <c r="E19" s="2447"/>
      <c r="F19" s="323" t="s">
        <v>2243</v>
      </c>
      <c r="G19" s="2503" t="str">
        <f>G5</f>
        <v>估价对象所在区域公共配套设施齐备情况</v>
      </c>
    </row>
    <row r="20" spans="1:18" ht="25.5">
      <c r="A20" s="2446"/>
      <c r="B20" s="2502" t="s">
        <v>2260</v>
      </c>
      <c r="C20" s="2501" t="str">
        <f>C9</f>
        <v>区域自然环境：；人文环境；综合评价环境状况一般</v>
      </c>
      <c r="D20" s="2471"/>
      <c r="E20" s="2447"/>
      <c r="F20" s="323" t="s">
        <v>2246</v>
      </c>
      <c r="G20" s="2503" t="str">
        <f>G6</f>
        <v>估价对象所在区域基础设施水平</v>
      </c>
    </row>
    <row r="21" spans="1:18" ht="25.5">
      <c r="A21" s="2446"/>
      <c r="B21" s="323" t="s">
        <v>2243</v>
      </c>
      <c r="C21" s="2503" t="str">
        <f>C7</f>
        <v>估价对象所在区域公共配套设施齐备情况</v>
      </c>
      <c r="D21" s="2465"/>
      <c r="E21" s="2447"/>
      <c r="F21" s="2502" t="s">
        <v>2261</v>
      </c>
      <c r="G21" s="2505"/>
    </row>
    <row r="22" spans="1:18" ht="13.5" customHeight="1">
      <c r="A22" s="2446"/>
      <c r="B22" s="323" t="s">
        <v>2246</v>
      </c>
      <c r="C22" s="2503" t="str">
        <f>C8</f>
        <v>估价对象所在区域基础设施水平</v>
      </c>
      <c r="D22" s="2465"/>
      <c r="E22" s="2447"/>
      <c r="F22" s="2502" t="s">
        <v>2252</v>
      </c>
      <c r="G22" s="2504"/>
    </row>
    <row r="23" spans="1:18" s="799" customFormat="1" ht="15" thickBot="1">
      <c r="A23" s="2446"/>
      <c r="B23" s="2502" t="s">
        <v>2261</v>
      </c>
      <c r="C23" s="2505"/>
      <c r="D23" s="1741"/>
      <c r="E23" s="2448"/>
      <c r="F23" s="2506" t="s">
        <v>2262</v>
      </c>
      <c r="G23" s="2507"/>
      <c r="H23" s="2491"/>
      <c r="I23" s="2492"/>
      <c r="J23" s="2491"/>
      <c r="K23" s="2491"/>
      <c r="L23" s="2492"/>
      <c r="M23" s="2491"/>
      <c r="N23" s="2491"/>
      <c r="O23" s="2492"/>
      <c r="P23" s="2491"/>
      <c r="Q23" s="2491"/>
      <c r="R23" s="2493"/>
    </row>
    <row r="24" spans="1:18" s="799" customFormat="1" ht="15" thickBot="1">
      <c r="A24" s="2449"/>
      <c r="B24" s="2506" t="s">
        <v>2263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108132.23000000003</v>
      </c>
      <c r="C1" s="2666"/>
      <c r="D1" s="2666"/>
      <c r="E1" s="2666"/>
      <c r="F1" s="2666"/>
      <c r="G1" s="2667"/>
      <c r="H1" s="2668"/>
      <c r="I1" s="2668"/>
      <c r="J1" s="2668"/>
      <c r="K1" s="2668"/>
    </row>
    <row r="2" spans="1:11" ht="16.5">
      <c r="A2" s="2512" t="s">
        <v>653</v>
      </c>
      <c r="B2" s="2512">
        <f>SUM(C14:C23)</f>
        <v>0</v>
      </c>
      <c r="C2" s="2666"/>
      <c r="D2" s="2666"/>
      <c r="E2" s="2666"/>
      <c r="F2" s="2666"/>
      <c r="G2" s="2667"/>
      <c r="H2" s="2668"/>
      <c r="I2" s="2668"/>
      <c r="J2" s="2668"/>
      <c r="K2" s="2668"/>
    </row>
    <row r="3" spans="1:11" ht="16.5">
      <c r="A3" s="2512" t="s">
        <v>662</v>
      </c>
      <c r="B3" s="2514">
        <f>项目基本情况!D3</f>
        <v>45420</v>
      </c>
      <c r="C3" s="2666"/>
      <c r="D3" s="2666"/>
      <c r="E3" s="2666"/>
      <c r="F3" s="2666"/>
      <c r="G3" s="2667"/>
      <c r="H3" s="2668"/>
      <c r="I3" s="2668"/>
      <c r="J3" s="2668"/>
      <c r="K3" s="2668"/>
    </row>
    <row r="4" spans="1:11" ht="33">
      <c r="A4" s="2512" t="s">
        <v>661</v>
      </c>
      <c r="B4" s="2512" t="s">
        <v>660</v>
      </c>
      <c r="C4" s="2512" t="s">
        <v>659</v>
      </c>
      <c r="D4" s="2512" t="s">
        <v>658</v>
      </c>
      <c r="E4" s="2666"/>
      <c r="F4" s="2667"/>
      <c r="G4" s="2667"/>
      <c r="H4" s="2668"/>
      <c r="I4" s="2668"/>
      <c r="J4" s="2668"/>
      <c r="K4" s="2668"/>
    </row>
    <row r="5" spans="1:11" ht="16.5">
      <c r="A5" s="2512" t="s">
        <v>657</v>
      </c>
      <c r="B5" s="2512">
        <f ca="1">SUM(D14:D23)</f>
        <v>113520</v>
      </c>
      <c r="C5" s="2512">
        <f ca="1">IF(B5=D14,结果表!H102,ROUND(B5*10000/$B$1,0))</f>
        <v>10498</v>
      </c>
      <c r="D5" s="2512" t="e">
        <f ca="1">ROUND(B5*10000/$B$2,0)</f>
        <v>#DIV/0!</v>
      </c>
      <c r="E5" s="2666"/>
      <c r="F5" s="2667"/>
      <c r="G5" s="2667"/>
      <c r="H5" s="2668"/>
      <c r="I5" s="2668"/>
      <c r="J5" s="2668"/>
      <c r="K5" s="2668"/>
    </row>
    <row r="6" spans="1:11" ht="16.5">
      <c r="A6" s="2512" t="s">
        <v>656</v>
      </c>
      <c r="B6" s="2512">
        <f ca="1">SUM(G14:G23)</f>
        <v>113520</v>
      </c>
      <c r="C6" s="2512">
        <f ca="1">IF(B6=G14,结果表!H108,ROUND(B6*10000/$B$1,0))</f>
        <v>10498</v>
      </c>
      <c r="D6" s="2512" t="e">
        <f ca="1">ROUND(B6*10000/$B$2,0)</f>
        <v>#DIV/0!</v>
      </c>
      <c r="E6" s="2666"/>
      <c r="F6" s="2667"/>
      <c r="G6" s="2667"/>
      <c r="H6" s="2668"/>
      <c r="I6" s="2668"/>
      <c r="J6" s="2668"/>
      <c r="K6" s="2668"/>
    </row>
    <row r="7" spans="1:11" ht="16.5">
      <c r="A7" s="2512" t="s">
        <v>664</v>
      </c>
      <c r="B7" s="2512">
        <f>SUM(H14:H23)</f>
        <v>0</v>
      </c>
      <c r="C7" s="2512" t="str">
        <f>IF(B7=H14,结果表!H110,ROUND(B7*10000/$B$1,0))</f>
        <v>——</v>
      </c>
      <c r="D7" s="2512" t="e">
        <f>ROUND(B7*10000/$B$2,0)</f>
        <v>#DIV/0!</v>
      </c>
      <c r="E7" s="2666"/>
      <c r="F7" s="2667"/>
      <c r="G7" s="2667"/>
      <c r="H7" s="2668"/>
      <c r="I7" s="2668"/>
      <c r="J7" s="2668"/>
      <c r="K7" s="2668"/>
    </row>
    <row r="8" spans="1:11" ht="16.5">
      <c r="A8" s="2512" t="s">
        <v>587</v>
      </c>
      <c r="B8" s="2512">
        <f ca="1">SUM(I14:I23)</f>
        <v>102003</v>
      </c>
      <c r="C8" s="2512">
        <f ca="1">IF(B8=I14,结果表!H112,ROUND(B8*10000/$B$1,0))</f>
        <v>3991</v>
      </c>
      <c r="D8" s="2512" t="e">
        <f ca="1">ROUND(B8*10000/$B$2,0)</f>
        <v>#DIV/0!</v>
      </c>
      <c r="E8" s="2666"/>
      <c r="F8" s="2667"/>
      <c r="G8" s="2667"/>
      <c r="H8" s="2668"/>
      <c r="I8" s="2668"/>
      <c r="J8" s="2668"/>
      <c r="K8" s="2668"/>
    </row>
    <row r="9" spans="1:11" ht="16.5">
      <c r="A9" s="2512" t="s">
        <v>655</v>
      </c>
      <c r="B9" s="2520"/>
      <c r="C9" s="2666"/>
      <c r="D9" s="2666"/>
      <c r="E9" s="2666"/>
      <c r="F9" s="2667"/>
      <c r="G9" s="2667"/>
      <c r="H9" s="2668"/>
      <c r="I9" s="2668"/>
      <c r="J9" s="2668"/>
      <c r="K9" s="2668"/>
    </row>
    <row r="10" spans="1:11" ht="16.5">
      <c r="A10" s="2512" t="s">
        <v>654</v>
      </c>
      <c r="B10" s="2512">
        <f>IF(E10="",0,ROUND(B1*(E10*365/G10)/10000,0))</f>
        <v>0</v>
      </c>
      <c r="C10" s="2512" t="s">
        <v>3343</v>
      </c>
      <c r="D10" s="2512" t="s">
        <v>3344</v>
      </c>
      <c r="E10" s="3420"/>
      <c r="F10" s="3424" t="s">
        <v>3345</v>
      </c>
      <c r="G10" s="3421"/>
      <c r="H10" s="2668"/>
      <c r="I10" s="2668"/>
      <c r="J10" s="2668"/>
      <c r="K10" s="2668"/>
    </row>
    <row r="11" spans="1:11" ht="16.5">
      <c r="A11" s="2512" t="s">
        <v>670</v>
      </c>
      <c r="B11" s="2520"/>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515" t="s">
        <v>669</v>
      </c>
      <c r="B13" s="2516" t="s">
        <v>666</v>
      </c>
      <c r="C13" s="2516" t="s">
        <v>668</v>
      </c>
      <c r="D13" s="2516" t="s">
        <v>667</v>
      </c>
      <c r="E13" s="2512" t="s">
        <v>659</v>
      </c>
      <c r="F13" s="2512" t="s">
        <v>658</v>
      </c>
      <c r="G13" s="2516" t="s">
        <v>652</v>
      </c>
      <c r="H13" s="2516" t="s">
        <v>663</v>
      </c>
      <c r="I13" s="2516" t="s">
        <v>651</v>
      </c>
      <c r="J13" s="2667"/>
      <c r="K13" s="2668"/>
    </row>
    <row r="14" spans="1:11" ht="16.5">
      <c r="A14" s="2517" t="s">
        <v>650</v>
      </c>
      <c r="B14" s="2518">
        <f>结果表!B118</f>
        <v>108132.23000000003</v>
      </c>
      <c r="C14" s="2518"/>
      <c r="D14" s="2518">
        <f ca="1">结果表!H118</f>
        <v>113520</v>
      </c>
      <c r="E14" s="2518">
        <f ca="1">ROUND(D14*10000/B14,0)</f>
        <v>10498</v>
      </c>
      <c r="F14" s="2518" t="e">
        <f ca="1">ROUND(D14*10000/C14,0)</f>
        <v>#DIV/0!</v>
      </c>
      <c r="G14" s="2518">
        <f ca="1">结果表!D122</f>
        <v>113520</v>
      </c>
      <c r="H14" s="2518"/>
      <c r="I14" s="2518">
        <f ca="1">结果表!P59</f>
        <v>102003</v>
      </c>
      <c r="J14" s="2667"/>
      <c r="K14" s="2668"/>
    </row>
    <row r="15" spans="1:11" ht="16.5">
      <c r="A15" s="2517" t="s">
        <v>649</v>
      </c>
      <c r="B15" s="2519"/>
      <c r="C15" s="2519"/>
      <c r="D15" s="2519"/>
      <c r="E15" s="2518" t="e">
        <f t="shared" ref="E15:E23" si="0">ROUND(D15*10000/B15,0)</f>
        <v>#DIV/0!</v>
      </c>
      <c r="F15" s="2518" t="e">
        <f t="shared" ref="F15:F23" si="1">ROUND(D15*10000/C15,0)</f>
        <v>#DIV/0!</v>
      </c>
      <c r="G15" s="1331"/>
      <c r="H15" s="1331"/>
      <c r="I15" s="2519"/>
      <c r="J15" s="2667"/>
      <c r="K15" s="2668"/>
    </row>
    <row r="16" spans="1:11" ht="16.5">
      <c r="A16" s="2517" t="s">
        <v>648</v>
      </c>
      <c r="B16" s="2519"/>
      <c r="C16" s="2519"/>
      <c r="D16" s="2519"/>
      <c r="E16" s="2518" t="e">
        <f t="shared" si="0"/>
        <v>#DIV/0!</v>
      </c>
      <c r="F16" s="2518" t="e">
        <f t="shared" si="1"/>
        <v>#DIV/0!</v>
      </c>
      <c r="G16" s="1331"/>
      <c r="H16" s="1331"/>
      <c r="I16" s="2519"/>
      <c r="J16" s="2668"/>
      <c r="K16" s="2668"/>
    </row>
    <row r="17" spans="1:11" ht="16.5">
      <c r="A17" s="2517" t="s">
        <v>647</v>
      </c>
      <c r="B17" s="2519"/>
      <c r="C17" s="2519"/>
      <c r="D17" s="2519"/>
      <c r="E17" s="2518" t="e">
        <f t="shared" si="0"/>
        <v>#DIV/0!</v>
      </c>
      <c r="F17" s="2518" t="e">
        <f t="shared" si="1"/>
        <v>#DIV/0!</v>
      </c>
      <c r="G17" s="1331"/>
      <c r="H17" s="1331"/>
      <c r="I17" s="2519"/>
      <c r="J17" s="2668"/>
      <c r="K17" s="2668"/>
    </row>
    <row r="18" spans="1:11" ht="16.5">
      <c r="A18" s="2517" t="s">
        <v>646</v>
      </c>
      <c r="B18" s="2519"/>
      <c r="C18" s="2519"/>
      <c r="D18" s="2519"/>
      <c r="E18" s="2518" t="e">
        <f t="shared" si="0"/>
        <v>#DIV/0!</v>
      </c>
      <c r="F18" s="2518" t="e">
        <f t="shared" si="1"/>
        <v>#DIV/0!</v>
      </c>
      <c r="G18" s="2519"/>
      <c r="H18" s="2519"/>
      <c r="I18" s="2519"/>
      <c r="J18" s="2668"/>
      <c r="K18" s="2668"/>
    </row>
    <row r="19" spans="1:11" ht="16.5">
      <c r="A19" s="2517" t="s">
        <v>645</v>
      </c>
      <c r="B19" s="2519"/>
      <c r="C19" s="2519"/>
      <c r="D19" s="2519"/>
      <c r="E19" s="2518" t="e">
        <f t="shared" si="0"/>
        <v>#DIV/0!</v>
      </c>
      <c r="F19" s="2518" t="e">
        <f t="shared" si="1"/>
        <v>#DIV/0!</v>
      </c>
      <c r="G19" s="2519"/>
      <c r="H19" s="2519"/>
      <c r="I19" s="2519"/>
      <c r="J19" s="2668"/>
      <c r="K19" s="2668"/>
    </row>
    <row r="20" spans="1:11" ht="16.5">
      <c r="A20" s="2517" t="s">
        <v>644</v>
      </c>
      <c r="B20" s="2519"/>
      <c r="C20" s="2519"/>
      <c r="D20" s="2519"/>
      <c r="E20" s="2518" t="e">
        <f t="shared" si="0"/>
        <v>#DIV/0!</v>
      </c>
      <c r="F20" s="2518" t="e">
        <f t="shared" si="1"/>
        <v>#DIV/0!</v>
      </c>
      <c r="G20" s="2519"/>
      <c r="H20" s="2519"/>
      <c r="I20" s="2519"/>
      <c r="J20" s="2668"/>
      <c r="K20" s="2668"/>
    </row>
    <row r="21" spans="1:11" ht="16.5">
      <c r="A21" s="2517" t="s">
        <v>643</v>
      </c>
      <c r="B21" s="2519"/>
      <c r="C21" s="2519"/>
      <c r="D21" s="2519"/>
      <c r="E21" s="2518" t="e">
        <f t="shared" si="0"/>
        <v>#DIV/0!</v>
      </c>
      <c r="F21" s="2518" t="e">
        <f t="shared" si="1"/>
        <v>#DIV/0!</v>
      </c>
      <c r="G21" s="2519"/>
      <c r="H21" s="2519"/>
      <c r="I21" s="2519"/>
      <c r="J21" s="2668"/>
      <c r="K21" s="2668"/>
    </row>
    <row r="22" spans="1:11" ht="16.5">
      <c r="A22" s="2517" t="s">
        <v>642</v>
      </c>
      <c r="B22" s="2519"/>
      <c r="C22" s="2519"/>
      <c r="D22" s="2519"/>
      <c r="E22" s="2518" t="e">
        <f t="shared" si="0"/>
        <v>#DIV/0!</v>
      </c>
      <c r="F22" s="2518" t="e">
        <f t="shared" si="1"/>
        <v>#DIV/0!</v>
      </c>
      <c r="G22" s="2519"/>
      <c r="H22" s="2519"/>
      <c r="I22" s="2519"/>
      <c r="J22" s="2668"/>
      <c r="K22" s="2668"/>
    </row>
    <row r="23" spans="1:11" ht="16.5">
      <c r="A23" s="2517" t="s">
        <v>641</v>
      </c>
      <c r="B23" s="2519"/>
      <c r="C23" s="2519"/>
      <c r="D23" s="2519"/>
      <c r="E23" s="2520" t="e">
        <f t="shared" si="0"/>
        <v>#DIV/0!</v>
      </c>
      <c r="F23" s="2520" t="e">
        <f t="shared" si="1"/>
        <v>#DIV/0!</v>
      </c>
      <c r="G23" s="2519"/>
      <c r="H23" s="2519"/>
      <c r="I23" s="2519"/>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8" zoomScale="70" zoomScaleNormal="100" zoomScaleSheetLayoutView="70" zoomScalePageLayoutView="80" workbookViewId="0">
      <selection activeCell="R63" sqref="R6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3509</v>
      </c>
      <c r="D4" s="1756" t="s">
        <v>3489</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v>4</v>
      </c>
      <c r="D14" s="3604">
        <v>6</v>
      </c>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5" t="s">
        <v>2114</v>
      </c>
      <c r="F18" s="3636"/>
      <c r="G18" s="3636"/>
      <c r="H18" s="3636"/>
      <c r="I18" s="3636"/>
      <c r="J18" s="725" t="s">
        <v>3427</v>
      </c>
      <c r="K18" s="302" t="s">
        <v>1289</v>
      </c>
      <c r="L18" s="302">
        <f>IF(C1="",'数据-汇总表'!E3,SUMIF(项目类型,C1,'数据-汇总表'!E17:E26)+SUMIF(项目类型,C1,'数据-汇总表'!I17:I26))</f>
        <v>108132.23000000003</v>
      </c>
      <c r="M18" s="302">
        <f>IF(C1="",'数据-汇总表'!E3,SUMIF(项目类型,C1,'数据-汇总表'!E17:E26))</f>
        <v>108132.23000000003</v>
      </c>
    </row>
    <row r="19" spans="1:36" ht="15">
      <c r="A19" s="1761" t="s">
        <v>1290</v>
      </c>
      <c r="B19" s="1762" t="s">
        <v>1291</v>
      </c>
      <c r="C19" s="134">
        <f ca="1">SUMIF(INDIRECT("'"&amp;C4&amp;"'"&amp;"!A:A"),结果表!B19,INDIRECT("'"&amp;C4&amp;"'"&amp;"!B:B"))</f>
        <v>84734</v>
      </c>
      <c r="D19" s="135">
        <f ca="1">SUMIF(INDIRECT("'"&amp;D4&amp;"'"&amp;"!A:A"),结果表!B19,INDIRECT("'"&amp;D4&amp;"'"&amp;"!B:B"))</f>
        <v>132710</v>
      </c>
      <c r="E19" s="1761" t="s">
        <v>1292</v>
      </c>
      <c r="F19" s="1762" t="s">
        <v>1291</v>
      </c>
      <c r="G19" s="136">
        <f ca="1">ROUND(C19*$C$18+D19*$D$18,0)</f>
        <v>113520</v>
      </c>
      <c r="H19" s="1763" t="s">
        <v>1293</v>
      </c>
      <c r="I19" s="129"/>
      <c r="J19" s="725">
        <v>123033</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7836</v>
      </c>
      <c r="D20" s="138">
        <f ca="1">SUMIF(INDIRECT("'"&amp;D4&amp;"'"&amp;"!A:A"),结果表!B20,INDIRECT("'"&amp;D4&amp;"'"&amp;"!B:B"))</f>
        <v>12273</v>
      </c>
      <c r="E20" s="1764"/>
      <c r="F20" s="1026" t="s">
        <v>1295</v>
      </c>
      <c r="G20" s="139">
        <f ca="1">ROUND(C20*$C$18+D20*$D$18,0)</f>
        <v>10498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0.56619538791984336</v>
      </c>
      <c r="E22" s="129"/>
      <c r="F22" s="129"/>
      <c r="G22" s="129"/>
      <c r="H22" s="129"/>
      <c r="I22" s="129"/>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2115</v>
      </c>
      <c r="F30" s="129"/>
      <c r="G30" s="129"/>
      <c r="H30" s="129"/>
      <c r="I30" s="129"/>
    </row>
    <row r="31" spans="1:36" s="2309" customFormat="1" ht="26.45" customHeight="1" thickTop="1" thickBot="1">
      <c r="A31" s="2304"/>
      <c r="B31" s="2305"/>
      <c r="C31" s="2305"/>
      <c r="D31" s="2305"/>
      <c r="E31" s="2305"/>
      <c r="F31" s="2305"/>
      <c r="G31" s="2305"/>
      <c r="H31" s="2305"/>
      <c r="I31" s="2306" t="s">
        <v>2116</v>
      </c>
      <c r="J31" s="266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113520</v>
      </c>
      <c r="D32" s="1775" t="s">
        <v>3510</v>
      </c>
      <c r="E32" s="129"/>
      <c r="F32" s="129"/>
      <c r="G32" s="129"/>
      <c r="H32" s="129"/>
      <c r="I32" s="129"/>
    </row>
    <row r="33" spans="1:15" ht="15">
      <c r="A33" s="786" t="s">
        <v>1306</v>
      </c>
      <c r="B33" s="1776"/>
      <c r="C33" s="1777" t="s">
        <v>3511</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f ca="1">ROUND(H101*F45,0)</f>
        <v>113520</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170">
        <v>1</v>
      </c>
      <c r="K46" s="3546" t="s">
        <v>3512</v>
      </c>
      <c r="L46" s="3546"/>
      <c r="M46" s="3547"/>
      <c r="N46" s="3547"/>
      <c r="O46" s="3547"/>
    </row>
    <row r="47" spans="1:15" ht="12" customHeight="1">
      <c r="A47" s="160" t="s">
        <v>1331</v>
      </c>
      <c r="B47" s="161"/>
      <c r="C47" s="162"/>
      <c r="D47" s="1087" t="s">
        <v>1332</v>
      </c>
      <c r="E47" s="302" t="s">
        <v>1333</v>
      </c>
      <c r="F47" s="163" t="s">
        <v>1334</v>
      </c>
      <c r="G47" s="2526" t="s">
        <v>1335</v>
      </c>
      <c r="H47" s="2527"/>
      <c r="I47" s="159"/>
      <c r="J47" s="170">
        <v>2</v>
      </c>
      <c r="K47" s="3546" t="s">
        <v>3513</v>
      </c>
      <c r="L47" s="3546"/>
      <c r="M47" s="3548">
        <f>'数据-取费表'!B2</f>
        <v>45420</v>
      </c>
      <c r="N47" s="3548"/>
      <c r="O47" s="3548"/>
    </row>
    <row r="48" spans="1:15" ht="25.5">
      <c r="A48" s="3608" t="s">
        <v>1336</v>
      </c>
      <c r="B48" s="3609"/>
      <c r="C48" s="3609"/>
      <c r="D48" s="2324">
        <f ca="1">IF(H48="情况1",0,IF(H48="情况2",D52,IF(H48="情况3",D53,IF(H48="情况4",D54))))</f>
        <v>6054</v>
      </c>
      <c r="E48" s="2334" t="str">
        <f>IF(H48="情况4","(销售额-原购置价)×税（费）率","销售额×税（费）率")</f>
        <v>销售额×税（费）率</v>
      </c>
      <c r="F48" s="2528">
        <f>IF(H48="情况1","免征",'数据-取费表'!B41)</f>
        <v>5.6000000000000001E-2</v>
      </c>
      <c r="G48" s="2529" t="s">
        <v>1337</v>
      </c>
      <c r="H48" s="2530" t="s">
        <v>3529</v>
      </c>
      <c r="I48" s="1806"/>
      <c r="J48" s="170">
        <v>3</v>
      </c>
      <c r="K48" s="3546" t="s">
        <v>3514</v>
      </c>
      <c r="L48" s="3546"/>
      <c r="M48" s="3549">
        <f ca="1">H101</f>
        <v>113520</v>
      </c>
      <c r="N48" s="3549"/>
      <c r="O48" s="3549"/>
    </row>
    <row r="49" spans="1:35" ht="25.5" customHeight="1">
      <c r="A49" s="2333" t="s">
        <v>1338</v>
      </c>
      <c r="B49" s="3594" t="s">
        <v>1339</v>
      </c>
      <c r="C49" s="3594"/>
      <c r="D49" s="1590">
        <v>0</v>
      </c>
      <c r="E49" s="324" t="s">
        <v>1340</v>
      </c>
      <c r="F49" s="2424" t="s">
        <v>28</v>
      </c>
      <c r="G49" s="3577"/>
      <c r="H49" s="2310" t="s">
        <v>2117</v>
      </c>
      <c r="I49" s="2311"/>
      <c r="J49" s="170">
        <v>4</v>
      </c>
      <c r="K49" s="3546" t="str">
        <f>IF(项目基本情况!E8="房地产抵押价值","房地产抵押价值","抵押担保权已注销时的房地产抵押价值")</f>
        <v>房地产抵押价值</v>
      </c>
      <c r="L49" s="3546"/>
      <c r="M49" s="3549">
        <f ca="1">IF(项目基本情况!E8="房地产抵押价值",H107,H109)</f>
        <v>113520</v>
      </c>
      <c r="N49" s="3549"/>
      <c r="O49" s="3549"/>
    </row>
    <row r="50" spans="1:35" ht="25.5" customHeight="1">
      <c r="A50" s="2531"/>
      <c r="B50" s="3594" t="s">
        <v>1341</v>
      </c>
      <c r="C50" s="3594"/>
      <c r="D50" s="2532"/>
      <c r="E50" s="332"/>
      <c r="F50" s="2424"/>
      <c r="G50" s="3578"/>
      <c r="H50" s="2312" t="s">
        <v>2118</v>
      </c>
      <c r="I50" s="2311"/>
      <c r="J50" s="3549" t="s">
        <v>3515</v>
      </c>
      <c r="K50" s="3549"/>
      <c r="L50" s="3549"/>
      <c r="M50" s="3549"/>
      <c r="N50" s="3549"/>
      <c r="O50" s="3549"/>
    </row>
    <row r="51" spans="1:35" ht="20.45" customHeight="1">
      <c r="A51" s="2533"/>
      <c r="B51" s="3594" t="s">
        <v>1342</v>
      </c>
      <c r="C51" s="3594"/>
      <c r="D51" s="1087"/>
      <c r="E51" s="327"/>
      <c r="F51" s="2424"/>
      <c r="G51" s="3579"/>
      <c r="H51" s="2312" t="s">
        <v>2119</v>
      </c>
      <c r="I51" s="2311"/>
      <c r="J51" s="174" t="s">
        <v>3516</v>
      </c>
      <c r="K51" s="3546" t="s">
        <v>3517</v>
      </c>
      <c r="L51" s="3546"/>
      <c r="M51" s="174" t="s">
        <v>3518</v>
      </c>
      <c r="N51" s="174" t="s">
        <v>3519</v>
      </c>
      <c r="O51" s="174" t="s">
        <v>3520</v>
      </c>
    </row>
    <row r="52" spans="1:35" ht="24" customHeight="1">
      <c r="A52" s="2335" t="s">
        <v>1343</v>
      </c>
      <c r="B52" s="3594" t="s">
        <v>1344</v>
      </c>
      <c r="C52" s="3594"/>
      <c r="D52" s="1087">
        <f ca="1">ROUND(D45*'数据-取费表'!B41/(1+'数据-取费表'!C42),0)</f>
        <v>6054</v>
      </c>
      <c r="E52" s="2334" t="s">
        <v>1345</v>
      </c>
      <c r="F52" s="2534">
        <f>'数据-取费表'!B41</f>
        <v>5.6000000000000001E-2</v>
      </c>
      <c r="G52" s="2535"/>
      <c r="H52" s="2524"/>
      <c r="I52" s="1807"/>
      <c r="J52" s="170">
        <v>1</v>
      </c>
      <c r="K52" s="3571" t="s">
        <v>3521</v>
      </c>
      <c r="L52" s="3571"/>
      <c r="M52" s="170">
        <f ca="1">D48</f>
        <v>6054</v>
      </c>
      <c r="N52" s="170" t="str">
        <f>E48</f>
        <v>销售额×税（费）率</v>
      </c>
      <c r="O52" s="3440">
        <f>F48</f>
        <v>5.6000000000000001E-2</v>
      </c>
      <c r="P52" s="725">
        <f ca="1">M52</f>
        <v>6054</v>
      </c>
    </row>
    <row r="53" spans="1:35" ht="12" customHeight="1">
      <c r="A53" s="2335" t="s">
        <v>1346</v>
      </c>
      <c r="B53" s="3595" t="s">
        <v>2274</v>
      </c>
      <c r="C53" s="3596"/>
      <c r="D53" s="1087">
        <f ca="1">ROUND(D45*'数据-取费表'!B41/(1+'数据-取费表'!C42),0)</f>
        <v>6054</v>
      </c>
      <c r="E53" s="2334" t="s">
        <v>1345</v>
      </c>
      <c r="F53" s="2534">
        <f>'数据-取费表'!B41</f>
        <v>5.6000000000000001E-2</v>
      </c>
      <c r="G53" s="2535"/>
      <c r="H53" s="2524"/>
      <c r="I53" s="1807"/>
      <c r="J53" s="170">
        <v>2</v>
      </c>
      <c r="K53" s="3571" t="s">
        <v>3522</v>
      </c>
      <c r="L53" s="3571"/>
      <c r="M53" s="170">
        <f t="shared" ref="M53:O54" ca="1" si="0">D55</f>
        <v>57</v>
      </c>
      <c r="N53" s="170" t="str">
        <f t="shared" si="0"/>
        <v>销售额×税（费）率</v>
      </c>
      <c r="O53" s="3440">
        <f t="shared" si="0"/>
        <v>5.0000000000000001E-4</v>
      </c>
      <c r="P53" s="725">
        <f ca="1">M53</f>
        <v>57</v>
      </c>
    </row>
    <row r="54" spans="1:35" ht="12" customHeight="1">
      <c r="A54" s="2335" t="s">
        <v>1347</v>
      </c>
      <c r="B54" s="3595" t="s">
        <v>2275</v>
      </c>
      <c r="C54" s="3596"/>
      <c r="D54" s="1087">
        <f ca="1">C68</f>
        <v>6054</v>
      </c>
      <c r="E54" s="327" t="s">
        <v>1348</v>
      </c>
      <c r="F54" s="2534">
        <f>'数据-取费表'!B41</f>
        <v>5.6000000000000001E-2</v>
      </c>
      <c r="G54" s="2535"/>
      <c r="H54" s="2536"/>
      <c r="I54" s="1807"/>
      <c r="J54" s="170">
        <v>3</v>
      </c>
      <c r="K54" s="3571" t="s">
        <v>3523</v>
      </c>
      <c r="L54" s="3571"/>
      <c r="M54" s="170">
        <f t="shared" ca="1" si="0"/>
        <v>64252</v>
      </c>
      <c r="N54" s="170" t="str">
        <f t="shared" si="0"/>
        <v>增值额×税（费）率</v>
      </c>
      <c r="O54" s="3441" t="str">
        <f t="shared" si="0"/>
        <v>——</v>
      </c>
      <c r="P54" s="725">
        <f ca="1">ROUND(D45/1.05*5%,0)</f>
        <v>5406</v>
      </c>
    </row>
    <row r="55" spans="1:35" ht="24" customHeight="1">
      <c r="A55" s="3631" t="s">
        <v>1349</v>
      </c>
      <c r="B55" s="3609"/>
      <c r="C55" s="3609"/>
      <c r="D55" s="2324">
        <f ca="1">IF(H55="个人住宅",0,ROUND(D45*I55,0))</f>
        <v>57</v>
      </c>
      <c r="E55" s="2334" t="s">
        <v>1350</v>
      </c>
      <c r="F55" s="2534">
        <f>IF(H55="正常",I55,"免征")</f>
        <v>5.0000000000000001E-4</v>
      </c>
      <c r="G55" s="2535"/>
      <c r="H55" s="2530" t="s">
        <v>3530</v>
      </c>
      <c r="I55" s="165">
        <f>'数据-取费表'!B49</f>
        <v>5.0000000000000001E-4</v>
      </c>
      <c r="J55" s="170" t="str">
        <f>IF(H59="非个人房产","",4)</f>
        <v/>
      </c>
      <c r="K55" s="3571" t="str">
        <f>IF(H59="非个人房产","——","个人所得税")</f>
        <v>——</v>
      </c>
      <c r="L55" s="3571"/>
      <c r="M55" s="2030" t="str">
        <f>D59</f>
        <v>——</v>
      </c>
      <c r="N55" s="2030" t="str">
        <f>E59</f>
        <v>——</v>
      </c>
      <c r="O55" s="3442" t="str">
        <f>F59</f>
        <v>——</v>
      </c>
    </row>
    <row r="56" spans="1:35" ht="24.75">
      <c r="A56" s="3631" t="s">
        <v>1351</v>
      </c>
      <c r="B56" s="3609"/>
      <c r="C56" s="3609"/>
      <c r="D56" s="2324">
        <f ca="1">IF(H56="个人住宅",D57,D58)</f>
        <v>64252</v>
      </c>
      <c r="E56" s="2334" t="s">
        <v>1352</v>
      </c>
      <c r="F56" s="2534" t="str">
        <f>IF(H56="正常",F58,"免征")</f>
        <v>——</v>
      </c>
      <c r="G56" s="2537" t="s">
        <v>1353</v>
      </c>
      <c r="H56" s="2538" t="s">
        <v>3530</v>
      </c>
      <c r="I56" s="1808"/>
      <c r="J56" s="170" t="str">
        <f>IF(项目基本情况!K6="上海银行",IF(J55="",4,J55+1),"")</f>
        <v/>
      </c>
      <c r="K56" s="3552" t="str">
        <f>IF(项目基本情况!K6="上海银行","其他处置费用","")</f>
        <v/>
      </c>
      <c r="L56" s="3553"/>
      <c r="M56" s="170" t="str">
        <f>IF(项目基本情况!K6="上海银行",M69,"")</f>
        <v/>
      </c>
      <c r="N56" s="3552" t="str">
        <f>IF(项目基本情况!K6="上海银行","包含处置中涉及的律师、诉讼、拍卖、评估等费用","")</f>
        <v/>
      </c>
      <c r="O56" s="3555"/>
    </row>
    <row r="57" spans="1:35" ht="12.75">
      <c r="A57" s="2335" t="s">
        <v>1338</v>
      </c>
      <c r="B57" s="3595" t="s">
        <v>1354</v>
      </c>
      <c r="C57" s="3596"/>
      <c r="D57" s="1590">
        <v>0</v>
      </c>
      <c r="E57" s="324" t="s">
        <v>1340</v>
      </c>
      <c r="F57" s="302"/>
      <c r="G57" s="2535"/>
      <c r="H57" s="2539"/>
      <c r="I57" s="1808"/>
      <c r="J57" s="3571">
        <f>IF(AND(J55="",J56=""),4,IF(项目基本情况!K6="上海银行",结果表!J56+1,结果表!J55+1))</f>
        <v>4</v>
      </c>
      <c r="K57" s="3571" t="s">
        <v>3524</v>
      </c>
      <c r="L57" s="2561" t="s">
        <v>3525</v>
      </c>
      <c r="M57" s="3443"/>
      <c r="N57" s="3444">
        <f ca="1">SUMIF(M52:M56,"&lt;9e307")</f>
        <v>70363</v>
      </c>
      <c r="O57" s="3445"/>
      <c r="P57" s="3453">
        <f ca="1">P54+P53+P52</f>
        <v>11517</v>
      </c>
    </row>
    <row r="58" spans="1:35" ht="24.75">
      <c r="A58" s="2335" t="s">
        <v>1343</v>
      </c>
      <c r="B58" s="3595" t="s">
        <v>1355</v>
      </c>
      <c r="C58" s="3594"/>
      <c r="D58" s="2324">
        <f ca="1">IF(H58="转让取得",C81,C97)</f>
        <v>64252</v>
      </c>
      <c r="E58" s="2334" t="s">
        <v>1352</v>
      </c>
      <c r="F58" s="302" t="s">
        <v>28</v>
      </c>
      <c r="G58" s="2535"/>
      <c r="H58" s="2538" t="s">
        <v>3531</v>
      </c>
      <c r="I58" s="1808"/>
      <c r="J58" s="3571"/>
      <c r="K58" s="3571"/>
      <c r="L58" s="2561" t="s">
        <v>3526</v>
      </c>
      <c r="M58" s="2561"/>
      <c r="N58" s="3446" t="str">
        <f ca="1">NUMBERSTRING(INT(N57*10000),2)&amp;"元整"</f>
        <v>柒亿零叁佰陆拾叁万元整</v>
      </c>
      <c r="O58" s="2097"/>
    </row>
    <row r="59" spans="1:35" ht="24.75" thickBot="1">
      <c r="A59" s="3575" t="s">
        <v>1356</v>
      </c>
      <c r="B59" s="3576"/>
      <c r="C59" s="3576"/>
      <c r="D59" s="2540" t="str">
        <f>IF(H59="非个人房产","——",IF(H59="个人住宅（满五唯一有凭证）",0,IF(H59="个人其他（无凭证）",ROUND(D45*F59,0),ROUND(C67*F59,0))))</f>
        <v>——</v>
      </c>
      <c r="E59" s="2541" t="str">
        <f>IF(H59="非个人房产","——",IF(H59="个人其他（无凭证）","销售额×税（费）率",IF(H59="个人住宅（满五唯一有凭证）","免征","差额计税")))</f>
        <v>——</v>
      </c>
      <c r="F59" s="2542" t="str">
        <f>IF(OR(H59="非个人房产",H59="个人住宅（满五唯一有凭证）"),"——",IF(H59="个人其他（有凭证）",20%,1%))</f>
        <v>——</v>
      </c>
      <c r="G59" s="2543" t="s">
        <v>1353</v>
      </c>
      <c r="H59" s="2314" t="s">
        <v>3532</v>
      </c>
      <c r="I59" s="2313" t="s">
        <v>2120</v>
      </c>
      <c r="J59" s="3573">
        <f>J57+1</f>
        <v>5</v>
      </c>
      <c r="K59" s="3571" t="s">
        <v>3527</v>
      </c>
      <c r="L59" s="170" t="s">
        <v>3525</v>
      </c>
      <c r="M59" s="3447"/>
      <c r="N59" s="3448">
        <f ca="1">M49-N57</f>
        <v>43157</v>
      </c>
      <c r="O59" s="3449"/>
      <c r="P59" s="725">
        <f ca="1">G19-P57</f>
        <v>102003</v>
      </c>
    </row>
    <row r="60" spans="1:35" ht="12" customHeight="1">
      <c r="A60" s="1809"/>
      <c r="B60" s="1747"/>
      <c r="C60" s="1747"/>
      <c r="D60" s="1747"/>
      <c r="E60" s="1578"/>
      <c r="F60" s="1808"/>
      <c r="G60" s="1808"/>
      <c r="H60" s="1810"/>
      <c r="I60" s="129"/>
      <c r="J60" s="3574"/>
      <c r="K60" s="3571"/>
      <c r="L60" s="2561" t="s">
        <v>3526</v>
      </c>
      <c r="M60" s="2561"/>
      <c r="N60" s="3446" t="str">
        <f ca="1">NUMBERSTRING(INT(N59*10000),2)&amp;"元整"</f>
        <v>肆亿叁仟壹佰伍拾柒万元整</v>
      </c>
      <c r="O60" s="2097"/>
    </row>
    <row r="61" spans="1:35" ht="13.5" thickBot="1">
      <c r="A61" s="3630" t="s">
        <v>1357</v>
      </c>
      <c r="B61" s="3630"/>
      <c r="C61" s="3630"/>
      <c r="D61" s="3630"/>
      <c r="E61" s="3630"/>
      <c r="F61" s="1808"/>
      <c r="G61" s="1808"/>
      <c r="H61" s="1810"/>
      <c r="I61" s="129"/>
      <c r="J61" s="170">
        <f>J59+1</f>
        <v>6</v>
      </c>
      <c r="K61" s="3571" t="s">
        <v>3528</v>
      </c>
      <c r="L61" s="3571"/>
      <c r="M61" s="3450"/>
      <c r="N61" s="3451">
        <f ca="1">ROUND(N59*10000/'数据-汇总表'!E3,0)</f>
        <v>3991</v>
      </c>
      <c r="O61" s="3452"/>
    </row>
    <row r="62" spans="1:35" ht="12.75">
      <c r="A62" s="3590" t="s">
        <v>1358</v>
      </c>
      <c r="B62" s="3591"/>
      <c r="C62" s="2021"/>
      <c r="D62" s="2021" t="s">
        <v>1359</v>
      </c>
      <c r="E62" s="166" t="s">
        <v>1360</v>
      </c>
      <c r="F62" s="1808"/>
      <c r="G62" s="1808"/>
      <c r="H62" s="1810"/>
      <c r="I62" s="129"/>
    </row>
    <row r="63" spans="1:35" ht="12.75">
      <c r="A63" s="173" t="s">
        <v>330</v>
      </c>
      <c r="B63" s="167" t="s">
        <v>1361</v>
      </c>
      <c r="C63" s="2544">
        <f ca="1">ROUND((C64+C65)/(1+'数据-取费表'!C42),0)</f>
        <v>108114</v>
      </c>
      <c r="D63" s="167"/>
      <c r="E63" s="168"/>
      <c r="F63" s="1808"/>
      <c r="G63" s="1808"/>
      <c r="H63" s="1810"/>
      <c r="I63" s="129"/>
      <c r="J63" s="3554" t="s">
        <v>1362</v>
      </c>
      <c r="K63" s="1332" t="s">
        <v>1363</v>
      </c>
      <c r="L63" s="1332">
        <f ca="1">IF(M49&gt;10000,M49*0.5%,IF(AND(M49&gt;1000,M49&lt;=10000),M49*1%,IF(AND(M49&gt;100,M49&lt;=1000),M49*3%,IF(AND(M49&gt;10,M49&lt;=100),M49*5%,M49*8%))))</f>
        <v>567.6</v>
      </c>
      <c r="M63" s="302">
        <f ca="1">ROUND(L63,1)</f>
        <v>567.6</v>
      </c>
      <c r="N63" s="2523"/>
      <c r="Z63" s="1752"/>
      <c r="AI63" s="1753"/>
    </row>
    <row r="64" spans="1:35" ht="14.25" customHeight="1">
      <c r="A64" s="169" t="s">
        <v>325</v>
      </c>
      <c r="B64" s="170" t="s">
        <v>1364</v>
      </c>
      <c r="C64" s="2545">
        <f ca="1">D45</f>
        <v>113520</v>
      </c>
      <c r="D64" s="170" t="s">
        <v>26</v>
      </c>
      <c r="E64" s="172"/>
      <c r="F64" s="1808"/>
      <c r="G64" s="1808"/>
      <c r="H64" s="1810"/>
      <c r="I64" s="129"/>
      <c r="J64" s="3554"/>
      <c r="K64" s="1332" t="s">
        <v>1365</v>
      </c>
      <c r="L64" s="1332">
        <f ca="1">IF(M49&gt;2000,M49*0.5%,IF(AND(M49&gt;1000,M49&lt;=2000),M49*0.6%,IF(AND(M49&gt;500,M49&lt;=1000),M49*0.7%,IF(AND(M49&gt;200,M49&lt;=500),M49*0.8%,IF(AND(M49&gt;100,M49&lt;=200),M49*0.9%,IF(AND(M49&gt;50,M49&lt;=100),M49*1%,IF(AND(M49&gt;20,M49&lt;=50),M49*1.5%,IF(AND(M49&gt;10,M49&lt;=20),M49*2%,IF(AND(M49&gt;1,M49&lt;=10),M49*2.5%)))))))))</f>
        <v>567.6</v>
      </c>
      <c r="M64" s="302">
        <f t="shared" ref="M64:M65" ca="1" si="1">ROUND(L64,1)</f>
        <v>567.6</v>
      </c>
      <c r="N64" s="2524" t="s">
        <v>1366</v>
      </c>
      <c r="Z64" s="1752"/>
      <c r="AI64" s="1753"/>
    </row>
    <row r="65" spans="1:35" ht="14.25" customHeight="1">
      <c r="A65" s="169" t="s">
        <v>326</v>
      </c>
      <c r="B65" s="170" t="s">
        <v>1367</v>
      </c>
      <c r="C65" s="2546"/>
      <c r="D65" s="170"/>
      <c r="E65" s="172"/>
      <c r="F65" s="1808"/>
      <c r="G65" s="1808"/>
      <c r="H65" s="1810"/>
      <c r="I65" s="129"/>
      <c r="J65" s="3554"/>
      <c r="K65" s="1332" t="s">
        <v>1368</v>
      </c>
      <c r="L65" s="1332">
        <f ca="1">IF(M49&gt;1000,M49*0.1%,IF(AND(M49&gt;500,M49&lt;=1000),M49*0.5%,IF(AND(M49&gt;50,M49&lt;=500),M49*1%,IF(AND(M49&gt;1,M49&lt;=50),M49*1.5%))))</f>
        <v>113.52</v>
      </c>
      <c r="M65" s="302">
        <f t="shared" ca="1" si="1"/>
        <v>113.5</v>
      </c>
      <c r="N65" s="2524" t="s">
        <v>1366</v>
      </c>
      <c r="Z65" s="1752"/>
      <c r="AI65" s="1753"/>
    </row>
    <row r="66" spans="1:35" ht="14.25" customHeight="1">
      <c r="A66" s="173" t="s">
        <v>327</v>
      </c>
      <c r="B66" s="174" t="s">
        <v>1369</v>
      </c>
      <c r="C66" s="2547"/>
      <c r="D66" s="174" t="s">
        <v>26</v>
      </c>
      <c r="E66" s="1338" t="s">
        <v>671</v>
      </c>
      <c r="F66" s="1808"/>
      <c r="G66" s="1808"/>
      <c r="H66" s="1810"/>
      <c r="I66" s="129"/>
      <c r="J66" s="3554"/>
      <c r="K66" s="1332" t="s">
        <v>1370</v>
      </c>
      <c r="L66" s="1332">
        <f ca="1">M49*0.5%</f>
        <v>567.6</v>
      </c>
      <c r="M66" s="302">
        <f ca="1">IF(L66&gt;0.5,0.5,ROUND(L66,0))</f>
        <v>0.5</v>
      </c>
      <c r="N66" s="2524" t="s">
        <v>1371</v>
      </c>
      <c r="Z66" s="1752"/>
      <c r="AI66" s="1753"/>
    </row>
    <row r="67" spans="1:35" ht="14.25" customHeight="1">
      <c r="A67" s="173" t="s">
        <v>328</v>
      </c>
      <c r="B67" s="174" t="s">
        <v>1372</v>
      </c>
      <c r="C67" s="2548">
        <f ca="1">C63-C66</f>
        <v>108114</v>
      </c>
      <c r="D67" s="170" t="s">
        <v>26</v>
      </c>
      <c r="E67" s="172"/>
      <c r="F67" s="1808"/>
      <c r="G67" s="1808"/>
      <c r="H67" s="1810"/>
      <c r="I67" s="129"/>
      <c r="J67" s="3554"/>
      <c r="K67" s="1332" t="s">
        <v>1373</v>
      </c>
      <c r="L67" s="1332">
        <f ca="1">IF(M49&gt;=10000,(8.25+(M49-10000)*0.01%),IF(AND(M49&gt;=8000,M49&lt;10000),(7.85+(M49-8000)*0.02%),IF(AND(M49&gt;=5000,M49&lt;8000),(6.65+(M49-5000)*0.04%),IF(AND(M49&gt;=2000,M49&lt;5000),(4.25+(PM49-2000)*0.08%),IF(AND(M49&gt;=1000,M49&lt;2000),(2.75+(M49-1000)*0.15%),IF(AND(M49&gt;=100,M49&lt;1000),(0.5+(M49-100)*0.25%),IF(AND(M49&gt;0,M49&lt;100),M49*0.5%)))))))</f>
        <v>18.602</v>
      </c>
      <c r="M67" s="302">
        <f ca="1">ROUND(L67*0.9,1)</f>
        <v>16.7</v>
      </c>
      <c r="N67" s="2523"/>
      <c r="Z67" s="1752"/>
      <c r="AI67" s="1753"/>
    </row>
    <row r="68" spans="1:35" ht="14.25" customHeight="1" thickBot="1">
      <c r="A68" s="176" t="s">
        <v>329</v>
      </c>
      <c r="B68" s="177" t="s">
        <v>1374</v>
      </c>
      <c r="C68" s="2549">
        <f ca="1">IF(C67&lt;=0,0,ROUND(C67*D68,0))</f>
        <v>6054</v>
      </c>
      <c r="D68" s="2550">
        <f>'数据-取费表'!B41</f>
        <v>5.6000000000000001E-2</v>
      </c>
      <c r="E68" s="178"/>
      <c r="F68" s="1808"/>
      <c r="G68" s="1808"/>
      <c r="H68" s="1810"/>
      <c r="I68" s="129"/>
      <c r="J68" s="3554"/>
      <c r="K68" s="1332" t="s">
        <v>1375</v>
      </c>
      <c r="L68" s="1332">
        <f ca="1">IF(M49&gt;10000,M49*0.5%,IF(AND(M49&gt;5000,M49&lt;=10000),M49*1%,IF(AND(M49&gt;1000,M49&lt;=5000),M49*2%,IF(AND(M49&gt;200,M49&lt;=1000),M49*3%,M49*5%))))</f>
        <v>567.6</v>
      </c>
      <c r="M68" s="302">
        <f ca="1">ROUND(L68,1)</f>
        <v>567.6</v>
      </c>
      <c r="N68" s="2523"/>
      <c r="Z68" s="1752"/>
      <c r="AI68" s="1753"/>
    </row>
    <row r="69" spans="1:35" s="1772" customFormat="1" ht="16.5" customHeight="1">
      <c r="A69" s="1811"/>
      <c r="B69" s="1812"/>
      <c r="C69" s="1813"/>
      <c r="D69" s="1814"/>
      <c r="E69" s="1815"/>
      <c r="F69" s="1578"/>
      <c r="G69" s="1578"/>
      <c r="H69" s="1577"/>
      <c r="I69" s="1747"/>
      <c r="J69" s="3554"/>
      <c r="K69" s="1332" t="s">
        <v>1376</v>
      </c>
      <c r="L69" s="1332"/>
      <c r="M69" s="302">
        <f ca="1">ROUND(SUM(M63:M68),0)</f>
        <v>1834</v>
      </c>
      <c r="N69" s="2525">
        <f ca="1">M69/M49</f>
        <v>1.6155743481324876E-2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1377</v>
      </c>
      <c r="B70" s="3599"/>
      <c r="C70" s="3599"/>
      <c r="D70" s="3599"/>
      <c r="E70" s="3599"/>
      <c r="F70" s="3599"/>
      <c r="G70" s="3599"/>
      <c r="H70" s="3599"/>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1358</v>
      </c>
      <c r="B71" s="3591"/>
      <c r="C71" s="2021"/>
      <c r="D71" s="2021" t="s">
        <v>1359</v>
      </c>
      <c r="E71" s="179" t="s">
        <v>1360</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8">
        <f ca="1">ROUND(D45/(1+'数据-取费表'!C42),0)</f>
        <v>108114</v>
      </c>
      <c r="D72" s="170" t="s">
        <v>26</v>
      </c>
      <c r="E72" s="2331"/>
      <c r="F72" s="2330"/>
      <c r="G72" s="2330"/>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8">
        <f ca="1">C74+C78</f>
        <v>649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51"/>
      <c r="D75" s="170" t="s">
        <v>26</v>
      </c>
      <c r="E75" s="184" t="s">
        <v>1382</v>
      </c>
      <c r="F75" s="2552"/>
      <c r="G75" s="184" t="s">
        <v>1383</v>
      </c>
      <c r="H75" s="255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54">
        <v>0.05</v>
      </c>
      <c r="E76" s="3595" t="s">
        <v>1385</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0</v>
      </c>
      <c r="D77" s="2555">
        <f>'数据-取费表'!B48+'数据-取费表'!B49</f>
        <v>3.0499999999999999E-2</v>
      </c>
      <c r="E77" s="2324" t="s">
        <v>1387</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6">
        <f ca="1">ROUND(D45*D78/(1+'数据-取费表'!C42),0)</f>
        <v>649</v>
      </c>
      <c r="D78" s="2557">
        <f>'数据-取费表'!B43</f>
        <v>6.000000000000001E-3</v>
      </c>
      <c r="E78" s="3587" t="s">
        <v>1389</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8">
        <f ca="1">C72-C73</f>
        <v>107465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8">
        <f ca="1">IF(C79&lt;=0,0,C79/C73)</f>
        <v>165.58551617873653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9">
        <f ca="1">ROUND(IF(C79&lt;=0,0,IF(C80&gt;=200%,C79*60%-C73*35%,IF(C80&gt;=100%,C79*50%-C73*15%,IF(C80&gt;=50%,C79*40%-C73*5%,IF(C80&lt;50%,C79*30%,0))))),0)</f>
        <v>64252</v>
      </c>
      <c r="D81" s="256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1393</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1358</v>
      </c>
      <c r="B84" s="3591"/>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1378</v>
      </c>
      <c r="C85" s="2548">
        <f ca="1">ROUND(D45/(1+'数据-取费表'!C42),0)</f>
        <v>108114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1379</v>
      </c>
      <c r="C86" s="2548">
        <f ca="1">IF(H88="仅含出让金",C87+C90+C91+C92+C93+C94,C87+C91+C92+C93+C94)</f>
        <v>649</v>
      </c>
      <c r="D86" s="256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1394</v>
      </c>
      <c r="C87" s="2556">
        <f>C88+C89</f>
        <v>0</v>
      </c>
      <c r="D87" s="255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1395</v>
      </c>
      <c r="C88" s="2562"/>
      <c r="D88" s="2557"/>
      <c r="E88" s="193" t="s">
        <v>1396</v>
      </c>
      <c r="F88" s="2327"/>
      <c r="G88" s="194" t="s">
        <v>1397</v>
      </c>
      <c r="H88" s="1824"/>
      <c r="I88" s="1821"/>
      <c r="J88" s="2521" t="s">
        <v>2271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1386</v>
      </c>
      <c r="C89" s="2556">
        <f>ROUND(C88*D89,0)</f>
        <v>0</v>
      </c>
      <c r="D89" s="2557">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1399</v>
      </c>
      <c r="C90" s="2562"/>
      <c r="D90" s="2557"/>
      <c r="E90" s="193" t="str">
        <f>IF(H88="-","土地取得成本中已包含该笔费用"," ")</f>
        <v xml:space="preserve"> </v>
      </c>
      <c r="F90" s="2327"/>
      <c r="G90" s="3556" t="s">
        <v>2112</v>
      </c>
      <c r="H90" s="3557"/>
      <c r="I90" s="1821"/>
      <c r="J90" s="2521" t="s">
        <v>2272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1400</v>
      </c>
      <c r="B91" s="170" t="s">
        <v>1401</v>
      </c>
      <c r="C91" s="2556">
        <f>IF(H91="——",成本法!C33,I91)</f>
        <v>0</v>
      </c>
      <c r="D91" s="2557"/>
      <c r="E91" s="3587" t="s">
        <v>1402</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1403</v>
      </c>
      <c r="B92" s="170" t="s">
        <v>1404</v>
      </c>
      <c r="C92" s="2556">
        <f>ROUND((C87+C90+C91)*D92,0)</f>
        <v>0</v>
      </c>
      <c r="D92" s="2563"/>
      <c r="E92" s="3587" t="s">
        <v>1405</v>
      </c>
      <c r="F92" s="3588"/>
      <c r="G92" s="3588"/>
      <c r="H92" s="3589"/>
      <c r="I92" s="1821"/>
      <c r="J92" s="2522" t="s">
        <v>2273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1406</v>
      </c>
      <c r="B93" s="170" t="s">
        <v>1388</v>
      </c>
      <c r="C93" s="2556">
        <f ca="1">ROUND(D45*D93/(1+'数据-取费表'!C42),0)</f>
        <v>649</v>
      </c>
      <c r="D93" s="2557">
        <f>'数据-取费表'!B43</f>
        <v>6.000000000000001E-3</v>
      </c>
      <c r="E93" s="3587" t="s">
        <v>1389</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1407</v>
      </c>
      <c r="B94" s="170" t="s">
        <v>1408</v>
      </c>
      <c r="C94" s="2562">
        <f>ROUND((C87+C90+C91)*D94,0)</f>
        <v>0</v>
      </c>
      <c r="D94" s="2557">
        <v>0.2</v>
      </c>
      <c r="E94" s="3632" t="s">
        <v>1409</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1390</v>
      </c>
      <c r="C95" s="2548">
        <f ca="1">ROUND(C85-C86,0)</f>
        <v>107465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1391</v>
      </c>
      <c r="C96" s="2558">
        <f ca="1">IF(C95&lt;=0,0,C95/C86)</f>
        <v>165.58551617873653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1392</v>
      </c>
      <c r="C97" s="2559">
        <f ca="1">ROUND(IF(C95&lt;=0,0,IF(C96&gt;=200%,C95*60%-C86*35%,IF(C96&gt;=100%,C95*50%-C86*15%,IF(C96&gt;=50%,C95*40%-C86*5%,IF(C96&lt;50%,C95*30%,0))))),0)</f>
        <v>64252</v>
      </c>
      <c r="D97" s="256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37" t="s">
        <v>1411</v>
      </c>
      <c r="B100" s="3538"/>
      <c r="C100" s="3538"/>
      <c r="D100" s="3572"/>
      <c r="E100" s="3538" t="s">
        <v>1412</v>
      </c>
      <c r="F100" s="3538"/>
      <c r="G100" s="3538"/>
      <c r="H100" s="3572"/>
      <c r="I100" s="129"/>
    </row>
    <row r="101" spans="1:35" ht="18.75" customHeight="1">
      <c r="A101" s="3580" t="s">
        <v>1413</v>
      </c>
      <c r="B101" s="3581"/>
      <c r="C101" s="2565" t="str">
        <f>C4</f>
        <v>成本法</v>
      </c>
      <c r="D101" s="2566" t="str">
        <f>D4</f>
        <v>收益法</v>
      </c>
      <c r="E101" s="3550" t="s">
        <v>1414</v>
      </c>
      <c r="F101" s="3551"/>
      <c r="G101" s="1827" t="s">
        <v>1415</v>
      </c>
      <c r="H101" s="2575">
        <f ca="1">H118</f>
        <v>113520</v>
      </c>
      <c r="I101" s="129"/>
    </row>
    <row r="102" spans="1:35" ht="18.75" customHeight="1">
      <c r="A102" s="3582" t="s">
        <v>1416</v>
      </c>
      <c r="B102" s="2564" t="s">
        <v>1415</v>
      </c>
      <c r="C102" s="2565">
        <f ca="1">IF(D32="楼面单价",ROUND(C19,0),C19)</f>
        <v>84734</v>
      </c>
      <c r="D102" s="2566">
        <f ca="1">IF(D32="楼面单价",ROUND(D19,0),D19)</f>
        <v>132710</v>
      </c>
      <c r="E102" s="3550"/>
      <c r="F102" s="3551"/>
      <c r="G102" s="1827" t="s">
        <v>1417</v>
      </c>
      <c r="H102" s="2535">
        <f ca="1">I118</f>
        <v>10498</v>
      </c>
      <c r="I102" s="129"/>
    </row>
    <row r="103" spans="1:35" ht="42.75" customHeight="1">
      <c r="A103" s="3582"/>
      <c r="B103" s="2564" t="s">
        <v>1417</v>
      </c>
      <c r="C103" s="2567">
        <f ca="1">C20</f>
        <v>7836</v>
      </c>
      <c r="D103" s="2568">
        <f ca="1">D20</f>
        <v>12273</v>
      </c>
      <c r="E103" s="3543" t="s">
        <v>1418</v>
      </c>
      <c r="F103" s="3544"/>
      <c r="G103" s="1828" t="s">
        <v>1419</v>
      </c>
      <c r="H103" s="2575">
        <f>IF(D36="正常操作",H104+H105+H106,H105+H106)</f>
        <v>0</v>
      </c>
      <c r="I103" s="129"/>
    </row>
    <row r="104" spans="1:35" ht="18.75" customHeight="1">
      <c r="A104" s="3582" t="s">
        <v>1420</v>
      </c>
      <c r="B104" s="2569" t="s">
        <v>1415</v>
      </c>
      <c r="C104" s="2570">
        <f ca="1">H118</f>
        <v>113520</v>
      </c>
      <c r="D104" s="2571"/>
      <c r="E104" s="1674" t="s">
        <v>1421</v>
      </c>
      <c r="F104" s="1666"/>
      <c r="G104" s="1828" t="s">
        <v>1419</v>
      </c>
      <c r="H104" s="2576">
        <f>IF(D36="同一抵押权人同一抵押物续贷",C36&amp;"（续贷，未扣减，详见特别提示）",C36)</f>
        <v>0</v>
      </c>
      <c r="I104" s="129"/>
    </row>
    <row r="105" spans="1:35" ht="18.75" customHeight="1" thickBot="1">
      <c r="A105" s="3592"/>
      <c r="B105" s="2572" t="s">
        <v>1417</v>
      </c>
      <c r="C105" s="2573">
        <f ca="1">I118</f>
        <v>10498</v>
      </c>
      <c r="D105" s="2574"/>
      <c r="E105" s="1674" t="s">
        <v>1422</v>
      </c>
      <c r="F105" s="1666"/>
      <c r="G105" s="1828" t="s">
        <v>1419</v>
      </c>
      <c r="H105" s="2577">
        <f>C37</f>
        <v>0</v>
      </c>
      <c r="I105" s="129"/>
    </row>
    <row r="106" spans="1:35" ht="18.75" customHeight="1">
      <c r="A106" s="1747" t="s">
        <v>1423</v>
      </c>
      <c r="B106" s="1747"/>
      <c r="C106" s="1747"/>
      <c r="D106" s="1747"/>
      <c r="E106" s="1829" t="s">
        <v>1424</v>
      </c>
      <c r="F106" s="1666"/>
      <c r="G106" s="1828" t="s">
        <v>1419</v>
      </c>
      <c r="H106" s="2577">
        <f>C38</f>
        <v>0</v>
      </c>
      <c r="I106" s="129"/>
    </row>
    <row r="107" spans="1:35" ht="18.75" customHeight="1">
      <c r="A107" s="129"/>
      <c r="B107" s="129"/>
      <c r="C107" s="129"/>
      <c r="D107" s="129"/>
      <c r="E107" s="3583" t="str">
        <f>IF(项目基本情况!E8="已注销","——","3.房地产抵押价值")</f>
        <v>3.房地产抵押价值</v>
      </c>
      <c r="F107" s="3551"/>
      <c r="G107" s="1827" t="s">
        <v>1415</v>
      </c>
      <c r="H107" s="2575">
        <f ca="1">IF(E107="——","——",H101-H103)</f>
        <v>113520</v>
      </c>
      <c r="I107" s="129"/>
    </row>
    <row r="108" spans="1:35" ht="18.75" customHeight="1">
      <c r="A108" s="129"/>
      <c r="B108" s="129"/>
      <c r="C108" s="129"/>
      <c r="D108" s="129"/>
      <c r="E108" s="3583"/>
      <c r="F108" s="3551"/>
      <c r="G108" s="1827" t="s">
        <v>1417</v>
      </c>
      <c r="H108" s="2535">
        <f ca="1">IF(H107=H101,H102,ROUND(H107*10000/'数据-汇总表'!E3,0))</f>
        <v>10498</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1415</v>
      </c>
      <c r="H109" s="2578" t="str">
        <f>IF(E109="——","——",H101-H105-H106)</f>
        <v>——</v>
      </c>
      <c r="I109" s="129"/>
    </row>
    <row r="110" spans="1:35" ht="18.75" customHeight="1">
      <c r="A110" s="129"/>
      <c r="B110" s="129"/>
      <c r="C110" s="129"/>
      <c r="D110" s="129"/>
      <c r="E110" s="3583"/>
      <c r="F110" s="3551"/>
      <c r="G110" s="1827" t="s">
        <v>1417</v>
      </c>
      <c r="H110" s="253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4.抵押净值</v>
      </c>
      <c r="F111" s="3570"/>
      <c r="G111" s="1827" t="s">
        <v>1415</v>
      </c>
      <c r="H111" s="2575">
        <f ca="1">IF(E111="——","——",N59)</f>
        <v>43157</v>
      </c>
      <c r="I111" s="129"/>
    </row>
    <row r="112" spans="1:35" ht="18.75" customHeight="1" thickBot="1">
      <c r="A112" s="129"/>
      <c r="B112" s="129"/>
      <c r="C112" s="129"/>
      <c r="D112" s="129"/>
      <c r="E112" s="3585"/>
      <c r="F112" s="3586"/>
      <c r="G112" s="1830" t="s">
        <v>1417</v>
      </c>
      <c r="H112" s="2579">
        <f ca="1">IF(E111="——","——",N61)</f>
        <v>3991</v>
      </c>
      <c r="I112" s="129"/>
    </row>
    <row r="113" spans="1:27" ht="18.75" customHeight="1">
      <c r="A113" s="129"/>
      <c r="B113" s="129"/>
      <c r="C113" s="129"/>
      <c r="D113" s="129"/>
      <c r="E113" s="3593" t="s">
        <v>1423</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1425</v>
      </c>
      <c r="B115" s="3602"/>
      <c r="C115" s="3602"/>
      <c r="D115" s="3602"/>
      <c r="E115" s="3602"/>
      <c r="F115" s="3602"/>
      <c r="G115" s="3602"/>
      <c r="H115" s="3602"/>
      <c r="I115" s="3603"/>
    </row>
    <row r="116" spans="1:27" ht="27" customHeight="1">
      <c r="A116" s="3558" t="s">
        <v>1426</v>
      </c>
      <c r="B116" s="3562" t="s">
        <v>1427</v>
      </c>
      <c r="C116" s="3562" t="s">
        <v>1428</v>
      </c>
      <c r="D116" s="3568" t="s">
        <v>1429</v>
      </c>
      <c r="E116" s="3569"/>
      <c r="F116" s="3600" t="s">
        <v>1430</v>
      </c>
      <c r="G116" s="3600"/>
      <c r="H116" s="3558" t="s">
        <v>1431</v>
      </c>
      <c r="I116" s="3558"/>
    </row>
    <row r="117" spans="1:27" ht="18.75" customHeight="1">
      <c r="A117" s="3558"/>
      <c r="B117" s="3563"/>
      <c r="C117" s="3563"/>
      <c r="D117" s="2329" t="s">
        <v>1432</v>
      </c>
      <c r="E117" s="2329" t="s">
        <v>1433</v>
      </c>
      <c r="F117" s="2329" t="s">
        <v>1432</v>
      </c>
      <c r="G117" s="2329" t="s">
        <v>1434</v>
      </c>
      <c r="H117" s="2329" t="s">
        <v>1432</v>
      </c>
      <c r="I117" s="2329" t="s">
        <v>1434</v>
      </c>
    </row>
    <row r="118" spans="1:27" ht="24.75" customHeight="1">
      <c r="A118" s="2580" t="str">
        <f>项目基本情况!S2</f>
        <v>北京市房地产</v>
      </c>
      <c r="B118" s="2329">
        <f>M18</f>
        <v>108132.23000000003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113520</v>
      </c>
      <c r="I118" s="2329">
        <f ca="1">ROUND(IF(D32="楼面单价",C32,H118*10000/B118),0)</f>
        <v>10498</v>
      </c>
    </row>
    <row r="119" spans="1:27" ht="18.75" customHeight="1">
      <c r="A119" s="3558" t="s">
        <v>1435</v>
      </c>
      <c r="B119" s="3558"/>
      <c r="C119" s="3558"/>
      <c r="D119" s="3564" t="str">
        <f>NUMBERSTRING(INT(D118*10000),2)&amp;"元整"</f>
        <v>零元整</v>
      </c>
      <c r="E119" s="3565"/>
      <c r="F119" s="3564" t="str">
        <f>NUMBERSTRING(INT(F118*10000),2)&amp;"元整"</f>
        <v>零元整</v>
      </c>
      <c r="G119" s="3565"/>
      <c r="H119" s="3564" t="str">
        <f ca="1">NUMBERSTRING(INT(H118*10000),2)&amp;"元整"</f>
        <v>壹拾壹亿叁仟伍佰贰拾万元整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1435</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113520</v>
      </c>
      <c r="E122" s="3560"/>
      <c r="F122" s="3560"/>
      <c r="G122" s="3560"/>
      <c r="H122" s="3560"/>
      <c r="I122" s="3561"/>
      <c r="AA122" s="725"/>
    </row>
    <row r="123" spans="1:27" ht="18.75" customHeight="1">
      <c r="A123" s="3558" t="s">
        <v>1435</v>
      </c>
      <c r="B123" s="3558"/>
      <c r="C123" s="3558"/>
      <c r="D123" s="3564" t="str">
        <f ca="1">NUMBERSTRING(INT(D122*10000),2)&amp;"元整"</f>
        <v>壹拾壹亿叁仟伍佰贰拾万元整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1435</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抵押净值</v>
      </c>
      <c r="B126" s="3570"/>
      <c r="C126" s="3570"/>
      <c r="D126" s="3559">
        <f ca="1">H111</f>
        <v>43157</v>
      </c>
      <c r="E126" s="3560"/>
      <c r="F126" s="3560"/>
      <c r="G126" s="3560"/>
      <c r="H126" s="3560"/>
      <c r="I126" s="3561"/>
      <c r="AA126" s="725"/>
    </row>
    <row r="127" spans="1:27" ht="18.75" customHeight="1">
      <c r="A127" s="3558" t="s">
        <v>1435</v>
      </c>
      <c r="B127" s="3558"/>
      <c r="C127" s="3558"/>
      <c r="D127" s="3564" t="str">
        <f ca="1">NUMBERSTRING(INT(D126*10000),2)&amp;"元整"</f>
        <v>肆亿叁仟壹佰伍拾柒万元整</v>
      </c>
      <c r="E127" s="3566"/>
      <c r="F127" s="3566"/>
      <c r="G127" s="3566"/>
      <c r="H127" s="3566"/>
      <c r="I127" s="3565"/>
      <c r="AA127" s="725"/>
    </row>
    <row r="128" spans="1:27" ht="21.75" customHeight="1">
      <c r="A128" s="3567" t="s">
        <v>1436</v>
      </c>
      <c r="B128" s="3567"/>
      <c r="C128" s="3567"/>
      <c r="D128" s="3567"/>
      <c r="E128" s="3567"/>
      <c r="F128" s="3567"/>
      <c r="G128" s="3567"/>
      <c r="H128" s="3567"/>
      <c r="I128" s="3567"/>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L52" sqref="L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7</v>
      </c>
    </row>
    <row r="2" spans="1:9" s="200" customFormat="1" ht="18" customHeight="1">
      <c r="A2" s="201" t="s">
        <v>1445</v>
      </c>
      <c r="B2" s="202">
        <f ca="1">IF(D2="——",C52,C52-E2)</f>
        <v>84734</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7836</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21810</v>
      </c>
      <c r="D5" s="211" t="s">
        <v>1452</v>
      </c>
      <c r="E5" s="212" t="s">
        <v>1453</v>
      </c>
      <c r="F5" s="212" t="s">
        <v>1454</v>
      </c>
      <c r="G5" s="213"/>
    </row>
    <row r="6" spans="1:9" s="214" customFormat="1" ht="13.5" customHeight="1">
      <c r="A6" s="778" t="s">
        <v>1455</v>
      </c>
      <c r="B6" s="215" t="s">
        <v>1456</v>
      </c>
      <c r="C6" s="216">
        <f>基准地价修正!B2</f>
        <v>19170</v>
      </c>
      <c r="D6" s="217"/>
      <c r="E6" s="218"/>
      <c r="F6" s="218"/>
      <c r="G6" s="219"/>
    </row>
    <row r="7" spans="1:9" s="214" customFormat="1" ht="13.5" customHeight="1">
      <c r="A7" s="778" t="s">
        <v>1457</v>
      </c>
      <c r="B7" s="215" t="s">
        <v>1458</v>
      </c>
      <c r="C7" s="220">
        <f>ROUND(C6*F7,0)</f>
        <v>585</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2055</v>
      </c>
      <c r="D8" s="222"/>
      <c r="E8" s="220"/>
      <c r="F8" s="221"/>
      <c r="G8" s="1856" t="s">
        <v>3506</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t="s">
        <v>3507</v>
      </c>
      <c r="H9" s="1137"/>
      <c r="I9" s="1858" t="s">
        <v>1462</v>
      </c>
    </row>
    <row r="10" spans="1:9" s="214" customFormat="1" ht="13.5" customHeight="1">
      <c r="A10" s="779" t="s">
        <v>356</v>
      </c>
      <c r="B10" s="224" t="s">
        <v>1463</v>
      </c>
      <c r="C10" s="225">
        <f ca="1">ROUND(D10*E10/10000,0)</f>
        <v>2055</v>
      </c>
      <c r="D10" s="845">
        <f ca="1">IF(B1="",'数据-汇总表'!E6,IF(INDIRECT("'数据-取费表'!c"&amp;$G$1)="住宅",INDIRECT("'数据-取费表'!s"&amp;$G$1),INDIRECT("'数据-取费表'!k"&amp;$G$1)+INDIRECT("'数据-取费表'!s"&amp;$G$1)))</f>
        <v>108132.23000000003</v>
      </c>
      <c r="E10" s="225">
        <f>'数据-取费表'!B28</f>
        <v>190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108132.23000000003</v>
      </c>
      <c r="E19" s="211">
        <f>'数据-取费表'!B31</f>
        <v>200</v>
      </c>
      <c r="F19" s="231"/>
      <c r="G19" s="1856" t="s">
        <v>3508</v>
      </c>
    </row>
    <row r="20" spans="1:7" s="214" customFormat="1" ht="13.5" customHeight="1">
      <c r="A20" s="255" t="s">
        <v>1476</v>
      </c>
      <c r="B20" s="210" t="s">
        <v>1477</v>
      </c>
      <c r="C20" s="232">
        <f ca="1">ROUND((C5+C19)*F20,0)</f>
        <v>436</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1949</v>
      </c>
      <c r="D22" s="235">
        <f ca="1">C26</f>
        <v>8.9999999999999998E-4</v>
      </c>
      <c r="E22" s="236" t="s">
        <v>1481</v>
      </c>
      <c r="F22" s="237">
        <f ca="1">'数据-取费表'!B40</f>
        <v>3.4500000000000003E-2</v>
      </c>
      <c r="G22" s="234" t="str">
        <f>IF('数据-取费表'!B22&lt;=1,"单利计息","复利计息")</f>
        <v>复利计息</v>
      </c>
    </row>
    <row r="23" spans="1:7" s="214" customFormat="1" ht="13.5" customHeight="1">
      <c r="A23" s="780" t="s">
        <v>1485</v>
      </c>
      <c r="B23" s="215" t="s">
        <v>1486</v>
      </c>
      <c r="C23" s="1105">
        <f ca="1">ROUND(IF('数据-取费表'!B22&lt;=1,C5*F22*'数据-取费表'!B23,C5*(POWER((1+F22),'数据-取费表'!B23)-1)),0)</f>
        <v>1930</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f ca="1">ROUND(IF('数据-取费表'!B22&lt;=1,C20*F22*'数据-取费表'!B23/2,C20*(POWER((1+F22),'数据-取费表'!B23/2)-1)),0)</f>
        <v>19</v>
      </c>
      <c r="D25" s="238"/>
      <c r="E25" s="241"/>
      <c r="F25" s="239"/>
      <c r="G25" s="242" t="s">
        <v>1493</v>
      </c>
    </row>
    <row r="26" spans="1:7" s="214" customFormat="1">
      <c r="A26" s="780" t="s">
        <v>350</v>
      </c>
      <c r="B26" s="215" t="s">
        <v>1494</v>
      </c>
      <c r="C26" s="238">
        <f ca="1">ROUND(IF('数据-取费表'!B22&lt;=1,F21*F22*'数据-取费表'!B23/2,F21*(POWER((1+F22),'数据-取费表'!B23/2)-1)),4)</f>
        <v>8.9999999999999998E-4</v>
      </c>
      <c r="D26" s="238"/>
      <c r="E26" s="241"/>
      <c r="F26" s="239"/>
      <c r="G26" s="243"/>
    </row>
    <row r="27" spans="1:7" s="214" customFormat="1" ht="24.75">
      <c r="A27" s="255" t="s">
        <v>1495</v>
      </c>
      <c r="B27" s="244" t="s">
        <v>1496</v>
      </c>
      <c r="C27" s="245">
        <f ca="1">C28</f>
        <v>2225</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ROUND((C5+C19+C20)*F27*'数据-取费表'!B21/'数据-取费表'!B20,0)</f>
        <v>2225</v>
      </c>
      <c r="D28" s="235"/>
      <c r="E28" s="236"/>
      <c r="F28" s="246"/>
      <c r="G28" s="247"/>
    </row>
    <row r="29" spans="1:7" s="214" customFormat="1" ht="13.5" customHeight="1">
      <c r="A29" s="780" t="s">
        <v>347</v>
      </c>
      <c r="B29" s="248" t="s">
        <v>1500</v>
      </c>
      <c r="C29" s="238">
        <f ca="1">ROUND(C21*F27*'数据-取费表'!B21/'数据-取费表'!B20,4)</f>
        <v>2E-3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28599</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54229</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48660</v>
      </c>
      <c r="D34" s="217"/>
      <c r="E34" s="220"/>
      <c r="F34" s="257">
        <f ca="1">IF('数据-取费表'!B24=0,1,IF(B1="",'数据-取费表'!N16,INDIRECT("'数据-取费表'!n"&amp;$G$1)))</f>
        <v>1</v>
      </c>
      <c r="G34" s="219" t="s">
        <v>1509</v>
      </c>
    </row>
    <row r="35" spans="1:7" ht="13.5" customHeight="1">
      <c r="A35" s="780" t="s">
        <v>351</v>
      </c>
      <c r="B35" s="215" t="s">
        <v>1510</v>
      </c>
      <c r="C35" s="220">
        <f ca="1">ROUND(C34*F35,0)</f>
        <v>2433</v>
      </c>
      <c r="D35" s="220"/>
      <c r="E35" s="220"/>
      <c r="F35" s="259">
        <f>'数据-取费表'!B33</f>
        <v>0.05</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2163</v>
      </c>
      <c r="D37" s="217">
        <f ca="1">D19</f>
        <v>108132.23000000003</v>
      </c>
      <c r="E37" s="249">
        <f>'数据-取费表'!B35</f>
        <v>200</v>
      </c>
      <c r="F37" s="259"/>
      <c r="G37" s="261" t="s">
        <v>1515</v>
      </c>
    </row>
    <row r="38" spans="1:7" ht="13.5" customHeight="1">
      <c r="A38" s="780" t="s">
        <v>354</v>
      </c>
      <c r="B38" s="215" t="s">
        <v>1516</v>
      </c>
      <c r="C38" s="220">
        <f ca="1">ROUND(C34*F38,0)</f>
        <v>973</v>
      </c>
      <c r="D38" s="220"/>
      <c r="E38" s="220"/>
      <c r="F38" s="259">
        <f>'数据-取费表'!B36</f>
        <v>0.02</v>
      </c>
      <c r="G38" s="219" t="s">
        <v>1511</v>
      </c>
    </row>
    <row r="39" spans="1:7" s="214" customFormat="1" ht="13.5" customHeight="1">
      <c r="A39" s="255" t="s">
        <v>1517</v>
      </c>
      <c r="B39" s="210" t="s">
        <v>1518</v>
      </c>
      <c r="C39" s="232">
        <f ca="1">ROUND(C33*F20,0)</f>
        <v>1085</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2396</v>
      </c>
      <c r="D41" s="235">
        <f ca="1">C44</f>
        <v>8.9999999999999998E-4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2349</v>
      </c>
      <c r="D42" s="238"/>
      <c r="E42" s="238"/>
      <c r="F42" s="239"/>
      <c r="G42" s="3637" t="s">
        <v>1527</v>
      </c>
    </row>
    <row r="43" spans="1:7" ht="13.5" customHeight="1">
      <c r="A43" s="780" t="s">
        <v>347</v>
      </c>
      <c r="B43" s="215" t="s">
        <v>1528</v>
      </c>
      <c r="C43" s="238">
        <f ca="1">ROUND(IF('数据-取费表'!B22&lt;=1,C39*F22*'数据-取费表'!B21/2,C39*(POWER((1+F22),'数据-取费表'!B21/2)-1)),0)</f>
        <v>47</v>
      </c>
      <c r="D43" s="238"/>
      <c r="E43" s="238"/>
      <c r="F43" s="239"/>
      <c r="G43" s="3638"/>
    </row>
    <row r="44" spans="1:7" ht="13.5" customHeight="1">
      <c r="A44" s="780" t="s">
        <v>348</v>
      </c>
      <c r="B44" s="215" t="s">
        <v>1529</v>
      </c>
      <c r="C44" s="238">
        <f ca="1">ROUND(IF('数据-取费表'!B22&lt;=1,C40*F22*'数据-取费表'!B21/2,C40*(POWER((1+F22),'数据-取费表'!B21/2)-1)),4)</f>
        <v>8.9999999999999998E-4</v>
      </c>
      <c r="D44" s="238"/>
      <c r="E44" s="238"/>
      <c r="F44" s="239"/>
      <c r="G44" s="3639"/>
    </row>
    <row r="45" spans="1:7" s="214" customFormat="1" ht="13.5" customHeight="1">
      <c r="A45" s="255" t="s">
        <v>1530</v>
      </c>
      <c r="B45" s="244" t="s">
        <v>1496</v>
      </c>
      <c r="C45" s="245">
        <f ca="1">C46</f>
        <v>5531</v>
      </c>
      <c r="D45" s="235">
        <f ca="1">C47</f>
        <v>2E-3</v>
      </c>
      <c r="E45" s="236" t="s">
        <v>1522</v>
      </c>
      <c r="F45" s="246">
        <f ca="1">F27</f>
        <v>0.1</v>
      </c>
      <c r="G45" s="247" t="s">
        <v>1531</v>
      </c>
    </row>
    <row r="46" spans="1:7" s="214" customFormat="1" ht="13.5" customHeight="1">
      <c r="A46" s="780" t="s">
        <v>346</v>
      </c>
      <c r="B46" s="248" t="s">
        <v>1532</v>
      </c>
      <c r="C46" s="249">
        <f ca="1">ROUND((C33+C39)*F27,0)</f>
        <v>5531</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68457</v>
      </c>
      <c r="D49" s="232"/>
      <c r="E49" s="232"/>
      <c r="F49" s="264"/>
      <c r="G49" s="234" t="s">
        <v>1537</v>
      </c>
    </row>
    <row r="50" spans="1:7" s="258" customFormat="1" ht="24">
      <c r="A50" s="255" t="s">
        <v>1538</v>
      </c>
      <c r="B50" s="210" t="s">
        <v>1539</v>
      </c>
      <c r="C50" s="232"/>
      <c r="D50" s="232"/>
      <c r="E50" s="232"/>
      <c r="F50" s="264">
        <f>IF('数据-取费表'!B24=0,'数据-取费表'!N16,1)</f>
        <v>0.82</v>
      </c>
      <c r="G50" s="247" t="s">
        <v>1540</v>
      </c>
    </row>
    <row r="51" spans="1:7" ht="16.5" customHeight="1">
      <c r="A51" s="255" t="s">
        <v>1541</v>
      </c>
      <c r="B51" s="210" t="s">
        <v>1542</v>
      </c>
      <c r="C51" s="232">
        <f ca="1">ROUND(C49*F50,0)</f>
        <v>56135</v>
      </c>
      <c r="D51" s="232"/>
      <c r="E51" s="232"/>
      <c r="F51" s="264"/>
      <c r="G51" s="234" t="s">
        <v>1543</v>
      </c>
    </row>
    <row r="52" spans="1:7" s="208" customFormat="1" ht="16.5" thickBot="1">
      <c r="A52" s="265" t="s">
        <v>1544</v>
      </c>
      <c r="B52" s="266"/>
      <c r="C52" s="267">
        <f ca="1">C31+C51</f>
        <v>84734</v>
      </c>
      <c r="D52" s="266"/>
      <c r="E52" s="266"/>
      <c r="F52" s="266"/>
      <c r="G52" s="268"/>
    </row>
    <row r="55" spans="1:7" ht="15">
      <c r="B55" s="270" t="s">
        <v>1545</v>
      </c>
      <c r="C55" s="271"/>
    </row>
    <row r="56" spans="1:7">
      <c r="B56" s="273" t="s">
        <v>802</v>
      </c>
      <c r="C56" s="275">
        <f ca="1">1-C57</f>
        <v>0.33799999999999997</v>
      </c>
    </row>
    <row r="57" spans="1:7">
      <c r="B57" s="273" t="s">
        <v>803</v>
      </c>
      <c r="C57" s="274">
        <f ca="1">ROUND(C51/C52,3)</f>
        <v>0.66200000000000003</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3">
        <f ca="1">ROUND(IF(D2="——",C52/10000,C52/10000-E2),4)</f>
        <v>61663.8675</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5703</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20545124</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20545124</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20545124</v>
      </c>
      <c r="D10" s="845">
        <f ca="1">IF(B1="",'数据-汇总表'!E6,IF(INDIRECT("'数据-取费表'!c"&amp;$G$1)="住宅",INDIRECT("'数据-取费表'!s"&amp;$G$1),INDIRECT("'数据-取费表'!k"&amp;$G$1)+INDIRECT("'数据-取费表'!s"&amp;$G$1)))</f>
        <v>108132.23000000003</v>
      </c>
      <c r="E10" s="225">
        <f>'数据-取费表'!B28</f>
        <v>190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21626446</v>
      </c>
      <c r="D19" s="849">
        <f ca="1">D9+D10</f>
        <v>108132.23000000003</v>
      </c>
      <c r="E19" s="211">
        <f>'数据-取费表'!B31</f>
        <v>200</v>
      </c>
      <c r="F19" s="231"/>
      <c r="G19" s="1856"/>
    </row>
    <row r="20" spans="1:7" s="214" customFormat="1" ht="13.5" customHeight="1">
      <c r="A20" s="255" t="s">
        <v>1557</v>
      </c>
      <c r="B20" s="210" t="s">
        <v>1558</v>
      </c>
      <c r="C20" s="232">
        <f ca="1">ROUND((C5+C19)*F20,0)</f>
        <v>843431</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3768479</v>
      </c>
      <c r="D22" s="235">
        <f ca="1">C26</f>
        <v>8.9999999999999998E-4</v>
      </c>
      <c r="E22" s="236" t="s">
        <v>1562</v>
      </c>
      <c r="F22" s="237">
        <f ca="1">'数据-取费表'!B40</f>
        <v>3.4500000000000003E-2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1818130</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1913821</v>
      </c>
      <c r="D24" s="238"/>
      <c r="E24" s="238"/>
      <c r="F24" s="239"/>
      <c r="G24" s="240" t="s">
        <v>1569</v>
      </c>
    </row>
    <row r="25" spans="1:7" s="214" customFormat="1" ht="24">
      <c r="A25" s="780" t="s">
        <v>1459</v>
      </c>
      <c r="B25" s="215" t="s">
        <v>1570</v>
      </c>
      <c r="C25" s="1128">
        <f ca="1">ROUND(IF('数据-取费表'!B22&lt;=1,C20*F22*'数据-取费表'!B22/2,C20*(POWER((1+F22),'数据-取费表'!B22/2)-1)),0)</f>
        <v>36528</v>
      </c>
      <c r="D25" s="238"/>
      <c r="E25" s="241"/>
      <c r="F25" s="239"/>
      <c r="G25" s="242" t="s">
        <v>1571</v>
      </c>
    </row>
    <row r="26" spans="1:7" s="214" customFormat="1">
      <c r="A26" s="780" t="s">
        <v>350</v>
      </c>
      <c r="B26" s="215" t="s">
        <v>1494</v>
      </c>
      <c r="C26" s="238">
        <f ca="1">ROUND(IF('数据-取费表'!B22&lt;=1,F21*F22*'数据-取费表'!B22/2,F21*(POWER((1+F22),'数据-取费表'!B22/2)-1)),4)</f>
        <v>8.9999999999999998E-4</v>
      </c>
      <c r="D26" s="238"/>
      <c r="E26" s="241"/>
      <c r="F26" s="239"/>
      <c r="G26" s="243"/>
    </row>
    <row r="27" spans="1:7" s="214" customFormat="1" ht="24.75">
      <c r="A27" s="255" t="s">
        <v>1495</v>
      </c>
      <c r="B27" s="244" t="s">
        <v>1496</v>
      </c>
      <c r="C27" s="245">
        <f ca="1">C28</f>
        <v>4301500</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ROUND((C5+C19+C20)*F27,0)</f>
        <v>4301500</v>
      </c>
      <c r="D28" s="235"/>
      <c r="E28" s="236"/>
      <c r="F28" s="246"/>
      <c r="G28" s="247"/>
    </row>
    <row r="29" spans="1:7" s="214" customFormat="1" ht="13.5" customHeight="1">
      <c r="A29" s="780" t="s">
        <v>347</v>
      </c>
      <c r="B29" s="248" t="s">
        <v>1500</v>
      </c>
      <c r="C29" s="238">
        <f ca="1">ROUND(C21*F27,4)</f>
        <v>2E-3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55298744</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542283134</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486595035</v>
      </c>
      <c r="D34" s="217"/>
      <c r="E34" s="220"/>
      <c r="F34" s="257"/>
      <c r="G34" s="219"/>
    </row>
    <row r="35" spans="1:7" ht="13.5" customHeight="1">
      <c r="A35" s="780" t="s">
        <v>351</v>
      </c>
      <c r="B35" s="215" t="s">
        <v>1510</v>
      </c>
      <c r="C35" s="220">
        <f ca="1">ROUND(C34*F35,0)</f>
        <v>24329752</v>
      </c>
      <c r="D35" s="220"/>
      <c r="E35" s="220"/>
      <c r="F35" s="259">
        <f>'数据-取费表'!B33</f>
        <v>0.05</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21626446</v>
      </c>
      <c r="D37" s="217">
        <f ca="1">D19</f>
        <v>108132.23000000003</v>
      </c>
      <c r="E37" s="249">
        <f>'数据-取费表'!B35</f>
        <v>200</v>
      </c>
      <c r="F37" s="259"/>
      <c r="G37" s="261"/>
    </row>
    <row r="38" spans="1:7" ht="13.5" customHeight="1">
      <c r="A38" s="780" t="s">
        <v>354</v>
      </c>
      <c r="B38" s="215" t="s">
        <v>1516</v>
      </c>
      <c r="C38" s="220">
        <f ca="1">ROUND(C34*F38,0)</f>
        <v>9731901</v>
      </c>
      <c r="D38" s="220"/>
      <c r="E38" s="220"/>
      <c r="F38" s="259">
        <f>'数据-取费表'!B36</f>
        <v>0.02</v>
      </c>
      <c r="G38" s="219" t="s">
        <v>1511</v>
      </c>
    </row>
    <row r="39" spans="1:7" s="214" customFormat="1" ht="13.5" customHeight="1">
      <c r="A39" s="255" t="s">
        <v>1517</v>
      </c>
      <c r="B39" s="210" t="s">
        <v>1518</v>
      </c>
      <c r="C39" s="232">
        <f ca="1">ROUND(C33*F20,0)</f>
        <v>10845663</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23955674</v>
      </c>
      <c r="D41" s="235">
        <f ca="1">C44</f>
        <v>8.9999999999999998E-4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23485955</v>
      </c>
      <c r="D42" s="238"/>
      <c r="E42" s="238"/>
      <c r="F42" s="239"/>
      <c r="G42" s="3637" t="s">
        <v>1574</v>
      </c>
    </row>
    <row r="43" spans="1:7" ht="13.5" customHeight="1">
      <c r="A43" s="780" t="s">
        <v>347</v>
      </c>
      <c r="B43" s="215" t="s">
        <v>1528</v>
      </c>
      <c r="C43" s="238">
        <f ca="1">ROUND(IF('数据-取费表'!B22&lt;=1,C39*F22*'数据-取费表'!B20/2,C39*(POWER((1+F22),'数据-取费表'!B20/2)-1)),0)</f>
        <v>469719</v>
      </c>
      <c r="D43" s="238"/>
      <c r="E43" s="238"/>
      <c r="F43" s="239"/>
      <c r="G43" s="3638"/>
    </row>
    <row r="44" spans="1:7" ht="13.5" customHeight="1">
      <c r="A44" s="780" t="s">
        <v>348</v>
      </c>
      <c r="B44" s="215" t="s">
        <v>1529</v>
      </c>
      <c r="C44" s="238">
        <f ca="1">ROUND(IF('数据-取费表'!B22&lt;=1,C40*F22*'数据-取费表'!B20/2,C40*(POWER((1+F22),'数据-取费表'!B20/2)-1)),4)</f>
        <v>8.9999999999999998E-4</v>
      </c>
      <c r="D44" s="238"/>
      <c r="E44" s="238"/>
      <c r="F44" s="239"/>
      <c r="G44" s="3639"/>
    </row>
    <row r="45" spans="1:7" s="214" customFormat="1" ht="13.5" customHeight="1">
      <c r="A45" s="255" t="s">
        <v>1530</v>
      </c>
      <c r="B45" s="244" t="s">
        <v>1496</v>
      </c>
      <c r="C45" s="245">
        <f ca="1">C46</f>
        <v>55312880</v>
      </c>
      <c r="D45" s="235">
        <f ca="1">C47</f>
        <v>2E-3</v>
      </c>
      <c r="E45" s="236" t="s">
        <v>1522</v>
      </c>
      <c r="F45" s="246">
        <f ca="1">F27</f>
        <v>0.1</v>
      </c>
      <c r="G45" s="247" t="s">
        <v>1531</v>
      </c>
    </row>
    <row r="46" spans="1:7" s="214" customFormat="1" ht="13.5" customHeight="1">
      <c r="A46" s="780" t="s">
        <v>346</v>
      </c>
      <c r="B46" s="248" t="s">
        <v>1532</v>
      </c>
      <c r="C46" s="249">
        <f ca="1">ROUND((C33+C39)*F27,0)</f>
        <v>55312880</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684560891</v>
      </c>
      <c r="D49" s="232"/>
      <c r="E49" s="232"/>
      <c r="F49" s="264"/>
      <c r="G49" s="234" t="s">
        <v>1537</v>
      </c>
    </row>
    <row r="50" spans="1:7" s="258" customFormat="1">
      <c r="A50" s="255" t="s">
        <v>1538</v>
      </c>
      <c r="B50" s="210" t="s">
        <v>1539</v>
      </c>
      <c r="C50" s="232"/>
      <c r="D50" s="232"/>
      <c r="E50" s="232"/>
      <c r="F50" s="264">
        <f>IF('数据-取费表'!B24=0,'数据-取费表'!N16,1)</f>
        <v>0.82</v>
      </c>
      <c r="G50" s="247"/>
    </row>
    <row r="51" spans="1:7" ht="16.5" customHeight="1">
      <c r="A51" s="255" t="s">
        <v>1541</v>
      </c>
      <c r="B51" s="210" t="s">
        <v>1576</v>
      </c>
      <c r="C51" s="232">
        <f ca="1">ROUND(C49*F50,0)</f>
        <v>561339931</v>
      </c>
      <c r="D51" s="232"/>
      <c r="E51" s="232"/>
      <c r="F51" s="264"/>
      <c r="G51" s="234" t="s">
        <v>1543</v>
      </c>
    </row>
    <row r="52" spans="1:7" s="208" customFormat="1" ht="16.5" thickBot="1">
      <c r="A52" s="265" t="s">
        <v>1544</v>
      </c>
      <c r="B52" s="266"/>
      <c r="C52" s="267">
        <f ca="1">C31+C51</f>
        <v>616638675</v>
      </c>
      <c r="D52" s="266"/>
      <c r="E52" s="266"/>
      <c r="F52" s="266"/>
      <c r="G52" s="268"/>
    </row>
    <row r="55" spans="1:7" ht="15">
      <c r="B55" s="270" t="s">
        <v>1545</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5"/>
      <c r="F1" s="2785"/>
      <c r="G1" s="2651"/>
      <c r="H1" s="2785"/>
      <c r="I1" s="2785"/>
      <c r="J1" s="2785"/>
      <c r="K1" s="2786">
        <f>MATCH(C1,'数据-取费表'!A6:A16,0)+5</f>
        <v>7</v>
      </c>
    </row>
    <row r="2" spans="1:33" ht="18" customHeight="1">
      <c r="A2" s="201" t="s">
        <v>1445</v>
      </c>
      <c r="B2" s="204">
        <f ca="1">C32</f>
        <v>0</v>
      </c>
      <c r="C2" s="276" t="s">
        <v>1578</v>
      </c>
      <c r="D2" s="276"/>
      <c r="E2" s="2785"/>
      <c r="F2" s="2785"/>
      <c r="G2" s="2785"/>
      <c r="H2" s="2785"/>
      <c r="I2" s="2785"/>
      <c r="J2" s="2785"/>
      <c r="K2" s="2785"/>
    </row>
    <row r="3" spans="1:33" ht="18" customHeight="1" thickBot="1">
      <c r="A3" s="203" t="s">
        <v>1447</v>
      </c>
      <c r="B3" s="204">
        <f ca="1">ROUND(B2*10000/IF(C1="",'数据-汇总表'!E3,INDIRECT("'数据-取费表'!K"&amp;$K$1)),0)</f>
        <v>0</v>
      </c>
      <c r="C3" s="276" t="s">
        <v>1579</v>
      </c>
      <c r="D3" s="276"/>
      <c r="E3" s="2785"/>
      <c r="F3" s="2785"/>
      <c r="G3" s="2785"/>
      <c r="H3" s="2785"/>
      <c r="I3" s="2785"/>
      <c r="J3" s="2785"/>
      <c r="K3" s="2785"/>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0.05</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108132.23000000003</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0.02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108132.23000000003</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2055</v>
      </c>
      <c r="D20" s="846">
        <f ca="1">IF(C1="",'数据-汇总表'!E6,IF(INDIRECT("'数据-取费表'!c"&amp;$K$1)="住宅",INDIRECT("'数据-取费表'!s"&amp;$K$1),INDIRECT("'数据-取费表'!k"&amp;$K$1)+INDIRECT("'数据-取费表'!s"&amp;$K$1)))</f>
        <v>108132.23000000003</v>
      </c>
      <c r="E20" s="21">
        <f>'数据-取费表'!B28</f>
        <v>190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36.659999999999997</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132710</v>
      </c>
      <c r="C2" s="1387" t="s">
        <v>805</v>
      </c>
      <c r="D2" s="1387"/>
      <c r="E2" s="1388"/>
      <c r="F2" s="1389"/>
      <c r="G2" s="2685"/>
      <c r="H2" s="2674"/>
      <c r="I2" s="2674"/>
      <c r="J2" s="2674"/>
      <c r="K2" s="2675"/>
      <c r="L2" s="2674"/>
      <c r="M2" s="2674"/>
    </row>
    <row r="3" spans="1:37" ht="18" customHeight="1" thickBot="1">
      <c r="A3" s="1390" t="s">
        <v>806</v>
      </c>
      <c r="B3" s="1391">
        <f ca="1">IF(ISERROR(B2*10000/F43),0,ROUND(B2*10000/F43,0))</f>
        <v>12273</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7696</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7686</v>
      </c>
      <c r="D6" s="155" t="s">
        <v>2092</v>
      </c>
      <c r="E6" s="302" t="s">
        <v>696</v>
      </c>
      <c r="F6" s="303">
        <f ca="1">INDIRECT("'数据-取费表'!u"&amp;$G$1)</f>
        <v>2.0499999999999998</v>
      </c>
      <c r="G6" s="1384"/>
      <c r="H6" s="1069" t="s">
        <v>398</v>
      </c>
      <c r="I6" s="3642" t="s">
        <v>694</v>
      </c>
      <c r="J6" s="301">
        <f ca="1">ROUND(M6*M8*M7*(1-M9)/10000,0)</f>
        <v>0</v>
      </c>
      <c r="K6" s="155" t="s">
        <v>2091</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108132.23000000003</v>
      </c>
      <c r="G7" s="1384"/>
      <c r="H7" s="304"/>
      <c r="I7" s="3643"/>
      <c r="J7" s="306"/>
      <c r="K7" s="307"/>
      <c r="L7" s="302" t="s">
        <v>697</v>
      </c>
      <c r="M7" s="303">
        <f ca="1">F7</f>
        <v>108132.23000000003</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0.05</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2100</v>
      </c>
      <c r="E10" s="313" t="s">
        <v>701</v>
      </c>
      <c r="F10" s="1116" t="s">
        <v>3490</v>
      </c>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56135</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48660</v>
      </c>
      <c r="D14" s="1345" t="s">
        <v>708</v>
      </c>
      <c r="E14" s="1342"/>
      <c r="F14" s="319"/>
      <c r="G14" s="1384"/>
      <c r="H14" s="982" t="s">
        <v>398</v>
      </c>
      <c r="I14" s="302" t="s">
        <v>709</v>
      </c>
      <c r="J14" s="21">
        <f ca="1">C29</f>
        <v>68457</v>
      </c>
      <c r="K14" s="12"/>
      <c r="L14" s="807"/>
      <c r="M14" s="808"/>
    </row>
    <row r="15" spans="1:37" s="1397" customFormat="1" ht="18" customHeight="1" thickBot="1">
      <c r="A15" s="982" t="s">
        <v>399</v>
      </c>
      <c r="B15" s="302" t="s">
        <v>710</v>
      </c>
      <c r="C15" s="21">
        <f ca="1">ROUND(C14*F15,0)</f>
        <v>2433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685</v>
      </c>
      <c r="K16" s="1087" t="s">
        <v>715</v>
      </c>
      <c r="L16" s="1088"/>
      <c r="M16" s="1072"/>
    </row>
    <row r="17" spans="1:37" s="1397" customFormat="1" ht="18" customHeight="1">
      <c r="A17" s="982" t="s">
        <v>681</v>
      </c>
      <c r="B17" s="302" t="s">
        <v>716</v>
      </c>
      <c r="C17" s="21">
        <f ca="1">ROUND(F17*(F43+INDIRECT("'数据-取费表'!S"&amp;$G$1))/10000,0)</f>
        <v>2163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973</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54229</v>
      </c>
      <c r="D19" s="131" t="s">
        <v>726</v>
      </c>
      <c r="E19" s="1360"/>
      <c r="F19" s="23"/>
      <c r="G19" s="1384"/>
      <c r="H19" s="982" t="s">
        <v>399</v>
      </c>
      <c r="I19" s="302" t="s">
        <v>727</v>
      </c>
      <c r="J19" s="21">
        <f ca="1">IF(K19="按租金收入计税",ROUND(J6*M19/(1+'数据-取费表'!C42),2),ROUND(C29*M19*0.7,2))</f>
        <v>0</v>
      </c>
      <c r="K19" s="1370" t="s">
        <v>3323</v>
      </c>
      <c r="L19" s="302" t="s">
        <v>712</v>
      </c>
      <c r="M19" s="322">
        <f>IF(K19="按租金收入计税",'数据-取费表'!B51,'数据-取费表'!B50)</f>
        <v>0.12</v>
      </c>
    </row>
    <row r="20" spans="1:37" s="1397" customFormat="1" ht="18" customHeight="1">
      <c r="A20" s="982" t="s">
        <v>402</v>
      </c>
      <c r="B20" s="302" t="s">
        <v>728</v>
      </c>
      <c r="C20" s="21">
        <f ca="1">ROUND(C19*F20,0)</f>
        <v>1085</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684.57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2396</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-685</v>
      </c>
      <c r="K25" s="1095" t="s">
        <v>753</v>
      </c>
      <c r="L25" s="1096"/>
      <c r="M25" s="1097"/>
    </row>
    <row r="26" spans="1:37">
      <c r="A26" s="982" t="s">
        <v>397</v>
      </c>
      <c r="B26" s="302" t="s">
        <v>754</v>
      </c>
      <c r="C26" s="21">
        <f ca="1">ROUND((C19+C20)*F26,0)</f>
        <v>5531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68457</v>
      </c>
      <c r="D29" s="1092"/>
      <c r="E29" s="1090"/>
      <c r="F29" s="1093"/>
      <c r="G29" s="1396"/>
      <c r="H29" s="334" t="s">
        <v>396</v>
      </c>
      <c r="I29" s="335" t="s">
        <v>768</v>
      </c>
      <c r="J29" s="336">
        <f ca="1">ROUND(J26/(1+F40)^F41,0)</f>
        <v>0</v>
      </c>
      <c r="K29" s="337" t="s">
        <v>769</v>
      </c>
      <c r="L29" s="338"/>
      <c r="M29" s="339">
        <f ca="1">INDIRECT("'数据-取费表'!k"&amp;$G$1)</f>
        <v>108132.23000000003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2106</v>
      </c>
      <c r="D30" s="1087" t="s">
        <v>715</v>
      </c>
      <c r="E30" s="1088"/>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ROUND(IF(AND(项目基本情况!B11="自然人",项目基本情况!B10="北京市"),C6*F31/(1+'数据-取费表'!C42),C32+C33+C34),2)</f>
        <v>1288.32</v>
      </c>
      <c r="D31" s="1345" t="s">
        <v>720</v>
      </c>
      <c r="E31" s="1344" t="s">
        <v>770</v>
      </c>
      <c r="F31" s="2315" t="str">
        <f>IF(项目基本情况!B11="企业","——",IF(M47="住宅",IF(F6*F7*F8/12/(1+'数据-取费表'!F30)&gt;100000,4%,2.5%),IF(F6*F7*F8/12/(1+'数据-取费表'!F30)&gt;100000,12%,7%)))</f>
        <v>——</v>
      </c>
      <c r="G31" s="1384"/>
      <c r="H31" s="2787" t="s">
        <v>2293</v>
      </c>
      <c r="I31" s="1398"/>
      <c r="J31" s="1399"/>
      <c r="K31" s="2475"/>
      <c r="L31" s="2677"/>
      <c r="M31" s="2678"/>
    </row>
    <row r="32" spans="1:37" ht="18" customHeight="1">
      <c r="A32" s="982" t="s">
        <v>397</v>
      </c>
      <c r="B32" s="302" t="s">
        <v>723</v>
      </c>
      <c r="C32" s="21">
        <f ca="1">IF(项目基本情况!B11="自然人","——",ROUND(C6*F32/(1+'数据-取费表'!C42),2))</f>
        <v>409.92</v>
      </c>
      <c r="D32" s="1344"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IF(项目基本情况!B11="自然人","——",IF(D33="按租金收入计税",ROUND(C6*F33/(1+'数据-取费表'!C42),2),IF(D33="按房产原值计税",ROUND(C29*F33*0.7,2),INDIRECT("'数据-取费表'!Aj"&amp;$G$1))))</f>
        <v>878.4</v>
      </c>
      <c r="D33" s="1370" t="s">
        <v>3323</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IF(项目基本情况!B11="自然人","——",ROUND(F34*F35/10000,2))</f>
        <v>0</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ROUND(C29*F36,2)</f>
        <v>684.57</v>
      </c>
      <c r="D36" s="1344" t="s">
        <v>771</v>
      </c>
      <c r="E36" s="302" t="s">
        <v>712</v>
      </c>
      <c r="F36" s="328">
        <f ca="1">INDIRECT("'数据-取费表'!Ak"&amp;$G$1)</f>
        <v>0.01</v>
      </c>
      <c r="G36" s="1384"/>
      <c r="H36" s="2679"/>
      <c r="I36" s="1398"/>
      <c r="J36" s="1399"/>
      <c r="K36" s="2524"/>
      <c r="L36" s="2679"/>
      <c r="M36" s="2679"/>
    </row>
    <row r="37" spans="1:18" ht="18" customHeight="1">
      <c r="A37" s="982" t="s">
        <v>437</v>
      </c>
      <c r="B37" s="302" t="s">
        <v>742</v>
      </c>
      <c r="C37" s="21">
        <f ca="1">ROUND(C13*F37,2)</f>
        <v>56.14</v>
      </c>
      <c r="D37" s="1344" t="s">
        <v>743</v>
      </c>
      <c r="E37" s="302" t="s">
        <v>744</v>
      </c>
      <c r="F37" s="330">
        <f ca="1">INDIRECT("'数据-取费表'!Al"&amp;$G$1)</f>
        <v>1E-3</v>
      </c>
      <c r="G37" s="1384"/>
      <c r="H37" s="2679"/>
      <c r="I37" s="1398"/>
      <c r="J37" s="1399"/>
      <c r="K37" s="2524"/>
      <c r="L37" s="2679"/>
      <c r="M37" s="2679"/>
    </row>
    <row r="38" spans="1:18" ht="18" customHeight="1" thickBot="1">
      <c r="A38" s="1089" t="s">
        <v>684</v>
      </c>
      <c r="B38" s="1090" t="s">
        <v>728</v>
      </c>
      <c r="C38" s="1091">
        <f ca="1">ROUND(C5*F38,2)</f>
        <v>76.959999999999994</v>
      </c>
      <c r="D38" s="1092" t="s">
        <v>748</v>
      </c>
      <c r="E38" s="1090" t="s">
        <v>744</v>
      </c>
      <c r="F38" s="1086">
        <f ca="1">INDIRECT("'数据-取费表'!Am"&amp;$G$1)</f>
        <v>0.01</v>
      </c>
      <c r="G38" s="1384"/>
      <c r="H38" s="2679"/>
      <c r="I38" s="1398"/>
      <c r="J38" s="1399"/>
      <c r="K38" s="2683"/>
      <c r="L38" s="2679"/>
      <c r="M38" s="2679"/>
    </row>
    <row r="39" spans="1:18" ht="24.6" customHeight="1" thickTop="1">
      <c r="A39" s="1079" t="s">
        <v>394</v>
      </c>
      <c r="B39" s="1094" t="s">
        <v>772</v>
      </c>
      <c r="C39" s="310">
        <f ca="1">C5-C30</f>
        <v>5590</v>
      </c>
      <c r="D39" s="1095" t="s">
        <v>773</v>
      </c>
      <c r="E39" s="1096"/>
      <c r="F39" s="1097"/>
      <c r="G39" s="1384"/>
      <c r="H39" s="2679"/>
      <c r="I39" s="1398"/>
      <c r="J39" s="1399"/>
      <c r="K39" s="2683"/>
      <c r="L39" s="2679"/>
      <c r="M39" s="2679"/>
    </row>
    <row r="40" spans="1:18" ht="18" customHeight="1">
      <c r="A40" s="299" t="s">
        <v>395</v>
      </c>
      <c r="B40" s="300" t="s">
        <v>774</v>
      </c>
      <c r="C40" s="301">
        <f ca="1">ROUND(C39*(1-((1+F42)/(1+F40))^F41)/(F40-F42),0)</f>
        <v>130778</v>
      </c>
      <c r="D40" s="324" t="s">
        <v>758</v>
      </c>
      <c r="E40" s="302" t="s">
        <v>759</v>
      </c>
      <c r="F40" s="312">
        <f ca="1">INDIRECT("'数据-取费表'!I"&amp;$G$1)</f>
        <v>5.5E-2</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36.659999999999997</v>
      </c>
      <c r="G41" s="1384"/>
      <c r="H41" s="1191"/>
      <c r="I41" s="1398"/>
      <c r="J41" s="1399"/>
      <c r="K41" s="2524"/>
      <c r="L41" s="1191"/>
      <c r="M41" s="1191"/>
    </row>
    <row r="42" spans="1:18" ht="18" customHeight="1">
      <c r="A42" s="308"/>
      <c r="B42" s="309"/>
      <c r="C42" s="310"/>
      <c r="D42" s="327"/>
      <c r="E42" s="302" t="s">
        <v>766</v>
      </c>
      <c r="F42" s="312">
        <f ca="1">INDIRECT("'数据-取费表'!v"&amp;$G$1)</f>
        <v>0.03</v>
      </c>
      <c r="G42" s="1384"/>
      <c r="H42" s="1191"/>
      <c r="I42" s="1398"/>
      <c r="J42" s="1399"/>
      <c r="K42" s="2524"/>
      <c r="L42" s="1191"/>
      <c r="M42" s="1191"/>
    </row>
    <row r="43" spans="1:18" ht="18" customHeight="1" thickBot="1">
      <c r="A43" s="334" t="s">
        <v>396</v>
      </c>
      <c r="B43" s="335" t="s">
        <v>776</v>
      </c>
      <c r="C43" s="336">
        <f ca="1">ROUND(C40*10000/F43,0)</f>
        <v>12094</v>
      </c>
      <c r="D43" s="337" t="s">
        <v>777</v>
      </c>
      <c r="E43" s="338" t="s">
        <v>778</v>
      </c>
      <c r="F43" s="339">
        <f ca="1">INDIRECT("'数据-取费表'!k"&amp;$G$1)</f>
        <v>108132.23000000003</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-142358</v>
      </c>
      <c r="D46" s="1406" t="str">
        <f>C2</f>
        <v>万元</v>
      </c>
      <c r="E46" s="1400"/>
      <c r="F46" s="1400"/>
      <c r="I46" s="1407" t="s">
        <v>810</v>
      </c>
      <c r="J46" s="1408"/>
      <c r="K46" s="1409"/>
      <c r="L46" s="1410">
        <f ca="1">IF(M47="住宅",0,IF(L48&gt;J51,L60,J60))</f>
        <v>1932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3491</v>
      </c>
      <c r="K47" s="1416" t="s">
        <v>816</v>
      </c>
      <c r="L47" s="1417">
        <f ca="1">INDIRECT("'数据-取费表'!d"&amp;$G$1)</f>
        <v>50</v>
      </c>
      <c r="M47" s="1380" t="str">
        <f>IF(ISNUMBER(FIND("住宅",C1)),"住宅","非住宅")</f>
        <v>非住宅</v>
      </c>
      <c r="O47" s="1418" t="s">
        <v>403</v>
      </c>
      <c r="P47" s="1419" t="s">
        <v>817</v>
      </c>
      <c r="Q47" s="1420">
        <f ca="1">C40+J29</f>
        <v>130778</v>
      </c>
      <c r="R47" s="1420" t="s">
        <v>818</v>
      </c>
    </row>
    <row r="48" spans="1:18" s="1384" customFormat="1" ht="28.5" thickBot="1">
      <c r="A48" s="1110" t="s">
        <v>438</v>
      </c>
      <c r="B48" s="300" t="s">
        <v>692</v>
      </c>
      <c r="C48" s="1359">
        <f ca="1">C49+C53+C55</f>
        <v>0</v>
      </c>
      <c r="D48" s="1112"/>
      <c r="E48" s="1113"/>
      <c r="F48" s="962"/>
      <c r="G48" s="722"/>
      <c r="H48" s="723"/>
      <c r="I48" s="1421" t="s">
        <v>819</v>
      </c>
      <c r="J48" s="1422" t="s">
        <v>3492</v>
      </c>
      <c r="K48" s="1423" t="s">
        <v>820</v>
      </c>
      <c r="L48" s="1424">
        <f ca="1">INDIRECT("'数据-取费表'!f"&amp;$G$1)</f>
        <v>36.659999999999997</v>
      </c>
      <c r="O48" s="1418" t="s">
        <v>404</v>
      </c>
      <c r="P48" s="1419" t="s">
        <v>821</v>
      </c>
      <c r="Q48" s="1420">
        <f ca="1">J60</f>
        <v>1932</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v>2013</v>
      </c>
      <c r="K49" s="1423" t="s">
        <v>824</v>
      </c>
      <c r="L49" s="1427"/>
      <c r="O49" s="1428" t="s">
        <v>405</v>
      </c>
      <c r="P49" s="1419" t="s">
        <v>825</v>
      </c>
      <c r="Q49" s="1420">
        <f ca="1">C29</f>
        <v>68457</v>
      </c>
      <c r="R49" s="1420" t="s">
        <v>818</v>
      </c>
    </row>
    <row r="50" spans="1:18" s="1384" customFormat="1" ht="13.5" thickBot="1">
      <c r="A50" s="976"/>
      <c r="B50" s="979"/>
      <c r="C50" s="1118"/>
      <c r="D50" s="953"/>
      <c r="E50" s="1056" t="s">
        <v>697</v>
      </c>
      <c r="F50" s="1057">
        <f ca="1">F7</f>
        <v>108132.23000000003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32632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36.659999999999997</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8">
        <f ca="1">IF(M47="住宅",IF(D1="——",MAX(J51,L48),MAX(J51,L48-'数据-取费表'!B24)),IF(D1="——",MIN(J51,L48),MIN(J51,L48-'数据-取费表'!B24)))</f>
        <v>36.659999999999997</v>
      </c>
      <c r="K53" s="3640" t="s">
        <v>837</v>
      </c>
      <c r="L53" s="3641"/>
      <c r="O53" s="1418" t="s">
        <v>409</v>
      </c>
      <c r="P53" s="1419" t="s">
        <v>838</v>
      </c>
      <c r="Q53" s="1420">
        <f ca="1">Q47+Q48</f>
        <v>132710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56135</v>
      </c>
      <c r="D56" s="1447"/>
      <c r="E56" s="1448"/>
      <c r="F56" s="1440"/>
      <c r="I56" s="1449" t="s">
        <v>842</v>
      </c>
      <c r="J56" s="1450"/>
      <c r="K56" s="1421" t="s">
        <v>843</v>
      </c>
      <c r="L56" s="1424" t="str">
        <f ca="1">IF(L48&lt;J51,"——",L48-J53)</f>
        <v>——</v>
      </c>
      <c r="O56" s="1418" t="s">
        <v>403</v>
      </c>
      <c r="P56" s="1419" t="s">
        <v>817</v>
      </c>
      <c r="Q56" s="1420">
        <f ca="1">C40+J29</f>
        <v>130778</v>
      </c>
      <c r="R56" s="1420" t="s">
        <v>818</v>
      </c>
    </row>
    <row r="57" spans="1:18" s="1384" customFormat="1" ht="24.75" thickBot="1">
      <c r="A57" s="1451"/>
      <c r="B57" s="950" t="s">
        <v>767</v>
      </c>
      <c r="C57" s="238">
        <f ca="1">C29</f>
        <v>68457</v>
      </c>
      <c r="D57" s="1452"/>
      <c r="E57" s="1453"/>
      <c r="F57" s="1454"/>
      <c r="I57" s="1455" t="s">
        <v>844</v>
      </c>
      <c r="J57" s="1456">
        <f ca="1">IF(OR(M47="住宅",J51&lt;L48,J56="是"),"——",J51-L48)</f>
        <v>12.340000000000003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741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27383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1932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130778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684.57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56.14</v>
      </c>
      <c r="D65" s="964" t="s">
        <v>743</v>
      </c>
      <c r="E65" s="950" t="s">
        <v>744</v>
      </c>
      <c r="F65" s="330">
        <f t="shared" ca="1" si="0"/>
        <v>1E-3</v>
      </c>
      <c r="I65" s="1462" t="s">
        <v>867</v>
      </c>
      <c r="J65" s="1463">
        <v>40</v>
      </c>
      <c r="K65" s="1463">
        <v>30</v>
      </c>
      <c r="L65" s="1463">
        <v>50</v>
      </c>
      <c r="M65" s="1465">
        <v>0.02</v>
      </c>
      <c r="O65" s="1418" t="s">
        <v>403</v>
      </c>
      <c r="P65" s="1419" t="s">
        <v>868</v>
      </c>
      <c r="Q65" s="1420">
        <f ca="1">C40+J29</f>
        <v>130778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-741</v>
      </c>
      <c r="D67" s="963" t="s">
        <v>753</v>
      </c>
      <c r="E67" s="968"/>
      <c r="F67" s="969"/>
      <c r="O67" s="1428" t="s">
        <v>405</v>
      </c>
      <c r="P67" s="1419" t="s">
        <v>850</v>
      </c>
      <c r="Q67" s="1466">
        <f ca="1">L51</f>
        <v>32632</v>
      </c>
      <c r="R67" s="1420" t="s">
        <v>870</v>
      </c>
    </row>
    <row r="68" spans="1:18" s="1384" customFormat="1" ht="16.5" thickBot="1">
      <c r="A68" s="947" t="s">
        <v>395</v>
      </c>
      <c r="B68" s="948" t="s">
        <v>774</v>
      </c>
      <c r="C68" s="301">
        <f ca="1">ROUND(C67*(1-((1+F70)/(1+F68))^F69)/(F68-F70),0)</f>
        <v>-11580</v>
      </c>
      <c r="D68" s="965" t="s">
        <v>758</v>
      </c>
      <c r="E68" s="950" t="s">
        <v>759</v>
      </c>
      <c r="F68" s="312">
        <f ca="1">F40</f>
        <v>5.5E-2</v>
      </c>
      <c r="O68" s="1428" t="s">
        <v>406</v>
      </c>
      <c r="P68" s="1467" t="s">
        <v>871</v>
      </c>
      <c r="Q68" s="1420">
        <f ca="1">ROUND(Q69-Q70*Q71,0)</f>
        <v>1661</v>
      </c>
      <c r="R68" s="1420" t="s">
        <v>414</v>
      </c>
    </row>
    <row r="69" spans="1:18" s="1384" customFormat="1" ht="13.5" thickBot="1">
      <c r="A69" s="951"/>
      <c r="B69" s="952"/>
      <c r="C69" s="306"/>
      <c r="D69" s="970" t="s">
        <v>762</v>
      </c>
      <c r="E69" s="950" t="s">
        <v>763</v>
      </c>
      <c r="F69" s="333">
        <f ca="1">F41</f>
        <v>36.659999999999997</v>
      </c>
      <c r="O69" s="1428" t="s">
        <v>411</v>
      </c>
      <c r="P69" s="1467" t="s">
        <v>872</v>
      </c>
      <c r="Q69" s="1420">
        <f ca="1">C39</f>
        <v>5590</v>
      </c>
      <c r="R69" s="1420" t="s">
        <v>818</v>
      </c>
    </row>
    <row r="70" spans="1:18" s="1384" customFormat="1" ht="13.5" thickBot="1">
      <c r="A70" s="954"/>
      <c r="B70" s="955"/>
      <c r="C70" s="310"/>
      <c r="D70" s="966"/>
      <c r="E70" s="950" t="s">
        <v>766</v>
      </c>
      <c r="F70" s="1054"/>
      <c r="O70" s="1428" t="s">
        <v>412</v>
      </c>
      <c r="P70" s="1467" t="s">
        <v>873</v>
      </c>
      <c r="Q70" s="1420">
        <f ca="1">C13</f>
        <v>56135</v>
      </c>
      <c r="R70" s="1420" t="s">
        <v>818</v>
      </c>
    </row>
    <row r="71" spans="1:18" s="1384" customFormat="1" ht="13.5" thickBot="1">
      <c r="A71" s="971" t="s">
        <v>396</v>
      </c>
      <c r="B71" s="972" t="s">
        <v>776</v>
      </c>
      <c r="C71" s="336">
        <f ca="1">ROUND(C68*10000/F71,0)</f>
        <v>-1071</v>
      </c>
      <c r="D71" s="973" t="s">
        <v>777</v>
      </c>
      <c r="E71" s="974" t="s">
        <v>778</v>
      </c>
      <c r="F71" s="339">
        <f ca="1">F43</f>
        <v>108132.23000000003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3929</v>
      </c>
      <c r="D75" s="1384"/>
      <c r="E75" s="1384"/>
      <c r="F75" s="1384"/>
      <c r="K75" s="1402"/>
      <c r="L75" s="1384"/>
      <c r="O75" s="1418" t="s">
        <v>409</v>
      </c>
      <c r="P75" s="1419" t="s">
        <v>838</v>
      </c>
      <c r="Q75" s="1420">
        <f ca="1">Q65+Q66</f>
        <v>130778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0.29700000000000004</v>
      </c>
    </row>
    <row r="80" spans="1:18">
      <c r="B80" s="340" t="s">
        <v>800</v>
      </c>
      <c r="C80" s="274">
        <f ca="1">ROUND(C75/C39,3)</f>
        <v>0.70299999999999996</v>
      </c>
    </row>
    <row r="81" spans="2:3">
      <c r="B81" s="270" t="s">
        <v>801</v>
      </c>
      <c r="C81" s="238"/>
    </row>
    <row r="82" spans="2:3">
      <c r="B82" s="273" t="s">
        <v>802</v>
      </c>
      <c r="C82" s="275">
        <f ca="1">1-C83</f>
        <v>0.57099999999999995</v>
      </c>
    </row>
    <row r="83" spans="2:3">
      <c r="B83" s="273" t="s">
        <v>803</v>
      </c>
      <c r="C83" s="274">
        <f ca="1">ROUND(C13/C40,3)</f>
        <v>0.42899999999999999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4" t="e">
        <f ca="1">ROUND(D2/10000,4)</f>
        <v>#DIV/0!</v>
      </c>
      <c r="C2" s="1387" t="s">
        <v>879</v>
      </c>
      <c r="D2" s="1471" t="e">
        <f ca="1">C40+J29+L46</f>
        <v>#DIV/0!</v>
      </c>
      <c r="E2" s="1388" t="s">
        <v>880</v>
      </c>
      <c r="F2" s="1389"/>
      <c r="G2" s="2685"/>
      <c r="H2" s="2674"/>
      <c r="I2" s="2674"/>
      <c r="J2" s="2674"/>
      <c r="K2" s="2675"/>
      <c r="L2" s="2674"/>
      <c r="M2" s="2674"/>
    </row>
    <row r="3" spans="1:37" ht="18" customHeight="1" thickBot="1">
      <c r="A3" s="1390" t="s">
        <v>881</v>
      </c>
      <c r="B3" s="1391">
        <f ca="1">IF(ISERROR(D2/F43),0,ROUND(D2/F43,0))</f>
        <v>0</v>
      </c>
      <c r="C3" s="1387" t="s">
        <v>882</v>
      </c>
      <c r="D3" s="1387"/>
      <c r="E3" s="1388"/>
      <c r="F3" s="1389"/>
      <c r="G3" s="268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2089</v>
      </c>
      <c r="E6" s="302" t="s">
        <v>696</v>
      </c>
      <c r="F6" s="303">
        <f ca="1">INDIRECT("'数据-取费表'!u"&amp;$G$1)</f>
        <v>0</v>
      </c>
      <c r="G6" s="1384"/>
      <c r="H6" s="1069" t="s">
        <v>398</v>
      </c>
      <c r="I6" s="3642" t="s">
        <v>694</v>
      </c>
      <c r="J6" s="301">
        <f ca="1">ROUND(M6*M8*M7*(1-M9),0)</f>
        <v>0</v>
      </c>
      <c r="K6" s="1376" t="s">
        <v>2090</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7" t="s">
        <v>2293</v>
      </c>
      <c r="I31" s="1398"/>
      <c r="J31" s="1399"/>
      <c r="K31" s="2475"/>
      <c r="L31" s="2677"/>
      <c r="M31" s="267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3323</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IF(项目基本情况!B11="自然人","——",ROUND(F34*F35,0))</f>
        <v>0</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ROUND(C29*F36,0)</f>
        <v>0</v>
      </c>
      <c r="D36" s="1344" t="s">
        <v>771</v>
      </c>
      <c r="E36" s="302" t="s">
        <v>712</v>
      </c>
      <c r="F36" s="328">
        <f ca="1">INDIRECT("'数据-取费表'!Ak"&amp;$G$1)</f>
        <v>0</v>
      </c>
      <c r="G36" s="1384"/>
      <c r="H36" s="2679"/>
      <c r="I36" s="1398"/>
      <c r="J36" s="1399"/>
      <c r="K36" s="2524"/>
      <c r="L36" s="2679"/>
      <c r="M36" s="2679"/>
    </row>
    <row r="37" spans="1:18" ht="18" customHeight="1">
      <c r="A37" s="982" t="s">
        <v>437</v>
      </c>
      <c r="B37" s="302" t="s">
        <v>742</v>
      </c>
      <c r="C37" s="21">
        <f ca="1">ROUND(C13*F37,0)</f>
        <v>0</v>
      </c>
      <c r="D37" s="1344" t="s">
        <v>743</v>
      </c>
      <c r="E37" s="302" t="s">
        <v>744</v>
      </c>
      <c r="F37" s="330">
        <f ca="1">INDIRECT("'数据-取费表'!Al"&amp;$G$1)</f>
        <v>0</v>
      </c>
      <c r="G37" s="1384"/>
      <c r="H37" s="2679"/>
      <c r="I37" s="1398"/>
      <c r="J37" s="1399"/>
      <c r="K37" s="2524"/>
      <c r="L37" s="2679"/>
      <c r="M37" s="2679"/>
    </row>
    <row r="38" spans="1:18" ht="18" customHeight="1" thickBot="1">
      <c r="A38" s="1089" t="s">
        <v>684</v>
      </c>
      <c r="B38" s="1090" t="s">
        <v>728</v>
      </c>
      <c r="C38" s="1091">
        <f ca="1">ROUND(C5*F38,0)</f>
        <v>0</v>
      </c>
      <c r="D38" s="1092" t="s">
        <v>748</v>
      </c>
      <c r="E38" s="1090" t="s">
        <v>744</v>
      </c>
      <c r="F38" s="1086">
        <f ca="1">INDIRECT("'数据-取费表'!Am"&amp;$G$1)</f>
        <v>0</v>
      </c>
      <c r="G38" s="1384"/>
      <c r="H38" s="2679"/>
      <c r="I38" s="1398"/>
      <c r="J38" s="1399"/>
      <c r="K38" s="2683"/>
      <c r="L38" s="2679"/>
      <c r="M38" s="2679"/>
    </row>
    <row r="39" spans="1:18" ht="24.6" customHeight="1" thickTop="1">
      <c r="A39" s="1079" t="s">
        <v>394</v>
      </c>
      <c r="B39" s="1094" t="s">
        <v>772</v>
      </c>
      <c r="C39" s="310">
        <f ca="1">C5-C30</f>
        <v>0</v>
      </c>
      <c r="D39" s="1095" t="s">
        <v>773</v>
      </c>
      <c r="E39" s="1096"/>
      <c r="F39" s="1097"/>
      <c r="G39" s="1384"/>
      <c r="H39" s="2679"/>
      <c r="I39" s="1398"/>
      <c r="J39" s="1399"/>
      <c r="K39" s="2683"/>
      <c r="L39" s="2679"/>
      <c r="M39" s="267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4"/>
      <c r="L41" s="1191"/>
      <c r="M41" s="1191"/>
    </row>
    <row r="42" spans="1:18" ht="18" customHeight="1">
      <c r="A42" s="308"/>
      <c r="B42" s="309"/>
      <c r="C42" s="310"/>
      <c r="D42" s="327"/>
      <c r="E42" s="302" t="s">
        <v>766</v>
      </c>
      <c r="F42" s="312">
        <f ca="1">INDIRECT("'数据-取费表'!v"&amp;$G$1)</f>
        <v>0</v>
      </c>
      <c r="G42" s="1384"/>
      <c r="H42" s="1191"/>
      <c r="I42" s="1398"/>
      <c r="J42" s="1399"/>
      <c r="K42" s="252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3410" t="s">
        <v>3339</v>
      </c>
      <c r="B45" s="1400"/>
      <c r="C45" s="1472" t="e">
        <f ca="1">ROUND((C68-C40)/10000,4)</f>
        <v>#DIV/0!</v>
      </c>
      <c r="D45" s="3411" t="s">
        <v>3340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2422</v>
      </c>
      <c r="B1" s="2811"/>
      <c r="C1" s="2823"/>
      <c r="D1" s="2823"/>
      <c r="E1" s="2812"/>
      <c r="F1" s="2813"/>
      <c r="G1" s="2814"/>
      <c r="J1" s="2817" t="s">
        <v>2301</v>
      </c>
      <c r="K1" s="2818"/>
      <c r="L1" s="2818"/>
      <c r="M1" s="2818"/>
      <c r="N1" s="2818"/>
      <c r="O1" s="2818"/>
      <c r="P1" s="2818"/>
      <c r="Q1" s="2818"/>
      <c r="R1" s="2819"/>
      <c r="S1" s="2820"/>
      <c r="T1" s="2820"/>
      <c r="U1" s="2820"/>
    </row>
    <row r="2" spans="1:22" s="2832" customFormat="1" ht="13.15" customHeight="1">
      <c r="A2" s="1385" t="s">
        <v>2302</v>
      </c>
      <c r="B2" s="2822" t="e">
        <f>IF(D2="——",C40,C40+E2)</f>
        <v>#DIV/0!</v>
      </c>
      <c r="C2" s="2823" t="s">
        <v>2303</v>
      </c>
      <c r="D2" s="3422" t="s">
        <v>3346</v>
      </c>
      <c r="E2" s="3423"/>
      <c r="F2" s="2825"/>
      <c r="G2" s="2826"/>
      <c r="H2" s="2827"/>
      <c r="I2" s="2828"/>
      <c r="J2" s="3645" t="s">
        <v>2304</v>
      </c>
      <c r="K2" s="3646"/>
      <c r="L2" s="2829" t="s">
        <v>2305</v>
      </c>
      <c r="M2" s="2829" t="s">
        <v>2306</v>
      </c>
      <c r="N2" s="2829" t="s">
        <v>2307</v>
      </c>
      <c r="O2" s="2829" t="s">
        <v>2308</v>
      </c>
      <c r="P2" s="2829" t="s">
        <v>2309</v>
      </c>
      <c r="Q2" s="2830" t="s">
        <v>2310</v>
      </c>
      <c r="R2" s="2831" t="s">
        <v>2311</v>
      </c>
      <c r="S2" s="2820"/>
      <c r="T2" s="2820"/>
      <c r="U2" s="2820"/>
      <c r="V2" s="2828"/>
    </row>
    <row r="3" spans="1:22" s="2832" customFormat="1" ht="13.15" customHeight="1">
      <c r="A3" s="2833" t="s">
        <v>2312</v>
      </c>
      <c r="B3" s="2834" t="e">
        <f>ROUND(B2*10000/B4,0)</f>
        <v>#DIV/0!</v>
      </c>
      <c r="C3" s="2823" t="s">
        <v>2313</v>
      </c>
      <c r="D3" s="2823"/>
      <c r="E3" s="2824"/>
      <c r="F3" s="2825"/>
      <c r="G3" s="2826"/>
      <c r="H3" s="2827"/>
      <c r="I3" s="2828"/>
      <c r="J3" s="3647" t="s">
        <v>2314</v>
      </c>
      <c r="K3" s="3648"/>
      <c r="L3" s="2835"/>
      <c r="M3" s="2835"/>
      <c r="N3" s="2835"/>
      <c r="O3" s="2835"/>
      <c r="P3" s="2835"/>
      <c r="Q3" s="2836"/>
      <c r="R3" s="2837">
        <f>SUM(L3:Q3)</f>
        <v>0</v>
      </c>
      <c r="S3" s="2820"/>
      <c r="T3" s="2820"/>
      <c r="U3" s="2820"/>
      <c r="V3" s="2828"/>
    </row>
    <row r="4" spans="1:22" s="2832" customFormat="1" ht="13.15" customHeight="1">
      <c r="A4" s="2838" t="s">
        <v>2315</v>
      </c>
      <c r="B4" s="2839"/>
      <c r="C4" s="2823"/>
      <c r="D4" s="2823"/>
      <c r="E4" s="2824"/>
      <c r="F4" s="2825"/>
      <c r="G4" s="2826"/>
      <c r="H4" s="2827"/>
      <c r="I4" s="2828"/>
      <c r="J4" s="3647" t="s">
        <v>2316</v>
      </c>
      <c r="K4" s="3648"/>
      <c r="L4" s="2840"/>
      <c r="M4" s="2840"/>
      <c r="N4" s="2840"/>
      <c r="O4" s="2840"/>
      <c r="P4" s="2840"/>
      <c r="Q4" s="2841"/>
      <c r="R4" s="2842">
        <f>SUM(L4:Q4)</f>
        <v>0</v>
      </c>
      <c r="S4" s="2820"/>
      <c r="T4" s="2820"/>
      <c r="U4" s="2820"/>
      <c r="V4" s="2828"/>
    </row>
    <row r="5" spans="1:22" s="2832" customFormat="1" ht="13.15" customHeight="1" thickBot="1">
      <c r="A5" s="2843" t="s">
        <v>2317</v>
      </c>
      <c r="B5" s="2844"/>
      <c r="C5" s="2823"/>
      <c r="D5" s="2845"/>
      <c r="E5" s="2825"/>
      <c r="F5" s="2825"/>
      <c r="G5" s="2826"/>
      <c r="H5" s="2827"/>
      <c r="I5" s="2828"/>
      <c r="J5" s="2846" t="s">
        <v>2318</v>
      </c>
      <c r="K5" s="2847"/>
      <c r="L5" s="2847"/>
      <c r="M5" s="2848"/>
      <c r="N5" s="2848"/>
      <c r="O5" s="2848"/>
      <c r="P5" s="2848"/>
      <c r="Q5" s="2848"/>
      <c r="R5" s="2831">
        <f>SUM(R14,R19,R24,R25,R27,R28)</f>
        <v>0</v>
      </c>
      <c r="S5" s="2820"/>
      <c r="T5" s="2820" t="s">
        <v>2319</v>
      </c>
      <c r="U5" s="2820" t="e">
        <f>ROUND(R5*10000/365/R3,1)</f>
        <v>#DIV/0!</v>
      </c>
      <c r="V5" s="2828"/>
    </row>
    <row r="6" spans="1:22" s="2832" customFormat="1" ht="13.15" customHeight="1" thickBot="1">
      <c r="A6" s="3649" t="s">
        <v>2320</v>
      </c>
      <c r="B6" s="3650"/>
      <c r="C6" s="3651"/>
      <c r="D6" s="2849"/>
      <c r="E6" s="2850"/>
      <c r="F6" s="2851"/>
      <c r="G6" s="2852"/>
      <c r="H6" s="2827"/>
      <c r="I6" s="2828"/>
      <c r="J6" s="3652">
        <v>1</v>
      </c>
      <c r="K6" s="3653" t="s">
        <v>2321</v>
      </c>
      <c r="L6" s="2853" t="s">
        <v>2322</v>
      </c>
      <c r="M6" s="2854" t="s">
        <v>2323</v>
      </c>
      <c r="N6" s="2854" t="s">
        <v>2324</v>
      </c>
      <c r="O6" s="2854" t="s">
        <v>2325</v>
      </c>
      <c r="P6" s="2854" t="s">
        <v>2326</v>
      </c>
      <c r="Q6" s="2854" t="s">
        <v>2327</v>
      </c>
      <c r="R6" s="2837" t="s">
        <v>2328</v>
      </c>
      <c r="S6" s="2820"/>
      <c r="T6" s="2820" t="s">
        <v>2329</v>
      </c>
      <c r="U6" s="2820"/>
      <c r="V6" s="2828"/>
    </row>
    <row r="7" spans="1:22" s="2832" customFormat="1" ht="13.15" customHeight="1">
      <c r="A7" s="2855" t="s">
        <v>2330</v>
      </c>
      <c r="B7" s="2856"/>
      <c r="C7" s="2857"/>
      <c r="D7" s="2858">
        <f>SUM(D9,D10,D11,D17,0)</f>
        <v>0</v>
      </c>
      <c r="E7" s="2859" t="e">
        <f>E9+E10+E11+E17</f>
        <v>#DIV/0!</v>
      </c>
      <c r="F7" s="2860"/>
      <c r="G7" s="2861"/>
      <c r="H7" s="2827"/>
      <c r="I7" s="2828"/>
      <c r="J7" s="3652"/>
      <c r="K7" s="3654"/>
      <c r="L7" s="2862" t="s">
        <v>2331</v>
      </c>
      <c r="M7" s="2863"/>
      <c r="N7" s="2839"/>
      <c r="O7" s="2864"/>
      <c r="P7" s="2864"/>
      <c r="Q7" s="2865">
        <v>365</v>
      </c>
      <c r="R7" s="2866">
        <f>ROUND(M7*N7*O7*P7*Q7/10000,0)</f>
        <v>0</v>
      </c>
      <c r="S7" s="2820"/>
      <c r="T7" s="2820" t="s">
        <v>2332</v>
      </c>
      <c r="U7" s="2820"/>
      <c r="V7" s="2828"/>
    </row>
    <row r="8" spans="1:22" s="2832" customFormat="1" ht="13.15" customHeight="1">
      <c r="A8" s="2867" t="s">
        <v>2333</v>
      </c>
      <c r="B8" s="3656" t="s">
        <v>2334</v>
      </c>
      <c r="C8" s="3657"/>
      <c r="D8" s="2868" t="s">
        <v>2335</v>
      </c>
      <c r="E8" s="2869" t="s">
        <v>2336</v>
      </c>
      <c r="F8" s="2870" t="s">
        <v>2337</v>
      </c>
      <c r="G8" s="2871"/>
      <c r="H8" s="2827"/>
      <c r="I8" s="2828"/>
      <c r="J8" s="3652"/>
      <c r="K8" s="3654"/>
      <c r="L8" s="2862" t="s">
        <v>2338</v>
      </c>
      <c r="M8" s="2863"/>
      <c r="N8" s="2839"/>
      <c r="O8" s="2864"/>
      <c r="P8" s="2864"/>
      <c r="Q8" s="2865">
        <v>365</v>
      </c>
      <c r="R8" s="2866">
        <f t="shared" ref="R8:R13" si="0">ROUND(M8*N8*O8*P8*Q8/10000,0)</f>
        <v>0</v>
      </c>
      <c r="S8" s="2820"/>
      <c r="T8" s="2820" t="s">
        <v>2339</v>
      </c>
      <c r="U8" s="2820"/>
      <c r="V8" s="2828"/>
    </row>
    <row r="9" spans="1:22" s="2832" customFormat="1" ht="13.15" customHeight="1">
      <c r="A9" s="2867">
        <v>1</v>
      </c>
      <c r="B9" s="3656" t="s">
        <v>2340</v>
      </c>
      <c r="C9" s="3657"/>
      <c r="D9" s="2868">
        <f>ROUND(D6*E9,0)</f>
        <v>0</v>
      </c>
      <c r="E9" s="2872"/>
      <c r="F9" s="2873" t="s">
        <v>2341</v>
      </c>
      <c r="G9" s="2852"/>
      <c r="H9" s="2827"/>
      <c r="I9" s="2828"/>
      <c r="J9" s="3652"/>
      <c r="K9" s="3654"/>
      <c r="L9" s="2862" t="s">
        <v>2342</v>
      </c>
      <c r="M9" s="2863"/>
      <c r="N9" s="2839"/>
      <c r="O9" s="2864"/>
      <c r="P9" s="2864"/>
      <c r="Q9" s="2865">
        <v>365</v>
      </c>
      <c r="R9" s="2866">
        <f t="shared" si="0"/>
        <v>0</v>
      </c>
      <c r="S9" s="2820"/>
      <c r="T9" s="2820"/>
      <c r="U9" s="2820"/>
      <c r="V9" s="2828"/>
    </row>
    <row r="10" spans="1:22" s="2832" customFormat="1" ht="13.15" customHeight="1">
      <c r="A10" s="2867">
        <v>2</v>
      </c>
      <c r="B10" s="3656" t="s">
        <v>2343</v>
      </c>
      <c r="C10" s="3657"/>
      <c r="D10" s="2868">
        <f>ROUND(D6*E10,0)</f>
        <v>0</v>
      </c>
      <c r="E10" s="2872"/>
      <c r="F10" s="2873" t="s">
        <v>2344</v>
      </c>
      <c r="G10" s="2852"/>
      <c r="H10" s="2827"/>
      <c r="I10" s="2828"/>
      <c r="J10" s="3652"/>
      <c r="K10" s="3654"/>
      <c r="L10" s="2862" t="s">
        <v>2345</v>
      </c>
      <c r="M10" s="2863"/>
      <c r="N10" s="2839"/>
      <c r="O10" s="2864"/>
      <c r="P10" s="2864"/>
      <c r="Q10" s="2865">
        <v>365</v>
      </c>
      <c r="R10" s="2866">
        <f t="shared" si="0"/>
        <v>0</v>
      </c>
      <c r="S10" s="2820"/>
      <c r="T10" s="2820"/>
      <c r="U10" s="2820"/>
      <c r="V10" s="2828"/>
    </row>
    <row r="11" spans="1:22" s="2832" customFormat="1" ht="13.15" customHeight="1">
      <c r="A11" s="2867">
        <v>3</v>
      </c>
      <c r="B11" s="3656" t="s">
        <v>2346</v>
      </c>
      <c r="C11" s="3657"/>
      <c r="D11" s="2868">
        <f>D12+D14+D15+D16</f>
        <v>0</v>
      </c>
      <c r="E11" s="2874" t="e">
        <f>D11/D6</f>
        <v>#DIV/0!</v>
      </c>
      <c r="F11" s="2870"/>
      <c r="G11" s="2871"/>
      <c r="H11" s="2827"/>
      <c r="I11" s="2828"/>
      <c r="J11" s="3652"/>
      <c r="K11" s="3654"/>
      <c r="L11" s="2862" t="s">
        <v>2347</v>
      </c>
      <c r="M11" s="2863"/>
      <c r="N11" s="2839"/>
      <c r="O11" s="2864"/>
      <c r="P11" s="2864"/>
      <c r="Q11" s="2865">
        <v>365</v>
      </c>
      <c r="R11" s="2866">
        <f t="shared" si="0"/>
        <v>0</v>
      </c>
      <c r="S11" s="2820"/>
      <c r="T11" s="2820"/>
      <c r="U11" s="2820"/>
      <c r="V11" s="2828"/>
    </row>
    <row r="12" spans="1:22" s="2832" customFormat="1" ht="13.15" customHeight="1">
      <c r="A12" s="2875" t="s">
        <v>2348</v>
      </c>
      <c r="B12" s="3658" t="s">
        <v>2349</v>
      </c>
      <c r="C12" s="3659"/>
      <c r="D12" s="2876">
        <f>ROUND(D13*1.2%*(1-30%),0)</f>
        <v>0</v>
      </c>
      <c r="E12" s="2877">
        <v>1.2E-2</v>
      </c>
      <c r="F12" s="2870" t="s">
        <v>2350</v>
      </c>
      <c r="G12" s="2871"/>
      <c r="H12" s="2827"/>
      <c r="I12" s="2828"/>
      <c r="J12" s="3652"/>
      <c r="K12" s="3654"/>
      <c r="L12" s="2862" t="s">
        <v>2351</v>
      </c>
      <c r="M12" s="2863"/>
      <c r="N12" s="2839"/>
      <c r="O12" s="2864"/>
      <c r="P12" s="2864"/>
      <c r="Q12" s="2865">
        <v>365</v>
      </c>
      <c r="R12" s="2866">
        <f t="shared" si="0"/>
        <v>0</v>
      </c>
      <c r="S12" s="2820"/>
      <c r="T12" s="2820"/>
      <c r="U12" s="2820"/>
      <c r="V12" s="2828"/>
    </row>
    <row r="13" spans="1:22" s="2832" customFormat="1" ht="13.15" customHeight="1">
      <c r="A13" s="2875"/>
      <c r="B13" s="2878"/>
      <c r="C13" s="2879" t="s">
        <v>2352</v>
      </c>
      <c r="D13" s="2880"/>
      <c r="E13" s="2881"/>
      <c r="F13" s="2870"/>
      <c r="G13" s="2871"/>
      <c r="H13" s="2827"/>
      <c r="I13" s="2828"/>
      <c r="J13" s="3652"/>
      <c r="K13" s="3654"/>
      <c r="L13" s="2862" t="s">
        <v>2353</v>
      </c>
      <c r="M13" s="2863"/>
      <c r="N13" s="2839"/>
      <c r="O13" s="2864"/>
      <c r="P13" s="2864"/>
      <c r="Q13" s="2865">
        <v>365</v>
      </c>
      <c r="R13" s="2866">
        <f t="shared" si="0"/>
        <v>0</v>
      </c>
      <c r="S13" s="2820"/>
      <c r="T13" s="2820"/>
      <c r="U13" s="2820"/>
      <c r="V13" s="2828"/>
    </row>
    <row r="14" spans="1:22" s="2832" customFormat="1" ht="13.15" customHeight="1">
      <c r="A14" s="2875" t="s">
        <v>2354</v>
      </c>
      <c r="B14" s="3658" t="s">
        <v>2355</v>
      </c>
      <c r="C14" s="3659"/>
      <c r="D14" s="2876">
        <f>ROUND(E14*B5/10000,0)</f>
        <v>0</v>
      </c>
      <c r="E14" s="2865"/>
      <c r="F14" s="2870" t="s">
        <v>2356</v>
      </c>
      <c r="G14" s="2871"/>
      <c r="H14" s="2827"/>
      <c r="I14" s="2828"/>
      <c r="J14" s="3652"/>
      <c r="K14" s="3655"/>
      <c r="L14" s="2882" t="s">
        <v>2357</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2358</v>
      </c>
      <c r="B15" s="3658" t="s">
        <v>2359</v>
      </c>
      <c r="C15" s="3659"/>
      <c r="D15" s="2876">
        <f>ROUND(D6*E15,0)</f>
        <v>0</v>
      </c>
      <c r="E15" s="2877">
        <v>5.5E-2</v>
      </c>
      <c r="F15" s="2870" t="s">
        <v>2360</v>
      </c>
      <c r="G15" s="2852"/>
      <c r="H15" s="2827"/>
      <c r="I15" s="2828"/>
      <c r="J15" s="3652">
        <v>2</v>
      </c>
      <c r="K15" s="3653" t="s">
        <v>2361</v>
      </c>
      <c r="L15" s="2862" t="s">
        <v>2362</v>
      </c>
      <c r="M15" s="2863" t="s">
        <v>2363</v>
      </c>
      <c r="N15" s="2863" t="s">
        <v>2364</v>
      </c>
      <c r="O15" s="2864" t="s">
        <v>2365</v>
      </c>
      <c r="P15" s="2864" t="s">
        <v>2327</v>
      </c>
      <c r="Q15" s="2839" t="s">
        <v>2366</v>
      </c>
      <c r="R15" s="2886" t="s">
        <v>2328</v>
      </c>
      <c r="S15" s="2820"/>
      <c r="T15" s="2820"/>
      <c r="U15" s="2820"/>
      <c r="V15" s="2828"/>
    </row>
    <row r="16" spans="1:22" s="2832" customFormat="1" ht="13.15" customHeight="1">
      <c r="A16" s="2875" t="s">
        <v>2367</v>
      </c>
      <c r="B16" s="3658" t="s">
        <v>2368</v>
      </c>
      <c r="C16" s="3659"/>
      <c r="D16" s="2887">
        <f>D6*E16</f>
        <v>0</v>
      </c>
      <c r="E16" s="2888"/>
      <c r="F16" s="2873" t="s">
        <v>2369</v>
      </c>
      <c r="G16" s="2852"/>
      <c r="H16" s="2827"/>
      <c r="I16" s="2828"/>
      <c r="J16" s="3652"/>
      <c r="K16" s="3654"/>
      <c r="L16" s="2862" t="s">
        <v>2370</v>
      </c>
      <c r="M16" s="2863"/>
      <c r="N16" s="2863"/>
      <c r="O16" s="2864"/>
      <c r="P16" s="2865">
        <v>365</v>
      </c>
      <c r="Q16" s="2839"/>
      <c r="R16" s="2886">
        <f>ROUND(M16*N16*O16*P16/10000,0)</f>
        <v>0</v>
      </c>
      <c r="S16" s="2820"/>
      <c r="T16" s="2820"/>
      <c r="U16" s="2820"/>
      <c r="V16" s="2828"/>
    </row>
    <row r="17" spans="1:22" s="2832" customFormat="1" ht="13.15" customHeight="1" thickBot="1">
      <c r="A17" s="2889">
        <v>4</v>
      </c>
      <c r="B17" s="3660" t="s">
        <v>2371</v>
      </c>
      <c r="C17" s="3661"/>
      <c r="D17" s="2890">
        <f>ROUND(D6*E17,0)</f>
        <v>0</v>
      </c>
      <c r="E17" s="2891"/>
      <c r="F17" s="2892" t="s">
        <v>2372</v>
      </c>
      <c r="G17" s="2852"/>
      <c r="H17" s="2827"/>
      <c r="I17" s="2828"/>
      <c r="J17" s="3652"/>
      <c r="K17" s="3654"/>
      <c r="L17" s="2862" t="s">
        <v>2373</v>
      </c>
      <c r="M17" s="2863"/>
      <c r="N17" s="2863"/>
      <c r="O17" s="2864"/>
      <c r="P17" s="2865">
        <v>365</v>
      </c>
      <c r="Q17" s="2839"/>
      <c r="R17" s="2886">
        <f>ROUND(M17*N17*O17*P17/10000,0)</f>
        <v>0</v>
      </c>
      <c r="S17" s="2820"/>
      <c r="T17" s="2820"/>
      <c r="U17" s="2820"/>
      <c r="V17" s="2828"/>
    </row>
    <row r="18" spans="1:22" s="2832" customFormat="1" ht="13.15" customHeight="1" thickBot="1">
      <c r="A18" s="2855" t="s">
        <v>2374</v>
      </c>
      <c r="B18" s="2856"/>
      <c r="C18" s="2856"/>
      <c r="D18" s="2893">
        <f>ROUND(D6*E18,0)</f>
        <v>0</v>
      </c>
      <c r="E18" s="2894"/>
      <c r="F18" s="2895" t="s">
        <v>2375</v>
      </c>
      <c r="G18" s="2852"/>
      <c r="H18" s="2827"/>
      <c r="I18" s="2828"/>
      <c r="J18" s="3652"/>
      <c r="K18" s="3654"/>
      <c r="L18" s="2862" t="s">
        <v>2376</v>
      </c>
      <c r="M18" s="2863"/>
      <c r="N18" s="2863"/>
      <c r="O18" s="2864"/>
      <c r="P18" s="2865">
        <v>365</v>
      </c>
      <c r="Q18" s="2839"/>
      <c r="R18" s="2886">
        <f>ROUND(M18*N18*O18*P18/10000,0)</f>
        <v>0</v>
      </c>
      <c r="S18" s="2820"/>
      <c r="T18" s="2820"/>
      <c r="U18" s="2820"/>
      <c r="V18" s="2828"/>
    </row>
    <row r="19" spans="1:22" s="2832" customFormat="1" ht="13.15" customHeight="1" thickBot="1">
      <c r="A19" s="2896" t="s">
        <v>2377</v>
      </c>
      <c r="B19" s="2850"/>
      <c r="C19" s="2850"/>
      <c r="D19" s="2850"/>
      <c r="E19" s="2850"/>
      <c r="F19" s="2851"/>
      <c r="G19" s="2871"/>
      <c r="H19" s="2827"/>
      <c r="I19" s="2828"/>
      <c r="J19" s="3652"/>
      <c r="K19" s="3655"/>
      <c r="L19" s="2882" t="s">
        <v>2357</v>
      </c>
      <c r="M19" s="2883"/>
      <c r="N19" s="2883">
        <f>SUM(N16:N18)</f>
        <v>0</v>
      </c>
      <c r="O19" s="2884"/>
      <c r="P19" s="2897" t="s">
        <v>2421</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652">
        <v>3</v>
      </c>
      <c r="K20" s="3653" t="s">
        <v>2378</v>
      </c>
      <c r="L20" s="2862" t="s">
        <v>2379</v>
      </c>
      <c r="M20" s="2863" t="s">
        <v>2380</v>
      </c>
      <c r="N20" s="2900" t="s">
        <v>2381</v>
      </c>
      <c r="O20" s="2864" t="s">
        <v>2382</v>
      </c>
      <c r="P20" s="2865" t="s">
        <v>2383</v>
      </c>
      <c r="Q20" s="2839" t="s">
        <v>2384</v>
      </c>
      <c r="R20" s="2886" t="s">
        <v>2385</v>
      </c>
      <c r="S20" s="2901"/>
      <c r="T20" s="2901"/>
      <c r="U20" s="2901"/>
      <c r="V20" s="2828"/>
    </row>
    <row r="21" spans="1:22" s="2832" customFormat="1" ht="13.15" customHeight="1">
      <c r="A21" s="2855"/>
      <c r="B21" s="2856"/>
      <c r="C21" s="2902" t="s">
        <v>2386</v>
      </c>
      <c r="D21" s="2903" t="s">
        <v>2387</v>
      </c>
      <c r="E21" s="2904" t="s">
        <v>2388</v>
      </c>
      <c r="F21" s="2899"/>
      <c r="G21" s="2871"/>
      <c r="H21" s="2827"/>
      <c r="I21" s="2828"/>
      <c r="J21" s="3652"/>
      <c r="K21" s="3654"/>
      <c r="L21" s="2862" t="s">
        <v>2389</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2390</v>
      </c>
      <c r="D22" s="2907" t="s">
        <v>2391</v>
      </c>
      <c r="E22" s="2908" t="s">
        <v>2392</v>
      </c>
      <c r="F22" s="2899"/>
      <c r="G22" s="2909"/>
      <c r="H22" s="2827"/>
      <c r="I22" s="2828"/>
      <c r="J22" s="3652"/>
      <c r="K22" s="3654"/>
      <c r="L22" s="2862" t="s">
        <v>2393</v>
      </c>
      <c r="M22" s="2863"/>
      <c r="N22" s="2863"/>
      <c r="O22" s="2864"/>
      <c r="P22" s="2865">
        <v>365</v>
      </c>
      <c r="Q22" s="2839"/>
      <c r="R22" s="2905">
        <f>ROUND(M22*N22*O22*P22/10000,0)</f>
        <v>0</v>
      </c>
      <c r="S22" s="2901"/>
      <c r="T22" s="2901"/>
      <c r="U22" s="2901"/>
      <c r="V22" s="2828"/>
    </row>
    <row r="23" spans="1:22" s="2832" customFormat="1" ht="13.15" customHeight="1">
      <c r="A23" s="2910">
        <v>1</v>
      </c>
      <c r="B23" s="2911" t="s">
        <v>2394</v>
      </c>
      <c r="C23" s="2912">
        <f>D6</f>
        <v>0</v>
      </c>
      <c r="D23" s="2913">
        <f>C23*(1+D24)</f>
        <v>0</v>
      </c>
      <c r="E23" s="2914">
        <f>D23*(1+E24)</f>
        <v>0</v>
      </c>
      <c r="F23" s="2915"/>
      <c r="G23" s="2916"/>
      <c r="H23" s="2827"/>
      <c r="I23" s="2828"/>
      <c r="J23" s="3652"/>
      <c r="K23" s="3654"/>
      <c r="L23" s="2862" t="s">
        <v>2395</v>
      </c>
      <c r="M23" s="2863"/>
      <c r="N23" s="2863"/>
      <c r="O23" s="2864"/>
      <c r="P23" s="2865">
        <v>365</v>
      </c>
      <c r="Q23" s="2839"/>
      <c r="R23" s="2905">
        <f>ROUND(M23*N23*O23*P23/10000,0)</f>
        <v>0</v>
      </c>
      <c r="S23" s="2820"/>
      <c r="T23" s="2820"/>
      <c r="U23" s="2820"/>
      <c r="V23" s="2828"/>
    </row>
    <row r="24" spans="1:22" s="2832" customFormat="1" ht="13.15" customHeight="1">
      <c r="A24" s="2917"/>
      <c r="B24" s="2918" t="s">
        <v>2396</v>
      </c>
      <c r="C24" s="2919"/>
      <c r="D24" s="2920"/>
      <c r="E24" s="2921"/>
      <c r="F24" s="2922"/>
      <c r="G24" s="2916"/>
      <c r="H24" s="2827"/>
      <c r="I24" s="2828"/>
      <c r="J24" s="3652"/>
      <c r="K24" s="3655"/>
      <c r="L24" s="2882" t="s">
        <v>2357</v>
      </c>
      <c r="M24" s="2883">
        <f>SUM(M21:M23)</f>
        <v>0</v>
      </c>
      <c r="N24" s="2883"/>
      <c r="O24" s="2884"/>
      <c r="P24" s="2897" t="s">
        <v>2421</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2397</v>
      </c>
      <c r="L25" s="2925"/>
      <c r="M25" s="2925"/>
      <c r="N25" s="2925"/>
      <c r="O25" s="2925"/>
      <c r="P25" s="2926"/>
      <c r="Q25" s="2927">
        <v>0</v>
      </c>
      <c r="R25" s="2898">
        <f>ROUND(R14*Q25,0)</f>
        <v>0</v>
      </c>
      <c r="S25" s="2820"/>
      <c r="T25" s="2820"/>
      <c r="U25" s="2820"/>
      <c r="V25" s="2928"/>
    </row>
    <row r="26" spans="1:22" s="2929" customFormat="1" ht="13.15" customHeight="1">
      <c r="A26" s="2910">
        <v>2</v>
      </c>
      <c r="B26" s="2911" t="s">
        <v>2398</v>
      </c>
      <c r="C26" s="2912">
        <f>D7</f>
        <v>0</v>
      </c>
      <c r="D26" s="2913">
        <f>D23*D27</f>
        <v>0</v>
      </c>
      <c r="E26" s="2914">
        <f>E23*E27</f>
        <v>0</v>
      </c>
      <c r="F26" s="2915"/>
      <c r="G26" s="2916"/>
      <c r="H26" s="2827"/>
      <c r="I26" s="2828"/>
      <c r="J26" s="3662">
        <v>5</v>
      </c>
      <c r="K26" s="2930" t="s">
        <v>2399</v>
      </c>
      <c r="L26" s="2931"/>
      <c r="M26" s="2932"/>
      <c r="N26" s="2933" t="s">
        <v>2400</v>
      </c>
      <c r="O26" s="2933" t="s">
        <v>2401</v>
      </c>
      <c r="P26" s="2934" t="s">
        <v>2402</v>
      </c>
      <c r="Q26" s="2934" t="s">
        <v>2403</v>
      </c>
      <c r="R26" s="2837" t="s">
        <v>2328</v>
      </c>
      <c r="S26" s="2935"/>
      <c r="T26" s="2935"/>
      <c r="U26" s="2935"/>
      <c r="V26" s="2928"/>
    </row>
    <row r="27" spans="1:22" s="2832" customFormat="1" ht="13.15" customHeight="1">
      <c r="A27" s="2917"/>
      <c r="B27" s="2918" t="s">
        <v>2404</v>
      </c>
      <c r="C27" s="2936" t="e">
        <f>E7</f>
        <v>#DIV/0!</v>
      </c>
      <c r="D27" s="2920"/>
      <c r="E27" s="2921"/>
      <c r="F27" s="2922"/>
      <c r="G27" s="2916"/>
      <c r="H27" s="2937"/>
      <c r="I27" s="2928"/>
      <c r="J27" s="3663"/>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2405</v>
      </c>
      <c r="F28" s="2922"/>
      <c r="G28" s="2909"/>
      <c r="H28" s="2937"/>
      <c r="I28" s="2928"/>
      <c r="J28" s="2943">
        <v>6</v>
      </c>
      <c r="K28" s="2944" t="s">
        <v>2406</v>
      </c>
      <c r="L28" s="2945" t="s">
        <v>2407</v>
      </c>
      <c r="M28" s="2946"/>
      <c r="N28" s="2945" t="s">
        <v>2408</v>
      </c>
      <c r="O28" s="2947"/>
      <c r="P28" s="2945" t="s">
        <v>2409</v>
      </c>
      <c r="Q28" s="2948">
        <v>1.4999999999999999E-2</v>
      </c>
      <c r="R28" s="2949"/>
      <c r="S28" s="2901"/>
      <c r="T28" s="2901"/>
      <c r="U28" s="2901"/>
      <c r="V28" s="2928"/>
    </row>
    <row r="29" spans="1:22" s="2929" customFormat="1" ht="13.15" customHeight="1">
      <c r="A29" s="2910">
        <v>3</v>
      </c>
      <c r="B29" s="2911" t="s">
        <v>2410</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2404</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2411</v>
      </c>
      <c r="K31" s="2818"/>
      <c r="L31" s="2818"/>
      <c r="M31" s="2818"/>
      <c r="N31" s="2818"/>
      <c r="O31" s="2818"/>
      <c r="P31" s="2818"/>
      <c r="Q31" s="2818"/>
      <c r="R31" s="2819"/>
      <c r="S31" s="2901"/>
      <c r="T31" s="2820"/>
      <c r="U31" s="2820"/>
      <c r="V31" s="2928"/>
    </row>
    <row r="32" spans="1:22" s="2929" customFormat="1" ht="13.15" customHeight="1">
      <c r="A32" s="2910">
        <v>4</v>
      </c>
      <c r="B32" s="2911" t="s">
        <v>2412</v>
      </c>
      <c r="C32" s="2912">
        <f>C23-C26-C29</f>
        <v>0</v>
      </c>
      <c r="D32" s="2913">
        <f>D23-D26-D29</f>
        <v>0</v>
      </c>
      <c r="E32" s="2914">
        <f>E23-E26-E29</f>
        <v>0</v>
      </c>
      <c r="F32" s="2915"/>
      <c r="G32" s="2909"/>
      <c r="H32" s="2827"/>
      <c r="I32" s="2828"/>
      <c r="J32" s="3645" t="s">
        <v>2304</v>
      </c>
      <c r="K32" s="3646"/>
      <c r="L32" s="2829" t="s">
        <v>2305</v>
      </c>
      <c r="M32" s="2829" t="s">
        <v>2306</v>
      </c>
      <c r="N32" s="2829" t="s">
        <v>2307</v>
      </c>
      <c r="O32" s="2829" t="s">
        <v>2308</v>
      </c>
      <c r="P32" s="2829" t="s">
        <v>2309</v>
      </c>
      <c r="Q32" s="2830" t="s">
        <v>2310</v>
      </c>
      <c r="R32" s="2952" t="s">
        <v>2311</v>
      </c>
      <c r="S32" s="2901"/>
      <c r="T32" s="2820"/>
      <c r="U32" s="2820"/>
      <c r="V32" s="2928"/>
    </row>
    <row r="33" spans="1:23" s="2832" customFormat="1" ht="13.15" customHeight="1">
      <c r="A33" s="2910"/>
      <c r="B33" s="2911"/>
      <c r="C33" s="2912"/>
      <c r="D33" s="2953"/>
      <c r="E33" s="2954"/>
      <c r="F33" s="2915"/>
      <c r="G33" s="2909"/>
      <c r="H33" s="2937"/>
      <c r="I33" s="2928"/>
      <c r="J33" s="3647" t="s">
        <v>2314</v>
      </c>
      <c r="K33" s="3648"/>
      <c r="L33" s="2835"/>
      <c r="M33" s="2835"/>
      <c r="N33" s="2835"/>
      <c r="O33" s="2835"/>
      <c r="P33" s="2835"/>
      <c r="Q33" s="2836"/>
      <c r="R33" s="2955">
        <f>SUM(L33:Q33)</f>
        <v>0</v>
      </c>
      <c r="S33" s="2901"/>
      <c r="T33" s="2820"/>
      <c r="U33" s="2820"/>
      <c r="V33" s="2828"/>
    </row>
    <row r="34" spans="1:23" s="2832" customFormat="1" ht="13.15" customHeight="1">
      <c r="A34" s="2910">
        <v>5</v>
      </c>
      <c r="B34" s="2911" t="s">
        <v>2413</v>
      </c>
      <c r="C34" s="2956"/>
      <c r="D34" s="2957"/>
      <c r="E34" s="2958"/>
      <c r="F34" s="2915"/>
      <c r="G34" s="2909"/>
      <c r="H34" s="2937"/>
      <c r="I34" s="2928"/>
      <c r="J34" s="3647" t="s">
        <v>2316</v>
      </c>
      <c r="K34" s="3648"/>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2414</v>
      </c>
      <c r="C35" s="2960"/>
      <c r="D35" s="2961"/>
      <c r="E35" s="2962"/>
      <c r="F35" s="2915"/>
      <c r="G35" s="2963"/>
      <c r="H35" s="2827"/>
      <c r="I35" s="2928"/>
      <c r="J35" s="2846" t="s">
        <v>2318</v>
      </c>
      <c r="K35" s="2847"/>
      <c r="L35" s="2847"/>
      <c r="M35" s="2848"/>
      <c r="N35" s="2848"/>
      <c r="O35" s="2848"/>
      <c r="P35" s="2848"/>
      <c r="Q35" s="2848"/>
      <c r="R35" s="2964">
        <f>R40+R41+R43</f>
        <v>0</v>
      </c>
      <c r="S35" s="2901"/>
      <c r="T35" s="2820" t="s">
        <v>2319</v>
      </c>
      <c r="U35" s="2820"/>
      <c r="V35" s="2828"/>
    </row>
    <row r="36" spans="1:23" s="2832" customFormat="1" ht="13.15" customHeight="1" thickBot="1">
      <c r="A36" s="2910">
        <v>7</v>
      </c>
      <c r="B36" s="2965" t="s">
        <v>2415</v>
      </c>
      <c r="C36" s="2966"/>
      <c r="D36" s="2967"/>
      <c r="E36" s="2968"/>
      <c r="F36" s="2969">
        <f>C36+D36+E36</f>
        <v>0</v>
      </c>
      <c r="G36" s="2909"/>
      <c r="H36" s="2827"/>
      <c r="I36" s="2828"/>
      <c r="J36" s="3652">
        <v>1</v>
      </c>
      <c r="K36" s="3653" t="s">
        <v>2416</v>
      </c>
      <c r="L36" s="2853"/>
      <c r="M36" s="2854"/>
      <c r="N36" s="2854"/>
      <c r="O36" s="2854"/>
      <c r="P36" s="2854"/>
      <c r="Q36" s="2854"/>
      <c r="R36" s="2837" t="s">
        <v>2328</v>
      </c>
      <c r="S36" s="2901"/>
      <c r="T36" s="2820" t="s">
        <v>2329</v>
      </c>
      <c r="U36" s="2820"/>
      <c r="V36" s="2828"/>
    </row>
    <row r="37" spans="1:23" s="2832" customFormat="1" ht="13.15" customHeight="1">
      <c r="A37" s="2910"/>
      <c r="B37" s="2911"/>
      <c r="C37" s="2911"/>
      <c r="D37" s="2911"/>
      <c r="E37" s="2911"/>
      <c r="F37" s="2915"/>
      <c r="G37" s="2909"/>
      <c r="H37" s="2827"/>
      <c r="I37" s="2828"/>
      <c r="J37" s="3652"/>
      <c r="K37" s="3654"/>
      <c r="L37" s="2862"/>
      <c r="M37" s="2863"/>
      <c r="N37" s="2839"/>
      <c r="O37" s="2864"/>
      <c r="P37" s="2864"/>
      <c r="Q37" s="2865"/>
      <c r="R37" s="2866"/>
      <c r="S37" s="2901"/>
      <c r="T37" s="2820" t="s">
        <v>2332</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652"/>
      <c r="K38" s="3654"/>
      <c r="L38" s="2862"/>
      <c r="M38" s="2863"/>
      <c r="N38" s="2839"/>
      <c r="O38" s="2864"/>
      <c r="P38" s="2864"/>
      <c r="Q38" s="2865"/>
      <c r="R38" s="2866"/>
      <c r="S38" s="2901"/>
      <c r="T38" s="2820" t="s">
        <v>2339</v>
      </c>
      <c r="U38" s="2820"/>
      <c r="V38" s="2828"/>
    </row>
    <row r="39" spans="1:23" s="2832" customFormat="1" ht="13.15" customHeight="1">
      <c r="A39" s="2910">
        <v>9</v>
      </c>
      <c r="B39" s="2911" t="s">
        <v>2417</v>
      </c>
      <c r="C39" s="2876" t="e">
        <f>C38</f>
        <v>#DIV/0!</v>
      </c>
      <c r="D39" s="2911">
        <f>D38/(1+D34)^C36</f>
        <v>0</v>
      </c>
      <c r="E39" s="2911">
        <f>E38/(1+E34)^(C36+D36)</f>
        <v>0</v>
      </c>
      <c r="F39" s="2915"/>
      <c r="G39" s="2970"/>
      <c r="H39" s="2827"/>
      <c r="I39" s="2828"/>
      <c r="J39" s="3652"/>
      <c r="K39" s="3654"/>
      <c r="L39" s="2862"/>
      <c r="M39" s="2863"/>
      <c r="N39" s="2839"/>
      <c r="O39" s="2864"/>
      <c r="P39" s="2864"/>
      <c r="Q39" s="2865"/>
      <c r="R39" s="2866"/>
      <c r="S39" s="2901"/>
      <c r="T39" s="2820"/>
      <c r="U39" s="2820"/>
      <c r="V39" s="2828"/>
    </row>
    <row r="40" spans="1:23" s="2832" customFormat="1" ht="13.15" customHeight="1">
      <c r="A40" s="2971">
        <v>10</v>
      </c>
      <c r="B40" s="2911" t="s">
        <v>2418</v>
      </c>
      <c r="C40" s="2972" t="e">
        <f>C39+D39+E39</f>
        <v>#DIV/0!</v>
      </c>
      <c r="D40" s="2973"/>
      <c r="E40" s="2973"/>
      <c r="F40" s="2974"/>
      <c r="G40" s="2909"/>
      <c r="H40" s="2827"/>
      <c r="I40" s="2828"/>
      <c r="J40" s="3652"/>
      <c r="K40" s="3655"/>
      <c r="L40" s="2882" t="s">
        <v>2357</v>
      </c>
      <c r="M40" s="2883"/>
      <c r="N40" s="2883"/>
      <c r="O40" s="2884"/>
      <c r="P40" s="2884"/>
      <c r="Q40" s="2885"/>
      <c r="R40" s="2831">
        <f>SUM(R37:R39)</f>
        <v>0</v>
      </c>
      <c r="S40" s="2901"/>
      <c r="T40" s="2820"/>
      <c r="U40" s="2820"/>
      <c r="V40" s="2828"/>
    </row>
    <row r="41" spans="1:23" s="2832" customFormat="1" ht="13.15" customHeight="1" thickBot="1">
      <c r="A41" s="2975">
        <v>11</v>
      </c>
      <c r="B41" s="2976" t="s">
        <v>2419</v>
      </c>
      <c r="C41" s="2976" t="e">
        <f>ROUND(C40*10000/B4,0)</f>
        <v>#DIV/0!</v>
      </c>
      <c r="D41" s="2977"/>
      <c r="E41" s="2977"/>
      <c r="F41" s="2978"/>
      <c r="G41" s="2979"/>
      <c r="H41" s="2827"/>
      <c r="I41" s="2828"/>
      <c r="J41" s="2923">
        <v>2</v>
      </c>
      <c r="K41" s="2924" t="s">
        <v>2397</v>
      </c>
      <c r="L41" s="2925"/>
      <c r="M41" s="2925"/>
      <c r="N41" s="2925"/>
      <c r="O41" s="2925"/>
      <c r="P41" s="2926"/>
      <c r="Q41" s="2927"/>
      <c r="R41" s="2898">
        <f>ROUND(R40*Q41,0)</f>
        <v>0</v>
      </c>
      <c r="S41" s="2901"/>
      <c r="T41" s="2820"/>
      <c r="U41" s="2935"/>
      <c r="V41" s="2828"/>
    </row>
    <row r="42" spans="1:23" s="2832" customFormat="1" ht="13.15" customHeight="1">
      <c r="G42" s="2979"/>
      <c r="H42" s="2827"/>
      <c r="I42" s="2828"/>
      <c r="J42" s="3662">
        <v>3</v>
      </c>
      <c r="K42" s="2930" t="s">
        <v>2399</v>
      </c>
      <c r="L42" s="2931"/>
      <c r="M42" s="2932"/>
      <c r="N42" s="2933" t="s">
        <v>2400</v>
      </c>
      <c r="O42" s="2933" t="s">
        <v>2401</v>
      </c>
      <c r="P42" s="2934" t="s">
        <v>2402</v>
      </c>
      <c r="Q42" s="2934" t="s">
        <v>2403</v>
      </c>
      <c r="R42" s="2837" t="s">
        <v>2328</v>
      </c>
      <c r="S42" s="2935"/>
      <c r="T42" s="2935"/>
      <c r="U42" s="2820"/>
      <c r="V42" s="2828"/>
    </row>
    <row r="43" spans="1:23" ht="13.15" customHeight="1">
      <c r="A43" s="2832"/>
      <c r="B43" s="2832"/>
      <c r="C43" s="2832"/>
      <c r="D43" s="2832"/>
      <c r="E43" s="2832"/>
      <c r="F43" s="2832"/>
      <c r="I43" s="2815"/>
      <c r="J43" s="3663"/>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2406</v>
      </c>
      <c r="L44" s="2983" t="s">
        <v>2407</v>
      </c>
      <c r="M44" s="2946"/>
      <c r="N44" s="2983" t="s">
        <v>2408</v>
      </c>
      <c r="O44" s="2946"/>
      <c r="P44" s="2983" t="s">
        <v>2409</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6"/>
      <c r="G1" s="1489"/>
      <c r="H1" s="1489"/>
      <c r="I1" s="1489"/>
      <c r="J1" s="1489"/>
      <c r="K1" s="1489"/>
      <c r="L1" s="1489"/>
      <c r="M1" s="1489"/>
      <c r="N1" s="1489"/>
      <c r="O1" s="1489"/>
      <c r="P1" s="1489"/>
      <c r="Q1" s="1489"/>
      <c r="R1" s="1489"/>
      <c r="S1" s="1489"/>
    </row>
    <row r="2" spans="1:22" ht="15.75">
      <c r="A2" s="1870" t="s">
        <v>1445</v>
      </c>
      <c r="B2" s="1871">
        <f ca="1">SUMIF(B6:B13,"&lt;&gt;#ref!",B6:B13)</f>
        <v>132710</v>
      </c>
      <c r="C2" s="1872" t="s">
        <v>1634</v>
      </c>
      <c r="D2" s="1873" t="s">
        <v>1635</v>
      </c>
      <c r="E2" s="2587">
        <f>SUM(E6:E13)</f>
        <v>108132.23000000003</v>
      </c>
      <c r="F2" s="2686"/>
      <c r="G2" s="1489"/>
      <c r="H2" s="1489"/>
      <c r="I2" s="1489"/>
      <c r="J2" s="1489"/>
      <c r="K2" s="1489"/>
      <c r="L2" s="1489"/>
      <c r="M2" s="1489"/>
      <c r="N2" s="1489"/>
      <c r="O2" s="1489"/>
      <c r="P2" s="1489"/>
      <c r="Q2" s="1489"/>
      <c r="R2" s="1489"/>
      <c r="S2" s="1489"/>
    </row>
    <row r="3" spans="1:22" ht="15.75">
      <c r="A3" s="1870" t="s">
        <v>686</v>
      </c>
      <c r="B3" s="2581">
        <f ca="1">ROUND(B2*10000/E2,0)</f>
        <v>12273</v>
      </c>
      <c r="C3" s="1872" t="s">
        <v>1642</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3" t="s">
        <v>1636</v>
      </c>
      <c r="B5" s="3664" t="s">
        <v>1637</v>
      </c>
      <c r="C5" s="3665"/>
      <c r="D5" s="2687"/>
      <c r="E5" s="1874" t="s">
        <v>1638</v>
      </c>
      <c r="F5" s="1875" t="s">
        <v>1639</v>
      </c>
      <c r="G5" s="1489"/>
      <c r="H5" s="1489"/>
      <c r="I5" s="1489"/>
      <c r="J5" s="1489"/>
      <c r="K5" s="1489"/>
      <c r="L5" s="1489"/>
      <c r="M5" s="1489"/>
      <c r="N5" s="1489"/>
      <c r="O5" s="1489"/>
      <c r="P5" s="1489"/>
      <c r="Q5" s="1489"/>
      <c r="R5" s="1489"/>
      <c r="S5" s="1489"/>
    </row>
    <row r="6" spans="1:22">
      <c r="A6" s="2584" t="str">
        <f>'数据-取费表'!AN6</f>
        <v>收益法</v>
      </c>
      <c r="B6" s="2582">
        <f ca="1">IF(F6="是",'数据-取费表'!AO6,0)</f>
        <v>132710</v>
      </c>
      <c r="C6" s="1872" t="s">
        <v>1634</v>
      </c>
      <c r="D6" s="2688"/>
      <c r="E6" s="2586">
        <f>IF(OR(A6=0,F6="否"),0,'数据-取费表'!K6+'数据-取费表'!S6)</f>
        <v>108132.23000000003</v>
      </c>
      <c r="F6" s="1876" t="s">
        <v>1640</v>
      </c>
      <c r="G6" s="1489"/>
      <c r="H6" s="1489"/>
      <c r="I6" s="1489"/>
      <c r="J6" s="1489"/>
      <c r="K6" s="1489"/>
      <c r="L6" s="1489"/>
      <c r="M6" s="1489"/>
      <c r="N6" s="1489"/>
      <c r="O6" s="1489"/>
      <c r="P6" s="1489"/>
      <c r="Q6" s="1489"/>
      <c r="R6" s="1489"/>
      <c r="S6" s="1489"/>
    </row>
    <row r="7" spans="1:22">
      <c r="A7" s="2584">
        <f>'数据-取费表'!AN7</f>
        <v>0</v>
      </c>
      <c r="B7" s="2582" t="e">
        <f ca="1">IF(F7="是",'数据-取费表'!AO7,0)</f>
        <v>#REF!</v>
      </c>
      <c r="C7" s="1872" t="s">
        <v>1634</v>
      </c>
      <c r="D7" s="2688"/>
      <c r="E7" s="2586">
        <f>IF(OR(A7=0,F7="否"),0,'数据-取费表'!K7+'数据-取费表'!S7)</f>
        <v>0</v>
      </c>
      <c r="F7" s="1876" t="s">
        <v>1640</v>
      </c>
      <c r="G7" s="1489"/>
      <c r="H7" s="1489"/>
      <c r="I7" s="1489"/>
      <c r="J7" s="1489"/>
      <c r="K7" s="1489"/>
      <c r="L7" s="1489"/>
      <c r="M7" s="1489"/>
      <c r="N7" s="1489"/>
      <c r="O7" s="1489"/>
      <c r="P7" s="1489"/>
      <c r="Q7" s="1489"/>
      <c r="R7" s="1489"/>
      <c r="S7" s="1489"/>
    </row>
    <row r="8" spans="1:22">
      <c r="A8" s="2584">
        <f>'数据-取费表'!AN8</f>
        <v>0</v>
      </c>
      <c r="B8" s="2582" t="e">
        <f ca="1">IF(F8="是",'数据-取费表'!AO8,0)</f>
        <v>#REF!</v>
      </c>
      <c r="C8" s="1872" t="s">
        <v>1634</v>
      </c>
      <c r="D8" s="2688"/>
      <c r="E8" s="2586">
        <f>IF(OR(A8=0,F8="否"),0,'数据-取费表'!K8+'数据-取费表'!S8)</f>
        <v>0</v>
      </c>
      <c r="F8" s="1876" t="s">
        <v>1640</v>
      </c>
      <c r="G8" s="1489"/>
      <c r="H8" s="1489"/>
      <c r="I8" s="1489"/>
      <c r="J8" s="1489"/>
      <c r="K8" s="1489"/>
      <c r="L8" s="1489"/>
      <c r="M8" s="1489"/>
      <c r="N8" s="1489"/>
      <c r="O8" s="1489"/>
      <c r="P8" s="1489"/>
      <c r="Q8" s="1489"/>
      <c r="R8" s="1489"/>
      <c r="S8" s="1489"/>
    </row>
    <row r="9" spans="1:22">
      <c r="A9" s="2584">
        <f>'数据-取费表'!AN9</f>
        <v>0</v>
      </c>
      <c r="B9" s="2582" t="e">
        <f ca="1">IF(F9="是",'数据-取费表'!AO9,0)</f>
        <v>#REF!</v>
      </c>
      <c r="C9" s="1872" t="s">
        <v>1634</v>
      </c>
      <c r="D9" s="2688"/>
      <c r="E9" s="2586">
        <f>IF(OR(A9=0,F9="否"),0,'数据-取费表'!K9+'数据-取费表'!S9)</f>
        <v>0</v>
      </c>
      <c r="F9" s="1876" t="s">
        <v>1640</v>
      </c>
      <c r="G9" s="1489"/>
      <c r="H9" s="1489"/>
      <c r="I9" s="1489"/>
      <c r="J9" s="1489"/>
      <c r="K9" s="1489"/>
      <c r="L9" s="1489"/>
      <c r="M9" s="1489"/>
      <c r="N9" s="1489"/>
      <c r="O9" s="1489"/>
      <c r="P9" s="1489"/>
      <c r="Q9" s="1489"/>
      <c r="R9" s="1489"/>
      <c r="S9" s="1489"/>
    </row>
    <row r="10" spans="1:22">
      <c r="A10" s="2584">
        <f>'数据-取费表'!AN10</f>
        <v>0</v>
      </c>
      <c r="B10" s="2582" t="e">
        <f ca="1">IF(F10="是",'数据-取费表'!AO10,0)</f>
        <v>#REF!</v>
      </c>
      <c r="C10" s="1872" t="s">
        <v>1634</v>
      </c>
      <c r="D10" s="2688"/>
      <c r="E10" s="2586">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84">
        <f>'数据-取费表'!AN11</f>
        <v>0</v>
      </c>
      <c r="B11" s="2582" t="e">
        <f ca="1">IF(F11="是",'数据-取费表'!AO11,0)</f>
        <v>#REF!</v>
      </c>
      <c r="C11" s="1872" t="s">
        <v>1634</v>
      </c>
      <c r="D11" s="2688"/>
      <c r="E11" s="2586">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84">
        <f>'数据-取费表'!AN12</f>
        <v>0</v>
      </c>
      <c r="B12" s="2582" t="e">
        <f ca="1">IF(F12="是",'数据-取费表'!AO12,0)</f>
        <v>#REF!</v>
      </c>
      <c r="C12" s="1872" t="s">
        <v>1634</v>
      </c>
      <c r="D12" s="2688"/>
      <c r="E12" s="2586">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5">
        <f>'数据-取费表'!AN13</f>
        <v>0</v>
      </c>
      <c r="B13" s="2582" t="e">
        <f ca="1">IF(F13="是",'数据-取费表'!AO13,0)</f>
        <v>#REF!</v>
      </c>
      <c r="C13" s="1877" t="s">
        <v>1634</v>
      </c>
      <c r="D13" s="2689"/>
      <c r="E13" s="2586">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5"/>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92"/>
      <c r="M2" s="2693"/>
      <c r="N2" s="2693"/>
      <c r="O2" s="269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108132.23000000003</v>
      </c>
      <c r="E3" s="907"/>
      <c r="F3" s="1888"/>
      <c r="G3" s="907"/>
      <c r="H3" s="907"/>
      <c r="I3" s="907"/>
      <c r="J3" s="907"/>
      <c r="K3" s="1884"/>
      <c r="L3" s="2692"/>
      <c r="M3" s="2693"/>
      <c r="N3" s="2693"/>
      <c r="O3" s="2693"/>
      <c r="P3" s="1885"/>
      <c r="Q3" s="1886"/>
      <c r="R3" s="1886"/>
      <c r="S3" s="1886"/>
      <c r="T3" s="1886"/>
      <c r="U3" s="1886"/>
      <c r="V3" s="1886"/>
      <c r="W3" s="1886"/>
      <c r="X3" s="1886"/>
      <c r="Y3" s="1886"/>
      <c r="Z3" s="1886"/>
      <c r="AA3" s="1886"/>
      <c r="AB3" s="1886"/>
      <c r="AC3" s="1061"/>
    </row>
    <row r="4" spans="1:29" ht="15">
      <c r="A4" s="355" t="s">
        <v>1649</v>
      </c>
      <c r="B4" s="356"/>
      <c r="C4" s="3684" t="s">
        <v>1650</v>
      </c>
      <c r="D4" s="3685"/>
      <c r="E4" s="3686" t="s">
        <v>1651</v>
      </c>
      <c r="F4" s="3687"/>
      <c r="G4" s="3684" t="s">
        <v>1652</v>
      </c>
      <c r="H4" s="3685"/>
      <c r="I4" s="3684" t="s">
        <v>1653</v>
      </c>
      <c r="J4" s="3685"/>
      <c r="K4" s="1889" t="s">
        <v>1654</v>
      </c>
      <c r="L4" s="2694"/>
      <c r="M4" s="2695"/>
      <c r="N4" s="2695"/>
      <c r="O4" s="2695"/>
      <c r="P4" s="3688" t="s">
        <v>1655</v>
      </c>
      <c r="Q4" s="3689"/>
      <c r="R4" s="3671" t="s">
        <v>1651</v>
      </c>
      <c r="S4" s="3672"/>
      <c r="T4" s="3671" t="s">
        <v>1652</v>
      </c>
      <c r="U4" s="3672"/>
      <c r="V4" s="3696" t="s">
        <v>1653</v>
      </c>
      <c r="W4" s="3696"/>
      <c r="X4" s="1355"/>
      <c r="Y4" s="3671" t="s">
        <v>1655</v>
      </c>
      <c r="Z4" s="3672"/>
      <c r="AA4" s="3666" t="s">
        <v>1651</v>
      </c>
      <c r="AB4" s="3666" t="s">
        <v>1652</v>
      </c>
      <c r="AC4" s="3666" t="s">
        <v>1653</v>
      </c>
    </row>
    <row r="5" spans="1:29" ht="15">
      <c r="A5" s="358"/>
      <c r="B5" s="359"/>
      <c r="C5" s="3677" t="s">
        <v>1656</v>
      </c>
      <c r="D5" s="3678"/>
      <c r="E5" s="3675" t="s">
        <v>1657</v>
      </c>
      <c r="F5" s="3676"/>
      <c r="G5" s="3677" t="s">
        <v>1658</v>
      </c>
      <c r="H5" s="3678"/>
      <c r="I5" s="3677" t="s">
        <v>1659</v>
      </c>
      <c r="J5" s="3678"/>
      <c r="K5" s="1890"/>
      <c r="L5" s="2694"/>
      <c r="M5" s="2695"/>
      <c r="N5" s="2695"/>
      <c r="O5" s="2695"/>
      <c r="P5" s="3690"/>
      <c r="Q5" s="3691"/>
      <c r="R5" s="3673"/>
      <c r="S5" s="3674"/>
      <c r="T5" s="3673"/>
      <c r="U5" s="3674"/>
      <c r="V5" s="3696"/>
      <c r="W5" s="3696"/>
      <c r="X5" s="1355"/>
      <c r="Y5" s="3673"/>
      <c r="Z5" s="3674"/>
      <c r="AA5" s="3667"/>
      <c r="AB5" s="3667"/>
      <c r="AC5" s="3667"/>
    </row>
    <row r="6" spans="1:29" ht="15.75" thickBot="1">
      <c r="A6" s="360"/>
      <c r="B6" s="361"/>
      <c r="C6" s="3679" t="s">
        <v>1660</v>
      </c>
      <c r="D6" s="3680"/>
      <c r="E6" s="3681" t="s">
        <v>1660</v>
      </c>
      <c r="F6" s="3682"/>
      <c r="G6" s="3679" t="s">
        <v>1660</v>
      </c>
      <c r="H6" s="3680"/>
      <c r="I6" s="3679" t="s">
        <v>1660</v>
      </c>
      <c r="J6" s="3680"/>
      <c r="K6" s="1890" t="s">
        <v>1661</v>
      </c>
      <c r="L6" s="2694"/>
      <c r="M6" s="2695"/>
      <c r="N6" s="2695"/>
      <c r="O6" s="2695"/>
      <c r="P6" s="3692"/>
      <c r="Q6" s="3693"/>
      <c r="R6" s="3673"/>
      <c r="S6" s="3674"/>
      <c r="T6" s="3694"/>
      <c r="U6" s="3695"/>
      <c r="V6" s="3696"/>
      <c r="W6" s="3696"/>
      <c r="X6" s="1355"/>
      <c r="Y6" s="3694"/>
      <c r="Z6" s="3695"/>
      <c r="AA6" s="3668"/>
      <c r="AB6" s="3668"/>
      <c r="AC6" s="3668"/>
    </row>
    <row r="7" spans="1:29" s="108" customFormat="1" ht="15.75" thickBot="1">
      <c r="A7" s="362" t="s">
        <v>1662</v>
      </c>
      <c r="B7" s="363"/>
      <c r="C7" s="364">
        <f>'数据-取费表'!B2</f>
        <v>45420</v>
      </c>
      <c r="D7" s="365">
        <v>100</v>
      </c>
      <c r="E7" s="366"/>
      <c r="F7" s="367">
        <f>SUMIF(58:58,YEAR(E7)&amp;"-"&amp;MONTH(E7),59:59)</f>
        <v>0</v>
      </c>
      <c r="G7" s="366"/>
      <c r="H7" s="365">
        <f>SUMIF(58:58,YEAR(G7)&amp;"-"&amp;MONTH(G7),59:59)</f>
        <v>0</v>
      </c>
      <c r="I7" s="366"/>
      <c r="J7" s="365">
        <f>SUMIF(58:58,YEAR(I7)&amp;"-"&amp;MONTH(I7),59:59)</f>
        <v>0</v>
      </c>
      <c r="K7" s="1891"/>
      <c r="L7" s="2696"/>
      <c r="M7" s="2697"/>
      <c r="N7" s="2697"/>
      <c r="O7" s="2697"/>
      <c r="P7" s="3669" t="s">
        <v>1663</v>
      </c>
      <c r="Q7" s="3697"/>
      <c r="R7" s="701" t="s">
        <v>20</v>
      </c>
      <c r="S7" s="702">
        <f t="shared" ref="S7:S15" si="0">F7</f>
        <v>0</v>
      </c>
      <c r="T7" s="701" t="s">
        <v>20</v>
      </c>
      <c r="U7" s="702">
        <f t="shared" ref="U7:U15" si="1">H7</f>
        <v>0</v>
      </c>
      <c r="V7" s="701" t="s">
        <v>20</v>
      </c>
      <c r="W7" s="702">
        <f t="shared" ref="W7:W15" si="2">J7</f>
        <v>0</v>
      </c>
      <c r="X7" s="703"/>
      <c r="Y7" s="3669" t="s">
        <v>1663</v>
      </c>
      <c r="Z7" s="3670"/>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6"/>
      <c r="M8" s="2697"/>
      <c r="N8" s="2697"/>
      <c r="O8" s="2697"/>
      <c r="P8" s="3669" t="s">
        <v>1666</v>
      </c>
      <c r="Q8" s="3670"/>
      <c r="R8" s="701" t="s">
        <v>20</v>
      </c>
      <c r="S8" s="702">
        <f t="shared" si="0"/>
        <v>100</v>
      </c>
      <c r="T8" s="701" t="s">
        <v>20</v>
      </c>
      <c r="U8" s="702">
        <f t="shared" si="1"/>
        <v>100</v>
      </c>
      <c r="V8" s="701" t="s">
        <v>20</v>
      </c>
      <c r="W8" s="702">
        <f t="shared" si="2"/>
        <v>100</v>
      </c>
      <c r="X8" s="703"/>
      <c r="Y8" s="3669" t="s">
        <v>1666</v>
      </c>
      <c r="Z8" s="3670"/>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6"/>
      <c r="M9" s="2697"/>
      <c r="N9" s="2697"/>
      <c r="O9" s="2697"/>
      <c r="P9" s="3683" t="s">
        <v>1669</v>
      </c>
      <c r="Q9" s="1343" t="str">
        <f t="shared" ref="Q9:Q15" si="6">B9</f>
        <v>用途</v>
      </c>
      <c r="R9" s="701" t="s">
        <v>14</v>
      </c>
      <c r="S9" s="702">
        <f t="shared" si="0"/>
        <v>100</v>
      </c>
      <c r="T9" s="701" t="s">
        <v>14</v>
      </c>
      <c r="U9" s="702">
        <f t="shared" si="1"/>
        <v>100</v>
      </c>
      <c r="V9" s="701" t="s">
        <v>14</v>
      </c>
      <c r="W9" s="702">
        <f t="shared" si="2"/>
        <v>100</v>
      </c>
      <c r="X9" s="703"/>
      <c r="Y9" s="3613" t="s">
        <v>1670</v>
      </c>
      <c r="Z9" s="52" t="str">
        <f t="shared" ref="Z9:Z15" si="7">Q9</f>
        <v>用途</v>
      </c>
      <c r="AA9" s="704">
        <f t="shared" si="3"/>
        <v>1</v>
      </c>
      <c r="AB9" s="704">
        <f t="shared" si="4"/>
        <v>1</v>
      </c>
      <c r="AC9" s="704">
        <f t="shared" si="5"/>
        <v>1</v>
      </c>
    </row>
    <row r="10" spans="1:29" s="378" customFormat="1" ht="27">
      <c r="A10" s="374"/>
      <c r="B10" s="375" t="s">
        <v>1671</v>
      </c>
      <c r="C10" s="3413"/>
      <c r="D10" s="127">
        <v>100</v>
      </c>
      <c r="E10" s="3414"/>
      <c r="F10" s="376">
        <f>SUMIF(65:65,E10,66:66)-SUMIF(65:65,C10,66:66)+100</f>
        <v>100</v>
      </c>
      <c r="G10" s="3413"/>
      <c r="H10" s="127">
        <f>SUMIF(65:65,G10,66:66)-SUMIF(65:65,C10,66:66)+100</f>
        <v>100</v>
      </c>
      <c r="I10" s="3413"/>
      <c r="J10" s="127">
        <f>SUMIF(65:65,I10,66:66)-SUMIF(65:65,C10,66:66)+100</f>
        <v>100</v>
      </c>
      <c r="K10" s="1891"/>
      <c r="L10" s="2698"/>
      <c r="M10" s="2699"/>
      <c r="N10" s="2699"/>
      <c r="O10" s="2699"/>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683"/>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6"/>
      <c r="M12" s="2697"/>
      <c r="N12" s="2697"/>
      <c r="O12" s="2697"/>
      <c r="P12" s="3683"/>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1"/>
      <c r="M13" s="2695"/>
      <c r="N13" s="2695"/>
      <c r="O13" s="2695"/>
      <c r="P13" s="3683"/>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1"/>
      <c r="M14" s="2695"/>
      <c r="N14" s="2695"/>
      <c r="O14" s="2695"/>
      <c r="P14" s="3683"/>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1673</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710" t="s">
        <v>1674</v>
      </c>
      <c r="Q15" s="1352" t="str">
        <f t="shared" si="6"/>
        <v>居住社区成熟度</v>
      </c>
      <c r="R15" s="705" t="s">
        <v>18</v>
      </c>
      <c r="S15" s="706">
        <f t="shared" si="0"/>
        <v>100</v>
      </c>
      <c r="T15" s="705" t="s">
        <v>18</v>
      </c>
      <c r="U15" s="706">
        <f t="shared" si="1"/>
        <v>100</v>
      </c>
      <c r="V15" s="705" t="s">
        <v>18</v>
      </c>
      <c r="W15" s="706">
        <f t="shared" si="2"/>
        <v>100</v>
      </c>
      <c r="X15" s="1355"/>
      <c r="Y15" s="3703"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1"/>
      <c r="M16" s="2695"/>
      <c r="N16" s="2695"/>
      <c r="O16" s="2695"/>
      <c r="P16" s="3711"/>
      <c r="Q16" s="1352"/>
      <c r="R16" s="705"/>
      <c r="S16" s="706"/>
      <c r="T16" s="705"/>
      <c r="U16" s="706"/>
      <c r="V16" s="705"/>
      <c r="W16" s="706"/>
      <c r="X16" s="1355"/>
      <c r="Y16" s="370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1"/>
      <c r="M18" s="2695"/>
      <c r="N18" s="2695"/>
      <c r="O18" s="2695"/>
      <c r="P18" s="3711"/>
      <c r="Q18" s="1352"/>
      <c r="R18" s="705"/>
      <c r="S18" s="706"/>
      <c r="T18" s="705"/>
      <c r="U18" s="706"/>
      <c r="V18" s="705"/>
      <c r="W18" s="706"/>
      <c r="X18" s="1355"/>
      <c r="Y18" s="370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1"/>
      <c r="M20" s="2695"/>
      <c r="N20" s="2695"/>
      <c r="O20" s="2695"/>
      <c r="P20" s="3711"/>
      <c r="Q20" s="1352"/>
      <c r="R20" s="705"/>
      <c r="S20" s="706"/>
      <c r="T20" s="705"/>
      <c r="U20" s="706"/>
      <c r="V20" s="705"/>
      <c r="W20" s="706"/>
      <c r="X20" s="1355"/>
      <c r="Y20" s="370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1"/>
      <c r="M22" s="2695"/>
      <c r="N22" s="2695"/>
      <c r="O22" s="2695"/>
      <c r="P22" s="3711"/>
      <c r="Q22" s="1352"/>
      <c r="R22" s="705"/>
      <c r="S22" s="706"/>
      <c r="T22" s="705"/>
      <c r="U22" s="706"/>
      <c r="V22" s="705"/>
      <c r="W22" s="706"/>
      <c r="X22" s="1355"/>
      <c r="Y22" s="370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1"/>
      <c r="M24" s="2695"/>
      <c r="N24" s="2695"/>
      <c r="O24" s="2695"/>
      <c r="P24" s="3711"/>
      <c r="Q24" s="1352"/>
      <c r="R24" s="705"/>
      <c r="S24" s="706"/>
      <c r="T24" s="705"/>
      <c r="U24" s="706"/>
      <c r="V24" s="705"/>
      <c r="W24" s="706"/>
      <c r="X24" s="1355"/>
      <c r="Y24" s="3704"/>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701"/>
      <c r="M25" s="2695"/>
      <c r="N25" s="2695"/>
      <c r="O25" s="2695"/>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701"/>
      <c r="M26" s="2695"/>
      <c r="N26" s="2695"/>
      <c r="O26" s="2695"/>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6"/>
      <c r="M27" s="2697"/>
      <c r="N27" s="2697"/>
      <c r="O27" s="2697"/>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1"/>
      <c r="M28" s="2695"/>
      <c r="N28" s="2695"/>
      <c r="O28" s="2695"/>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1"/>
      <c r="M29" s="2695"/>
      <c r="N29" s="2695"/>
      <c r="O29" s="2695"/>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1"/>
      <c r="M30" s="2695"/>
      <c r="N30" s="2695"/>
      <c r="O30" s="2695"/>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1"/>
      <c r="M31" s="2695"/>
      <c r="N31" s="2695"/>
      <c r="O31" s="2695"/>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1"/>
      <c r="M32" s="2695"/>
      <c r="N32" s="2695"/>
      <c r="O32" s="2695"/>
      <c r="P32" s="3705" t="s">
        <v>1679</v>
      </c>
      <c r="Q32" s="1352" t="str">
        <f t="shared" si="11"/>
        <v>建筑类型</v>
      </c>
      <c r="R32" s="705" t="s">
        <v>18</v>
      </c>
      <c r="S32" s="706">
        <f t="shared" si="12"/>
        <v>100</v>
      </c>
      <c r="T32" s="705" t="s">
        <v>18</v>
      </c>
      <c r="U32" s="706">
        <f t="shared" si="13"/>
        <v>100</v>
      </c>
      <c r="V32" s="705" t="s">
        <v>18</v>
      </c>
      <c r="W32" s="706">
        <f t="shared" si="14"/>
        <v>100</v>
      </c>
      <c r="X32" s="1355"/>
      <c r="Y32" s="3708"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00"/>
      <c r="M33" s="2702"/>
      <c r="N33" s="2702"/>
      <c r="O33" s="2702"/>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1"/>
      <c r="M34" s="2695"/>
      <c r="N34" s="2695"/>
      <c r="O34" s="2695"/>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1"/>
      <c r="M35" s="2695"/>
      <c r="N35" s="2695"/>
      <c r="O35" s="2695"/>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1"/>
      <c r="M36" s="2695"/>
      <c r="N36" s="2695"/>
      <c r="O36" s="2695"/>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1"/>
      <c r="M38" s="2695"/>
      <c r="N38" s="2695"/>
      <c r="O38" s="2695"/>
      <c r="P38" s="3706" t="s">
        <v>1679</v>
      </c>
      <c r="Q38" s="1352" t="str">
        <f t="shared" si="11"/>
        <v>物业管理</v>
      </c>
      <c r="R38" s="705" t="s">
        <v>18</v>
      </c>
      <c r="S38" s="706">
        <f t="shared" si="12"/>
        <v>100</v>
      </c>
      <c r="T38" s="705" t="s">
        <v>18</v>
      </c>
      <c r="U38" s="706">
        <f t="shared" si="13"/>
        <v>100</v>
      </c>
      <c r="V38" s="705" t="s">
        <v>18</v>
      </c>
      <c r="W38" s="706">
        <f t="shared" si="14"/>
        <v>100</v>
      </c>
      <c r="X38" s="1355"/>
      <c r="Y38" s="3708"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1"/>
      <c r="M39" s="2695"/>
      <c r="N39" s="2695"/>
      <c r="O39" s="2695"/>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1"/>
      <c r="M40" s="2695"/>
      <c r="N40" s="2695"/>
      <c r="O40" s="2695"/>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00"/>
      <c r="M41" s="2702"/>
      <c r="N41" s="2702"/>
      <c r="O41" s="2702"/>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1"/>
      <c r="M42" s="2695"/>
      <c r="N42" s="2695"/>
      <c r="O42" s="2695"/>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1"/>
      <c r="M43" s="2695"/>
      <c r="N43" s="2695"/>
      <c r="O43" s="2695"/>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6"/>
      <c r="M44" s="2697"/>
      <c r="N44" s="2697"/>
      <c r="O44" s="2697"/>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1"/>
      <c r="M45" s="2695"/>
      <c r="N45" s="2695"/>
      <c r="O45" s="2695"/>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1"/>
      <c r="M46" s="2695"/>
      <c r="N46" s="2695"/>
      <c r="O46" s="2695"/>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703"/>
      <c r="M47" s="2704"/>
      <c r="N47" s="2695"/>
      <c r="O47" s="2704"/>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1692</v>
      </c>
      <c r="B48" s="438"/>
      <c r="C48" s="1160" t="e">
        <f>R49</f>
        <v>#DIV/0!</v>
      </c>
      <c r="D48" s="2317" t="s">
        <v>2121</v>
      </c>
      <c r="E48" s="1161" t="e">
        <f>R48</f>
        <v>#DIV/0!</v>
      </c>
      <c r="F48" s="2318"/>
      <c r="G48" s="1160" t="e">
        <f>T48</f>
        <v>#DIV/0!</v>
      </c>
      <c r="H48" s="2318"/>
      <c r="I48" s="1161" t="e">
        <f>V48</f>
        <v>#DIV/0!</v>
      </c>
      <c r="J48" s="2318"/>
      <c r="K48" s="2319">
        <f>F48+H48+J48</f>
        <v>0</v>
      </c>
      <c r="L48" s="2703"/>
      <c r="M48" s="2704"/>
      <c r="N48" s="2704"/>
      <c r="O48" s="270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703"/>
      <c r="M49" s="2704"/>
      <c r="N49" s="2704"/>
      <c r="O49" s="270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7"/>
    </row>
    <row r="55" spans="1:29" s="451" customFormat="1">
      <c r="A55" s="2707"/>
      <c r="B55" s="2710"/>
      <c r="C55" s="2711"/>
      <c r="D55" s="2707"/>
      <c r="E55" s="2707"/>
      <c r="F55" s="2707"/>
      <c r="G55" s="2707"/>
      <c r="H55" s="2707"/>
      <c r="I55" s="2707"/>
      <c r="J55" s="2707"/>
      <c r="K55" s="2712"/>
      <c r="L55" s="2706"/>
      <c r="M55" s="2707"/>
      <c r="N55" s="2707"/>
      <c r="O55" s="2707"/>
      <c r="P55" s="1917"/>
    </row>
    <row r="56" spans="1:29">
      <c r="A56" s="2704"/>
      <c r="B56" s="2710"/>
      <c r="C56" s="2711"/>
      <c r="D56" s="2704"/>
      <c r="E56" s="2704"/>
      <c r="F56" s="2704"/>
      <c r="G56" s="2704"/>
      <c r="H56" s="2704"/>
      <c r="I56" s="2704"/>
      <c r="J56" s="2704"/>
      <c r="K56" s="2709"/>
      <c r="L56" s="2705"/>
      <c r="M56" s="2704"/>
      <c r="N56" s="2704"/>
      <c r="O56" s="2704"/>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c r="E1" s="3405"/>
      <c r="F1" s="1879"/>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0</v>
      </c>
      <c r="C3" s="354" t="s">
        <v>1751</v>
      </c>
      <c r="D3" s="353">
        <f>IF(D1="",'数据-汇总表'!E3,SUMIF('数据-汇总表'!$C19:$C33,D1,'数据-汇总表'!$E19:$E33))</f>
        <v>108132.23000000003</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1752</v>
      </c>
      <c r="B4" s="356"/>
      <c r="C4" s="3684" t="s">
        <v>1753</v>
      </c>
      <c r="D4" s="3685"/>
      <c r="E4" s="3686" t="s">
        <v>1754</v>
      </c>
      <c r="F4" s="3687"/>
      <c r="G4" s="3684" t="s">
        <v>1755</v>
      </c>
      <c r="H4" s="3685"/>
      <c r="I4" s="3684" t="s">
        <v>1756</v>
      </c>
      <c r="J4" s="3685"/>
      <c r="K4" s="559" t="s">
        <v>1757</v>
      </c>
      <c r="L4" s="2694"/>
      <c r="M4" s="2695"/>
      <c r="N4" s="2695"/>
      <c r="O4" s="2695"/>
      <c r="P4" s="3688" t="s">
        <v>1758</v>
      </c>
      <c r="Q4" s="3689"/>
      <c r="R4" s="3671" t="s">
        <v>1754</v>
      </c>
      <c r="S4" s="3672"/>
      <c r="T4" s="3671" t="s">
        <v>1755</v>
      </c>
      <c r="U4" s="3672"/>
      <c r="V4" s="3696" t="s">
        <v>1756</v>
      </c>
      <c r="W4" s="3696"/>
      <c r="X4" s="1355"/>
      <c r="Y4" s="3671" t="s">
        <v>1758</v>
      </c>
      <c r="Z4" s="3672"/>
      <c r="AA4" s="3666" t="s">
        <v>1754</v>
      </c>
      <c r="AB4" s="3696" t="s">
        <v>1755</v>
      </c>
      <c r="AC4" s="3666" t="s">
        <v>1756</v>
      </c>
    </row>
    <row r="5" spans="1:29" ht="15">
      <c r="A5" s="358"/>
      <c r="B5" s="359"/>
      <c r="C5" s="3677" t="s">
        <v>1656</v>
      </c>
      <c r="D5" s="3678"/>
      <c r="E5" s="3675" t="s">
        <v>1657</v>
      </c>
      <c r="F5" s="3676"/>
      <c r="G5" s="3677" t="s">
        <v>1658</v>
      </c>
      <c r="H5" s="3678"/>
      <c r="I5" s="3677" t="s">
        <v>1659</v>
      </c>
      <c r="J5" s="3678"/>
      <c r="K5" s="559"/>
      <c r="L5" s="2694"/>
      <c r="M5" s="2695"/>
      <c r="N5" s="2695"/>
      <c r="O5" s="2695"/>
      <c r="P5" s="3690"/>
      <c r="Q5" s="3691"/>
      <c r="R5" s="3673"/>
      <c r="S5" s="3674"/>
      <c r="T5" s="3673"/>
      <c r="U5" s="3674"/>
      <c r="V5" s="3696"/>
      <c r="W5" s="3696"/>
      <c r="X5" s="1355"/>
      <c r="Y5" s="3673"/>
      <c r="Z5" s="3674"/>
      <c r="AA5" s="3667"/>
      <c r="AB5" s="3696"/>
      <c r="AC5" s="3667"/>
    </row>
    <row r="6" spans="1:29" ht="15.75" thickBot="1">
      <c r="A6" s="360"/>
      <c r="B6" s="361"/>
      <c r="C6" s="3679" t="s">
        <v>1660</v>
      </c>
      <c r="D6" s="3680"/>
      <c r="E6" s="3681" t="s">
        <v>1660</v>
      </c>
      <c r="F6" s="3682"/>
      <c r="G6" s="3679" t="s">
        <v>1660</v>
      </c>
      <c r="H6" s="3680"/>
      <c r="I6" s="3679" t="s">
        <v>1660</v>
      </c>
      <c r="J6" s="3680"/>
      <c r="K6" s="559" t="s">
        <v>1661</v>
      </c>
      <c r="L6" s="2694"/>
      <c r="M6" s="2695"/>
      <c r="N6" s="2695"/>
      <c r="O6" s="2695"/>
      <c r="P6" s="3692"/>
      <c r="Q6" s="3693"/>
      <c r="R6" s="3673"/>
      <c r="S6" s="3674"/>
      <c r="T6" s="3694"/>
      <c r="U6" s="3695"/>
      <c r="V6" s="3696"/>
      <c r="W6" s="3696"/>
      <c r="X6" s="1355"/>
      <c r="Y6" s="3694"/>
      <c r="Z6" s="3695"/>
      <c r="AA6" s="3668"/>
      <c r="AB6" s="3696"/>
      <c r="AC6" s="3668"/>
    </row>
    <row r="7" spans="1:29" s="108" customFormat="1" ht="15.75" thickBot="1">
      <c r="A7" s="362" t="s">
        <v>1662</v>
      </c>
      <c r="B7" s="363"/>
      <c r="C7" s="364">
        <f>'数据-取费表'!B2</f>
        <v>45420</v>
      </c>
      <c r="D7" s="365">
        <v>100</v>
      </c>
      <c r="E7" s="366"/>
      <c r="F7" s="367">
        <f>SUMIF(58:58,YEAR(E7)&amp;"-"&amp;MONTH(E7),59:59)</f>
        <v>0</v>
      </c>
      <c r="G7" s="366"/>
      <c r="H7" s="365">
        <f>SUMIF(58:58,YEAR(G7)&amp;"-"&amp;MONTH(G7),59:59)</f>
        <v>0</v>
      </c>
      <c r="I7" s="366"/>
      <c r="J7" s="365">
        <f>SUMIF(58:58,YEAR(I7)&amp;"-"&amp;MONTH(I7),59:59)</f>
        <v>0</v>
      </c>
      <c r="K7" s="560"/>
      <c r="L7" s="2696"/>
      <c r="M7" s="2697"/>
      <c r="N7" s="2697"/>
      <c r="O7" s="2697"/>
      <c r="P7" s="3669" t="s">
        <v>1663</v>
      </c>
      <c r="Q7" s="3697"/>
      <c r="R7" s="701" t="s">
        <v>14</v>
      </c>
      <c r="S7" s="702">
        <f t="shared" ref="S7:S15" si="0">F7</f>
        <v>0</v>
      </c>
      <c r="T7" s="701" t="s">
        <v>14</v>
      </c>
      <c r="U7" s="702">
        <f t="shared" ref="U7:U15" si="1">H7</f>
        <v>0</v>
      </c>
      <c r="V7" s="701" t="s">
        <v>14</v>
      </c>
      <c r="W7" s="702">
        <f t="shared" ref="W7:W15" si="2">J7</f>
        <v>0</v>
      </c>
      <c r="X7" s="703"/>
      <c r="Y7" s="3669" t="s">
        <v>1663</v>
      </c>
      <c r="Z7" s="3670"/>
      <c r="AA7" s="704" t="e">
        <f>D7/F7</f>
        <v>#DIV/0!</v>
      </c>
      <c r="AB7" s="704" t="e">
        <f>D7/H7</f>
        <v>#DIV/0!</v>
      </c>
      <c r="AC7" s="704" t="e">
        <f>D7/J7</f>
        <v>#DIV/0!</v>
      </c>
    </row>
    <row r="8" spans="1:29" s="108" customFormat="1" ht="15.75" thickBot="1">
      <c r="A8" s="362" t="s">
        <v>1664</v>
      </c>
      <c r="B8" s="363"/>
      <c r="C8" s="368"/>
      <c r="D8" s="365">
        <v>100</v>
      </c>
      <c r="E8" s="368"/>
      <c r="F8" s="367">
        <f>SUMIF(61:61,E8,62:62)-SUMIF(61:61,C8,62:62)+100</f>
        <v>100</v>
      </c>
      <c r="G8" s="368"/>
      <c r="H8" s="365">
        <f>SUMIF(61:61,G8,62:62)-SUMIF(61:61,C8,62:62)+100</f>
        <v>100</v>
      </c>
      <c r="I8" s="368"/>
      <c r="J8" s="365">
        <f>SUMIF(61:61,I8,62:62)-SUMIF(61:61,C8,62:62)+100</f>
        <v>100</v>
      </c>
      <c r="K8" s="560"/>
      <c r="L8" s="2696"/>
      <c r="M8" s="2697"/>
      <c r="N8" s="2697"/>
      <c r="O8" s="2697"/>
      <c r="P8" s="3669" t="s">
        <v>1666</v>
      </c>
      <c r="Q8" s="3670"/>
      <c r="R8" s="701" t="s">
        <v>14</v>
      </c>
      <c r="S8" s="702">
        <f t="shared" si="0"/>
        <v>100</v>
      </c>
      <c r="T8" s="701" t="s">
        <v>14</v>
      </c>
      <c r="U8" s="702">
        <f t="shared" si="1"/>
        <v>100</v>
      </c>
      <c r="V8" s="701" t="s">
        <v>14</v>
      </c>
      <c r="W8" s="702">
        <f t="shared" si="2"/>
        <v>100</v>
      </c>
      <c r="X8" s="703"/>
      <c r="Y8" s="3669" t="s">
        <v>1666</v>
      </c>
      <c r="Z8" s="3670"/>
      <c r="AA8" s="704">
        <f t="shared" ref="AA8:AA46" si="3">D8/F8</f>
        <v>1</v>
      </c>
      <c r="AB8" s="704">
        <f t="shared" ref="AB8:AB46" si="4">D8/H8</f>
        <v>1</v>
      </c>
      <c r="AC8" s="704">
        <f t="shared" ref="AC8:AC46" si="5">D8/J8</f>
        <v>1</v>
      </c>
    </row>
    <row r="9" spans="1:29" s="108" customFormat="1">
      <c r="A9" s="369" t="s">
        <v>1667</v>
      </c>
      <c r="B9" s="63" t="s">
        <v>1668</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683" t="s">
        <v>1669</v>
      </c>
      <c r="Q9" s="1343" t="str">
        <f t="shared" ref="Q9:Q15" si="6">B9</f>
        <v>用途</v>
      </c>
      <c r="R9" s="701" t="s">
        <v>14</v>
      </c>
      <c r="S9" s="702">
        <f t="shared" si="0"/>
        <v>100</v>
      </c>
      <c r="T9" s="701" t="s">
        <v>14</v>
      </c>
      <c r="U9" s="702">
        <f t="shared" si="1"/>
        <v>100</v>
      </c>
      <c r="V9" s="701" t="s">
        <v>14</v>
      </c>
      <c r="W9" s="702">
        <f t="shared" si="2"/>
        <v>100</v>
      </c>
      <c r="X9" s="703"/>
      <c r="Y9" s="3613" t="s">
        <v>1670</v>
      </c>
      <c r="Z9" s="52" t="str">
        <f t="shared" ref="Z9:Z15" si="7">Q9</f>
        <v>用途</v>
      </c>
      <c r="AA9" s="704">
        <f t="shared" si="3"/>
        <v>1</v>
      </c>
      <c r="AB9" s="704">
        <f t="shared" si="4"/>
        <v>1</v>
      </c>
      <c r="AC9" s="704">
        <f t="shared" si="5"/>
        <v>1</v>
      </c>
    </row>
    <row r="10" spans="1:29" s="378" customFormat="1" ht="27">
      <c r="A10" s="374"/>
      <c r="B10" s="375" t="s">
        <v>1671</v>
      </c>
      <c r="C10" s="3413"/>
      <c r="D10" s="127">
        <v>100</v>
      </c>
      <c r="E10" s="3414"/>
      <c r="F10" s="376">
        <f>SUMIF(65:65,E10,66:66)-SUMIF(65:65,C10,66:66)+100</f>
        <v>100</v>
      </c>
      <c r="G10" s="3413"/>
      <c r="H10" s="127">
        <f>SUMIF(65:65,G10,66:66)-SUMIF(65:65,C10,66:66)+100</f>
        <v>100</v>
      </c>
      <c r="I10" s="3413"/>
      <c r="J10" s="127">
        <f>SUMIF(65:65,I10,66:66)-SUMIF(65:65,C10,66:66)+100</f>
        <v>100</v>
      </c>
      <c r="K10" s="560"/>
      <c r="L10" s="2698"/>
      <c r="M10" s="2699"/>
      <c r="N10" s="2699"/>
      <c r="O10" s="2699"/>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0"/>
      <c r="M11" s="2695"/>
      <c r="N11" s="2695"/>
      <c r="O11" s="2695"/>
      <c r="P11" s="3683"/>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1673</v>
      </c>
      <c r="B15" s="61" t="s">
        <v>1760</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1"/>
      <c r="M15" s="2695"/>
      <c r="N15" s="2695"/>
      <c r="O15" s="2695"/>
      <c r="P15" s="3710" t="s">
        <v>1674</v>
      </c>
      <c r="Q15" s="1352" t="str">
        <f t="shared" si="6"/>
        <v>商业繁华度</v>
      </c>
      <c r="R15" s="705" t="s">
        <v>14</v>
      </c>
      <c r="S15" s="706">
        <f t="shared" si="0"/>
        <v>100</v>
      </c>
      <c r="T15" s="705" t="s">
        <v>14</v>
      </c>
      <c r="U15" s="706">
        <f t="shared" si="1"/>
        <v>100</v>
      </c>
      <c r="V15" s="705" t="s">
        <v>14</v>
      </c>
      <c r="W15" s="706">
        <f t="shared" si="2"/>
        <v>100</v>
      </c>
      <c r="X15" s="1355"/>
      <c r="Y15" s="3703" t="s">
        <v>1674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1"/>
      <c r="M16" s="2695"/>
      <c r="N16" s="2695"/>
      <c r="O16" s="2695"/>
      <c r="P16" s="3711"/>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1"/>
      <c r="M17" s="2695"/>
      <c r="N17" s="2695"/>
      <c r="O17" s="2695"/>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1"/>
      <c r="M18" s="2695"/>
      <c r="N18" s="2695"/>
      <c r="O18" s="2695"/>
      <c r="P18" s="3711"/>
      <c r="Q18" s="1352"/>
      <c r="R18" s="705"/>
      <c r="S18" s="706"/>
      <c r="T18" s="705"/>
      <c r="U18" s="706"/>
      <c r="V18" s="705"/>
      <c r="W18" s="706"/>
      <c r="X18" s="1355"/>
      <c r="Y18" s="3704"/>
      <c r="Z18" s="1356"/>
      <c r="AA18" s="1353">
        <v>1</v>
      </c>
      <c r="AB18" s="1353">
        <v>1</v>
      </c>
      <c r="AC18" s="1353">
        <v>1</v>
      </c>
    </row>
    <row r="19" spans="1:29" ht="42.75">
      <c r="A19" s="379"/>
      <c r="B19" s="402" t="s">
        <v>1761</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1"/>
      <c r="M19" s="2695"/>
      <c r="N19" s="2695"/>
      <c r="O19" s="2695"/>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1"/>
      <c r="M20" s="2695"/>
      <c r="N20" s="2695"/>
      <c r="O20" s="2695"/>
      <c r="P20" s="3711"/>
      <c r="Q20" s="1352"/>
      <c r="R20" s="705"/>
      <c r="S20" s="706"/>
      <c r="T20" s="705"/>
      <c r="U20" s="706"/>
      <c r="V20" s="705"/>
      <c r="W20" s="706"/>
      <c r="X20" s="1355"/>
      <c r="Y20" s="3704"/>
      <c r="Z20" s="1356"/>
      <c r="AA20" s="1353">
        <v>1</v>
      </c>
      <c r="AB20" s="1353">
        <v>1</v>
      </c>
      <c r="AC20" s="1353">
        <v>1</v>
      </c>
    </row>
    <row r="21" spans="1:29" ht="28.5">
      <c r="A21" s="379"/>
      <c r="B21" s="1131" t="s">
        <v>1762</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1"/>
      <c r="M22" s="2695"/>
      <c r="N22" s="2695"/>
      <c r="O22" s="2695"/>
      <c r="P22" s="3711"/>
      <c r="Q22" s="1352"/>
      <c r="R22" s="705"/>
      <c r="S22" s="706"/>
      <c r="T22" s="705"/>
      <c r="U22" s="706"/>
      <c r="V22" s="705"/>
      <c r="W22" s="706"/>
      <c r="X22" s="1355"/>
      <c r="Y22" s="370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1"/>
      <c r="M24" s="2695"/>
      <c r="N24" s="2695"/>
      <c r="O24" s="2695"/>
      <c r="P24" s="3711"/>
      <c r="Q24" s="1352"/>
      <c r="R24" s="705"/>
      <c r="S24" s="706"/>
      <c r="T24" s="705"/>
      <c r="U24" s="706"/>
      <c r="V24" s="705"/>
      <c r="W24" s="706"/>
      <c r="X24" s="1355"/>
      <c r="Y24" s="3704"/>
      <c r="Z24" s="1356"/>
      <c r="AA24" s="1353">
        <v>1</v>
      </c>
      <c r="AB24" s="1353">
        <v>1</v>
      </c>
      <c r="AC24" s="1353">
        <v>1</v>
      </c>
    </row>
    <row r="25" spans="1:29" ht="15">
      <c r="A25" s="379"/>
      <c r="B25" s="375" t="s">
        <v>1763</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1764</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1765</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1677</v>
      </c>
      <c r="B32" s="63" t="s">
        <v>1767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705" t="s">
        <v>1679</v>
      </c>
      <c r="Q32" s="1352" t="str">
        <f t="shared" si="11"/>
        <v>商业类型</v>
      </c>
      <c r="R32" s="705" t="s">
        <v>14</v>
      </c>
      <c r="S32" s="706">
        <f t="shared" si="12"/>
        <v>100</v>
      </c>
      <c r="T32" s="705" t="s">
        <v>14</v>
      </c>
      <c r="U32" s="706">
        <f t="shared" si="13"/>
        <v>100</v>
      </c>
      <c r="V32" s="705" t="s">
        <v>14</v>
      </c>
      <c r="W32" s="706">
        <f t="shared" si="14"/>
        <v>100</v>
      </c>
      <c r="X32" s="1355"/>
      <c r="Y32" s="3708" t="s">
        <v>1679</v>
      </c>
      <c r="Z32" s="1356" t="str">
        <f t="shared" si="15"/>
        <v>商业类型</v>
      </c>
      <c r="AA32" s="1353">
        <f t="shared" si="3"/>
        <v>1</v>
      </c>
      <c r="AB32" s="1353">
        <f t="shared" si="4"/>
        <v>1</v>
      </c>
      <c r="AC32" s="1353">
        <f t="shared" si="5"/>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0"/>
      <c r="M33" s="2702"/>
      <c r="N33" s="2702"/>
      <c r="O33" s="2702"/>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1681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1"/>
      <c r="M34" s="2695"/>
      <c r="N34" s="2695"/>
      <c r="O34" s="2695"/>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1"/>
      <c r="M35" s="2695"/>
      <c r="N35" s="2695"/>
      <c r="O35" s="2695"/>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1769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1"/>
      <c r="M36" s="2695"/>
      <c r="N36" s="2695"/>
      <c r="O36" s="2695"/>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1770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6"/>
      <c r="M37" s="2697"/>
      <c r="N37" s="2697"/>
      <c r="O37" s="2697"/>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1771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706" t="s">
        <v>1679</v>
      </c>
      <c r="Q38" s="1352" t="str">
        <f t="shared" si="11"/>
        <v>业态</v>
      </c>
      <c r="R38" s="705" t="s">
        <v>14</v>
      </c>
      <c r="S38" s="706">
        <f t="shared" si="12"/>
        <v>100</v>
      </c>
      <c r="T38" s="705" t="s">
        <v>14</v>
      </c>
      <c r="U38" s="706">
        <f t="shared" si="13"/>
        <v>100</v>
      </c>
      <c r="V38" s="705" t="s">
        <v>14</v>
      </c>
      <c r="W38" s="706">
        <f t="shared" si="14"/>
        <v>100</v>
      </c>
      <c r="X38" s="1355"/>
      <c r="Y38" s="3708" t="s">
        <v>1679</v>
      </c>
      <c r="Z38" s="1356" t="str">
        <f t="shared" si="15"/>
        <v>业态</v>
      </c>
      <c r="AA38" s="1353">
        <f t="shared" si="3"/>
        <v>1</v>
      </c>
      <c r="AB38" s="1353">
        <f t="shared" si="4"/>
        <v>1</v>
      </c>
      <c r="AC38" s="1353">
        <f t="shared" si="5"/>
        <v>1</v>
      </c>
    </row>
    <row r="39" spans="1:29" ht="15">
      <c r="A39" s="423"/>
      <c r="B39" s="375" t="s">
        <v>1772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1"/>
      <c r="M39" s="2695"/>
      <c r="N39" s="2695"/>
      <c r="O39" s="2695"/>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1774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1775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1"/>
      <c r="M42" s="2695"/>
      <c r="N42" s="2695"/>
      <c r="O42" s="2695"/>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1690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1"/>
      <c r="M43" s="2695"/>
      <c r="N43" s="2695"/>
      <c r="O43" s="2695"/>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1691</v>
      </c>
      <c r="B47" s="431"/>
      <c r="C47" s="1154" t="s">
        <v>0</v>
      </c>
      <c r="D47" s="1155"/>
      <c r="E47" s="1156"/>
      <c r="F47" s="1157"/>
      <c r="G47" s="1158"/>
      <c r="H47" s="1159"/>
      <c r="I47" s="1156"/>
      <c r="J47" s="1159"/>
      <c r="K47" s="714"/>
      <c r="L47" s="2703"/>
      <c r="M47" s="2704"/>
      <c r="N47" s="2695"/>
      <c r="O47" s="2704"/>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75" thickBot="1">
      <c r="A48" s="437" t="s">
        <v>1776</v>
      </c>
      <c r="B48" s="438"/>
      <c r="C48" s="1160" t="e">
        <f>R49</f>
        <v>#DIV/0!</v>
      </c>
      <c r="D48" s="2317" t="s">
        <v>2121</v>
      </c>
      <c r="E48" s="1161" t="e">
        <f>R48</f>
        <v>#DIV/0!</v>
      </c>
      <c r="F48" s="2318"/>
      <c r="G48" s="1160" t="e">
        <f>T48</f>
        <v>#DIV/0!</v>
      </c>
      <c r="H48" s="2318"/>
      <c r="I48" s="1161" t="e">
        <f>V48</f>
        <v>#DIV/0!</v>
      </c>
      <c r="J48" s="2318"/>
      <c r="K48" s="2320">
        <f>F48+H48+J48</f>
        <v>0</v>
      </c>
      <c r="L48" s="2703"/>
      <c r="M48" s="2704"/>
      <c r="N48" s="2695"/>
      <c r="O48" s="270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1777</v>
      </c>
      <c r="B49" s="442"/>
      <c r="C49" s="1163" t="e">
        <f>R49</f>
        <v>#DIV/0!</v>
      </c>
      <c r="D49" s="1163"/>
      <c r="E49" s="1163"/>
      <c r="F49" s="1163"/>
      <c r="G49" s="1163"/>
      <c r="H49" s="1163"/>
      <c r="I49" s="1163"/>
      <c r="J49" s="1163"/>
      <c r="K49" s="715"/>
      <c r="L49" s="2703"/>
      <c r="M49" s="2704"/>
      <c r="N49" s="2695"/>
      <c r="O49" s="270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1778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1779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1780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1781</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1662</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c r="E59" s="461"/>
      <c r="F59" s="461"/>
      <c r="G59" s="461"/>
      <c r="H59" s="461"/>
      <c r="I59" s="461"/>
      <c r="J59" s="461"/>
      <c r="K59" s="461"/>
      <c r="L59" s="461"/>
      <c r="M59" s="462"/>
      <c r="N59" s="461"/>
      <c r="O59" s="462"/>
      <c r="P59" s="2721"/>
      <c r="Q59" s="2641"/>
      <c r="R59" s="2641"/>
      <c r="S59" s="2641"/>
      <c r="T59" s="2641"/>
      <c r="U59" s="2641"/>
      <c r="V59" s="2641"/>
      <c r="W59" s="2641"/>
      <c r="X59" s="2641"/>
      <c r="Y59" s="2641"/>
      <c r="Z59" s="2641"/>
      <c r="AA59" s="2641"/>
      <c r="AB59" s="2641"/>
      <c r="AC59" s="2641"/>
    </row>
    <row r="60" spans="1:29" s="108" customFormat="1" ht="15.75" thickBot="1">
      <c r="A60" s="464" t="s">
        <v>1699</v>
      </c>
      <c r="B60" s="465"/>
      <c r="C60" s="466"/>
      <c r="D60" s="467"/>
      <c r="E60" s="467"/>
      <c r="F60" s="467"/>
      <c r="G60" s="467"/>
      <c r="H60" s="467"/>
      <c r="I60" s="467"/>
      <c r="J60" s="467"/>
      <c r="K60" s="467"/>
      <c r="L60" s="467"/>
      <c r="M60" s="468"/>
      <c r="N60" s="467"/>
      <c r="O60" s="468"/>
      <c r="P60" s="2721"/>
      <c r="Q60" s="2718"/>
      <c r="R60" s="2641"/>
      <c r="S60" s="2641"/>
      <c r="T60" s="2641"/>
      <c r="U60" s="2641"/>
      <c r="V60" s="2641"/>
      <c r="W60" s="2641"/>
      <c r="X60" s="2641"/>
      <c r="Y60" s="2641"/>
      <c r="Z60" s="2641"/>
      <c r="AA60" s="2641"/>
      <c r="AB60" s="2641"/>
      <c r="AC60" s="2641"/>
    </row>
    <row r="61" spans="1:29" s="108" customFormat="1" ht="15">
      <c r="A61" s="470" t="s">
        <v>1664</v>
      </c>
      <c r="B61" s="459"/>
      <c r="C61" s="471" t="s">
        <v>1759</v>
      </c>
      <c r="D61" s="472"/>
      <c r="E61" s="472"/>
      <c r="F61" s="472"/>
      <c r="G61" s="472"/>
      <c r="H61" s="472"/>
      <c r="I61" s="472"/>
      <c r="J61" s="472"/>
      <c r="K61" s="472"/>
      <c r="L61" s="473"/>
      <c r="M61" s="474"/>
      <c r="N61" s="2731"/>
      <c r="O61" s="2731"/>
      <c r="P61" s="2722"/>
      <c r="Q61" s="2718"/>
      <c r="R61" s="2641"/>
      <c r="S61" s="2641"/>
      <c r="T61" s="2641"/>
      <c r="U61" s="2641"/>
      <c r="V61" s="2641"/>
      <c r="W61" s="2641"/>
      <c r="X61" s="2641"/>
      <c r="Y61" s="2641"/>
      <c r="Z61" s="2641"/>
      <c r="AA61" s="2641"/>
      <c r="AB61" s="2641"/>
      <c r="AC61" s="2641"/>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1"/>
      <c r="S62" s="2641"/>
      <c r="T62" s="2641"/>
      <c r="U62" s="2641"/>
      <c r="V62" s="2641"/>
      <c r="W62" s="2641"/>
      <c r="X62" s="2641"/>
      <c r="Y62" s="2641"/>
      <c r="Z62" s="2641"/>
      <c r="AA62" s="2641"/>
      <c r="AB62" s="2641"/>
      <c r="AC62" s="2641"/>
    </row>
    <row r="63" spans="1:29">
      <c r="A63" s="476" t="s">
        <v>1702</v>
      </c>
      <c r="B63" s="477" t="s">
        <v>1668</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1671</v>
      </c>
      <c r="C65" s="532"/>
      <c r="D65" s="532"/>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c r="D66" s="485"/>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1672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c r="D68" s="498"/>
      <c r="E68" s="498"/>
      <c r="F68" s="498"/>
      <c r="G68" s="498"/>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1673</v>
      </c>
      <c r="B76" s="477" t="s">
        <v>1703</v>
      </c>
      <c r="C76" s="522" t="s">
        <v>1704</v>
      </c>
      <c r="D76" s="522" t="s">
        <v>1705</v>
      </c>
      <c r="E76" s="522" t="s">
        <v>1706</v>
      </c>
      <c r="F76" s="522" t="s">
        <v>1707</v>
      </c>
      <c r="G76" s="522" t="s">
        <v>1708</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1709</v>
      </c>
      <c r="C78" s="527" t="s">
        <v>1704</v>
      </c>
      <c r="D78" s="527" t="s">
        <v>1705</v>
      </c>
      <c r="E78" s="527" t="s">
        <v>1706</v>
      </c>
      <c r="F78" s="527" t="s">
        <v>1707</v>
      </c>
      <c r="G78" s="527" t="s">
        <v>1708</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1710</v>
      </c>
      <c r="C80" s="527" t="s">
        <v>1704</v>
      </c>
      <c r="D80" s="527" t="s">
        <v>1705</v>
      </c>
      <c r="E80" s="527" t="s">
        <v>1706</v>
      </c>
      <c r="F80" s="527" t="s">
        <v>1707</v>
      </c>
      <c r="G80" s="527" t="s">
        <v>1708</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1762</v>
      </c>
      <c r="C82" s="608" t="s">
        <v>1782</v>
      </c>
      <c r="D82" s="608" t="s">
        <v>1783</v>
      </c>
      <c r="E82" s="608" t="s">
        <v>1784</v>
      </c>
      <c r="F82" s="608" t="s">
        <v>1785</v>
      </c>
      <c r="G82" s="608" t="s">
        <v>1786</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1716</v>
      </c>
      <c r="C84" s="527" t="s">
        <v>1704</v>
      </c>
      <c r="D84" s="527" t="s">
        <v>1705</v>
      </c>
      <c r="E84" s="527" t="s">
        <v>1706</v>
      </c>
      <c r="F84" s="527" t="s">
        <v>1707</v>
      </c>
      <c r="G84" s="527" t="s">
        <v>1708</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1787</v>
      </c>
      <c r="C86" s="503"/>
      <c r="D86" s="503"/>
      <c r="E86" s="503"/>
      <c r="F86" s="503"/>
      <c r="G86" s="503"/>
      <c r="H86" s="503"/>
      <c r="I86" s="503"/>
      <c r="J86" s="503"/>
      <c r="K86" s="503"/>
      <c r="L86" s="529"/>
      <c r="M86" s="530"/>
      <c r="N86" s="2731"/>
      <c r="O86" s="2731"/>
      <c r="P86" s="2723"/>
      <c r="Q86" s="2718"/>
      <c r="R86" s="2641"/>
      <c r="S86" s="2641"/>
      <c r="T86" s="2641"/>
      <c r="U86" s="2641"/>
      <c r="V86" s="2641"/>
      <c r="W86" s="2641"/>
      <c r="X86" s="2641"/>
      <c r="Y86" s="2641"/>
      <c r="Z86" s="2641"/>
      <c r="AA86" s="2641"/>
      <c r="AB86" s="2641"/>
      <c r="AC86" s="264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1"/>
      <c r="S87" s="2641"/>
      <c r="T87" s="2641"/>
      <c r="U87" s="2641"/>
      <c r="V87" s="2641"/>
      <c r="W87" s="2641"/>
      <c r="X87" s="2641"/>
      <c r="Y87" s="2641"/>
      <c r="Z87" s="2641"/>
      <c r="AA87" s="2641"/>
      <c r="AB87" s="2641"/>
      <c r="AC87" s="2641"/>
    </row>
    <row r="88" spans="1:29" s="108" customFormat="1" ht="15.75" thickTop="1">
      <c r="A88" s="528"/>
      <c r="B88" s="487" t="str">
        <f>B26</f>
        <v>平面位置/可视性</v>
      </c>
      <c r="C88" s="503"/>
      <c r="D88" s="503"/>
      <c r="E88" s="503"/>
      <c r="F88" s="1927"/>
      <c r="G88" s="503"/>
      <c r="H88" s="503"/>
      <c r="I88" s="503"/>
      <c r="J88" s="503"/>
      <c r="K88" s="503"/>
      <c r="L88" s="503"/>
      <c r="M88" s="530"/>
      <c r="N88" s="2731"/>
      <c r="O88" s="2731"/>
      <c r="P88" s="2723"/>
      <c r="Q88" s="2718"/>
      <c r="R88" s="2641"/>
      <c r="S88" s="2641"/>
      <c r="T88" s="2641"/>
      <c r="U88" s="2641"/>
      <c r="V88" s="2641"/>
      <c r="W88" s="2641"/>
      <c r="X88" s="2641"/>
      <c r="Y88" s="2641"/>
      <c r="Z88" s="2641"/>
      <c r="AA88" s="2641"/>
      <c r="AB88" s="2641"/>
      <c r="AC88" s="2641"/>
    </row>
    <row r="89" spans="1:29" s="108" customFormat="1" ht="15.75" thickBot="1">
      <c r="A89" s="528"/>
      <c r="B89" s="492"/>
      <c r="C89" s="509"/>
      <c r="D89" s="485"/>
      <c r="E89" s="485"/>
      <c r="F89" s="485"/>
      <c r="G89" s="485"/>
      <c r="H89" s="485"/>
      <c r="I89" s="485"/>
      <c r="J89" s="485"/>
      <c r="K89" s="485"/>
      <c r="L89" s="485"/>
      <c r="M89" s="485"/>
      <c r="N89" s="2733"/>
      <c r="O89" s="2733"/>
      <c r="P89" s="2723"/>
      <c r="Q89" s="2718"/>
      <c r="R89" s="2641"/>
      <c r="S89" s="2641"/>
      <c r="T89" s="2641"/>
      <c r="U89" s="2641"/>
      <c r="V89" s="2641"/>
      <c r="W89" s="2641"/>
      <c r="X89" s="2641"/>
      <c r="Y89" s="2641"/>
      <c r="Z89" s="2641"/>
      <c r="AA89" s="2641"/>
      <c r="AB89" s="2641"/>
      <c r="AC89" s="2641"/>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1677</v>
      </c>
      <c r="B100" s="477" t="s">
        <v>1788</v>
      </c>
      <c r="C100" s="479"/>
      <c r="D100" s="479"/>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3"/>
      <c r="O101" s="2733"/>
      <c r="P101" s="2723"/>
      <c r="Q101" s="2718"/>
      <c r="R101" s="2704"/>
      <c r="S101" s="2704"/>
      <c r="T101" s="2704"/>
      <c r="U101" s="2704"/>
      <c r="V101" s="2704"/>
      <c r="W101" s="2704"/>
      <c r="X101" s="2704"/>
      <c r="Y101" s="2704"/>
      <c r="Z101" s="2704"/>
      <c r="AA101" s="2704"/>
      <c r="AB101" s="2704"/>
      <c r="AC101" s="2704"/>
    </row>
    <row r="102" spans="1:29" ht="15.75" thickTop="1">
      <c r="A102" s="483"/>
      <c r="B102" s="487" t="s">
        <v>1720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c r="D103" s="544"/>
      <c r="E103" s="544"/>
      <c r="F103" s="544"/>
      <c r="G103" s="544"/>
      <c r="H103" s="544"/>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c r="D104" s="485"/>
      <c r="E104" s="485"/>
      <c r="F104" s="485"/>
      <c r="G104" s="485"/>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1721</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1723</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1725</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1789</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1790</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1791</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1792</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1727</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12"/>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108132.23000000003</v>
      </c>
      <c r="E3" s="1954"/>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1752</v>
      </c>
      <c r="B4" s="356"/>
      <c r="C4" s="3684" t="s">
        <v>1753</v>
      </c>
      <c r="D4" s="3685"/>
      <c r="E4" s="3686" t="s">
        <v>1754</v>
      </c>
      <c r="F4" s="3687"/>
      <c r="G4" s="3684" t="s">
        <v>1755</v>
      </c>
      <c r="H4" s="3685"/>
      <c r="I4" s="3684" t="s">
        <v>1756</v>
      </c>
      <c r="J4" s="3685"/>
      <c r="K4" s="559" t="s">
        <v>1757</v>
      </c>
      <c r="L4" s="2694"/>
      <c r="M4" s="2695"/>
      <c r="N4" s="2695"/>
      <c r="O4" s="2695"/>
      <c r="P4" s="3718" t="s">
        <v>1758</v>
      </c>
      <c r="Q4" s="3719"/>
      <c r="R4" s="3713" t="s">
        <v>1754</v>
      </c>
      <c r="S4" s="3714"/>
      <c r="T4" s="3713" t="s">
        <v>1755</v>
      </c>
      <c r="U4" s="3714"/>
      <c r="V4" s="3722" t="s">
        <v>1756</v>
      </c>
      <c r="W4" s="3722"/>
      <c r="X4" s="1958"/>
      <c r="Y4" s="3713" t="s">
        <v>1758</v>
      </c>
      <c r="Z4" s="3714"/>
      <c r="AA4" s="3712" t="s">
        <v>1754</v>
      </c>
      <c r="AB4" s="3712" t="s">
        <v>1755</v>
      </c>
      <c r="AC4" s="3715" t="s">
        <v>1756</v>
      </c>
    </row>
    <row r="5" spans="1:29" ht="15">
      <c r="A5" s="358"/>
      <c r="B5" s="359"/>
      <c r="C5" s="3677" t="s">
        <v>1656</v>
      </c>
      <c r="D5" s="3678"/>
      <c r="E5" s="3675" t="s">
        <v>1657</v>
      </c>
      <c r="F5" s="3676"/>
      <c r="G5" s="3677" t="s">
        <v>1658</v>
      </c>
      <c r="H5" s="3678"/>
      <c r="I5" s="3677" t="s">
        <v>1659</v>
      </c>
      <c r="J5" s="3678"/>
      <c r="K5" s="559"/>
      <c r="L5" s="2694"/>
      <c r="M5" s="2695"/>
      <c r="N5" s="2695"/>
      <c r="O5" s="2695"/>
      <c r="P5" s="3720"/>
      <c r="Q5" s="3691"/>
      <c r="R5" s="3673"/>
      <c r="S5" s="3674"/>
      <c r="T5" s="3673"/>
      <c r="U5" s="3674"/>
      <c r="V5" s="3696"/>
      <c r="W5" s="3696"/>
      <c r="X5" s="1355"/>
      <c r="Y5" s="3673"/>
      <c r="Z5" s="3674"/>
      <c r="AA5" s="3667"/>
      <c r="AB5" s="3667"/>
      <c r="AC5" s="3716"/>
    </row>
    <row r="6" spans="1:29" ht="15.75" thickBot="1">
      <c r="A6" s="360"/>
      <c r="B6" s="361"/>
      <c r="C6" s="3679" t="s">
        <v>1660</v>
      </c>
      <c r="D6" s="3680"/>
      <c r="E6" s="3681" t="s">
        <v>1660</v>
      </c>
      <c r="F6" s="3682"/>
      <c r="G6" s="3679" t="s">
        <v>1660</v>
      </c>
      <c r="H6" s="3680"/>
      <c r="I6" s="3679" t="s">
        <v>1660</v>
      </c>
      <c r="J6" s="3680"/>
      <c r="K6" s="559" t="s">
        <v>1661</v>
      </c>
      <c r="L6" s="2694"/>
      <c r="M6" s="2695"/>
      <c r="N6" s="2695"/>
      <c r="O6" s="2695"/>
      <c r="P6" s="3721"/>
      <c r="Q6" s="3693"/>
      <c r="R6" s="3673"/>
      <c r="S6" s="3674"/>
      <c r="T6" s="3694"/>
      <c r="U6" s="3695"/>
      <c r="V6" s="3696"/>
      <c r="W6" s="3696"/>
      <c r="X6" s="1355"/>
      <c r="Y6" s="3694"/>
      <c r="Z6" s="3695"/>
      <c r="AA6" s="3668"/>
      <c r="AB6" s="3668"/>
      <c r="AC6" s="3717"/>
    </row>
    <row r="7" spans="1:29" s="108" customFormat="1" ht="15.75" thickBot="1">
      <c r="A7" s="362" t="s">
        <v>1662</v>
      </c>
      <c r="B7" s="363"/>
      <c r="C7" s="364">
        <f>'数据-取费表'!B2</f>
        <v>45420</v>
      </c>
      <c r="D7" s="365">
        <v>100</v>
      </c>
      <c r="E7" s="366"/>
      <c r="F7" s="367">
        <f>SUMIF(59:59,YEAR(E7)&amp;"-"&amp;MONTH(E7),60:60)</f>
        <v>0</v>
      </c>
      <c r="G7" s="366"/>
      <c r="H7" s="365">
        <f>SUMIF(59:59,YEAR(G7)&amp;"-"&amp;MONTH(G7),60:60)</f>
        <v>0</v>
      </c>
      <c r="I7" s="366"/>
      <c r="J7" s="365">
        <f>SUMIF(59:59,YEAR(I7)&amp;"-"&amp;MONTH(I7),60:60)</f>
        <v>0</v>
      </c>
      <c r="K7" s="560"/>
      <c r="L7" s="2696"/>
      <c r="M7" s="2697"/>
      <c r="N7" s="2697"/>
      <c r="O7" s="2697"/>
      <c r="P7" s="3723" t="s">
        <v>1663</v>
      </c>
      <c r="Q7" s="3697"/>
      <c r="R7" s="701" t="s">
        <v>14</v>
      </c>
      <c r="S7" s="702">
        <f t="shared" ref="S7:S15" si="0">F7</f>
        <v>0</v>
      </c>
      <c r="T7" s="701" t="s">
        <v>14</v>
      </c>
      <c r="U7" s="702">
        <f t="shared" ref="U7:U15" si="1">H7</f>
        <v>0</v>
      </c>
      <c r="V7" s="701" t="s">
        <v>14</v>
      </c>
      <c r="W7" s="702">
        <f t="shared" ref="W7:W15" si="2">J7</f>
        <v>0</v>
      </c>
      <c r="X7" s="703"/>
      <c r="Y7" s="3669" t="s">
        <v>1663</v>
      </c>
      <c r="Z7" s="3670"/>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6"/>
      <c r="M8" s="2697"/>
      <c r="N8" s="2697"/>
      <c r="O8" s="2697"/>
      <c r="P8" s="3723" t="s">
        <v>1666</v>
      </c>
      <c r="Q8" s="3670"/>
      <c r="R8" s="701" t="s">
        <v>14</v>
      </c>
      <c r="S8" s="702">
        <f t="shared" si="0"/>
        <v>100</v>
      </c>
      <c r="T8" s="701" t="s">
        <v>14</v>
      </c>
      <c r="U8" s="702">
        <f t="shared" si="1"/>
        <v>100</v>
      </c>
      <c r="V8" s="701" t="s">
        <v>14</v>
      </c>
      <c r="W8" s="702">
        <f t="shared" si="2"/>
        <v>100</v>
      </c>
      <c r="X8" s="703"/>
      <c r="Y8" s="3669" t="s">
        <v>1666</v>
      </c>
      <c r="Z8" s="3670"/>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6"/>
      <c r="M9" s="2697"/>
      <c r="N9" s="2697"/>
      <c r="O9" s="2697"/>
      <c r="P9" s="3683" t="s">
        <v>1669</v>
      </c>
      <c r="Q9" s="1343" t="str">
        <f t="shared" ref="Q9:Q15" si="6">B9</f>
        <v>用途</v>
      </c>
      <c r="R9" s="701" t="s">
        <v>14</v>
      </c>
      <c r="S9" s="702">
        <f t="shared" si="0"/>
        <v>100</v>
      </c>
      <c r="T9" s="701" t="s">
        <v>14</v>
      </c>
      <c r="U9" s="702">
        <f t="shared" si="1"/>
        <v>100</v>
      </c>
      <c r="V9" s="701" t="s">
        <v>14</v>
      </c>
      <c r="W9" s="702">
        <f t="shared" si="2"/>
        <v>100</v>
      </c>
      <c r="X9" s="703"/>
      <c r="Y9" s="3613" t="s">
        <v>1670</v>
      </c>
      <c r="Z9" s="52" t="str">
        <f t="shared" ref="Z9:Z15" si="7">Q9</f>
        <v>用途</v>
      </c>
      <c r="AA9" s="704">
        <f t="shared" si="3"/>
        <v>1</v>
      </c>
      <c r="AB9" s="704">
        <f t="shared" si="4"/>
        <v>1</v>
      </c>
      <c r="AC9" s="1959">
        <f t="shared" si="5"/>
        <v>1</v>
      </c>
    </row>
    <row r="10" spans="1:29" s="378" customFormat="1" ht="27">
      <c r="A10" s="374"/>
      <c r="B10" s="375" t="s">
        <v>1671</v>
      </c>
      <c r="C10" s="3413"/>
      <c r="D10" s="127">
        <v>100</v>
      </c>
      <c r="E10" s="3413"/>
      <c r="F10" s="127">
        <f>SUMIF(66:66,E10,67:67)-SUMIF(66:66,C10,67:67)+100</f>
        <v>100</v>
      </c>
      <c r="G10" s="3414"/>
      <c r="H10" s="127">
        <f>SUMIF(66:66,G10,67:67)-SUMIF(66:66,C10,67:67)+100</f>
        <v>100</v>
      </c>
      <c r="I10" s="3413"/>
      <c r="J10" s="127">
        <f>SUMIF(66:66,I10,67:67)-SUMIF(66:66,C10,67:67)+100</f>
        <v>100</v>
      </c>
      <c r="K10" s="560"/>
      <c r="L10" s="2698"/>
      <c r="M10" s="2699"/>
      <c r="N10" s="2699"/>
      <c r="O10" s="2699"/>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683"/>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6"/>
      <c r="M12" s="2697"/>
      <c r="N12" s="2697"/>
      <c r="O12" s="2697"/>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1"/>
      <c r="M13" s="2695"/>
      <c r="N13" s="2695"/>
      <c r="O13" s="2695"/>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1"/>
      <c r="M14" s="2695"/>
      <c r="N14" s="2695"/>
      <c r="O14" s="2695"/>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1673</v>
      </c>
      <c r="B15" s="577" t="s">
        <v>1794</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1"/>
      <c r="M15" s="2695"/>
      <c r="N15" s="2695"/>
      <c r="O15" s="2695"/>
      <c r="P15" s="3710" t="s">
        <v>1674</v>
      </c>
      <c r="Q15" s="1352" t="str">
        <f t="shared" si="6"/>
        <v>办公集聚程度</v>
      </c>
      <c r="R15" s="705" t="s">
        <v>14</v>
      </c>
      <c r="S15" s="706">
        <f t="shared" si="0"/>
        <v>100</v>
      </c>
      <c r="T15" s="705" t="s">
        <v>14</v>
      </c>
      <c r="U15" s="706">
        <f t="shared" si="1"/>
        <v>100</v>
      </c>
      <c r="V15" s="705" t="s">
        <v>14</v>
      </c>
      <c r="W15" s="706">
        <f t="shared" si="2"/>
        <v>100</v>
      </c>
      <c r="X15" s="1355"/>
      <c r="Y15" s="3703"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01"/>
      <c r="M16" s="2695"/>
      <c r="N16" s="2695"/>
      <c r="O16" s="2695"/>
      <c r="P16" s="3711"/>
      <c r="Q16" s="1352"/>
      <c r="R16" s="705"/>
      <c r="S16" s="706"/>
      <c r="T16" s="705"/>
      <c r="U16" s="706"/>
      <c r="V16" s="705"/>
      <c r="W16" s="706"/>
      <c r="X16" s="1355"/>
      <c r="Y16" s="370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1"/>
      <c r="M17" s="2695"/>
      <c r="N17" s="2695"/>
      <c r="O17" s="2695"/>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01"/>
      <c r="M18" s="2695"/>
      <c r="N18" s="2695"/>
      <c r="O18" s="2695"/>
      <c r="P18" s="3711"/>
      <c r="Q18" s="1352"/>
      <c r="R18" s="705"/>
      <c r="S18" s="706"/>
      <c r="T18" s="705"/>
      <c r="U18" s="706"/>
      <c r="V18" s="705"/>
      <c r="W18" s="706"/>
      <c r="X18" s="1355"/>
      <c r="Y18" s="3704"/>
      <c r="Z18" s="1356"/>
      <c r="AA18" s="1353">
        <v>1</v>
      </c>
      <c r="AB18" s="1353">
        <v>1</v>
      </c>
      <c r="AC18" s="1962">
        <v>1</v>
      </c>
    </row>
    <row r="19" spans="1:29" ht="42.75">
      <c r="A19" s="379"/>
      <c r="B19" s="579" t="s">
        <v>1795</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1"/>
      <c r="M19" s="2695"/>
      <c r="N19" s="2695"/>
      <c r="O19" s="2695"/>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01"/>
      <c r="M20" s="2695"/>
      <c r="N20" s="2695"/>
      <c r="O20" s="2695"/>
      <c r="P20" s="3711"/>
      <c r="Q20" s="1352"/>
      <c r="R20" s="705"/>
      <c r="S20" s="706"/>
      <c r="T20" s="705"/>
      <c r="U20" s="706"/>
      <c r="V20" s="705"/>
      <c r="W20" s="706"/>
      <c r="X20" s="1355"/>
      <c r="Y20" s="3704"/>
      <c r="Z20" s="1356"/>
      <c r="AA20" s="1353">
        <v>1</v>
      </c>
      <c r="AB20" s="1353">
        <v>1</v>
      </c>
      <c r="AC20" s="1962">
        <v>1</v>
      </c>
    </row>
    <row r="21" spans="1:29" ht="28.5">
      <c r="A21" s="379"/>
      <c r="B21" s="581" t="s">
        <v>1796</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1"/>
      <c r="M21" s="2695"/>
      <c r="N21" s="2695"/>
      <c r="O21" s="2695"/>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01"/>
      <c r="M22" s="2695"/>
      <c r="N22" s="2695"/>
      <c r="O22" s="2695"/>
      <c r="P22" s="3711"/>
      <c r="Q22" s="1352"/>
      <c r="R22" s="705"/>
      <c r="S22" s="706"/>
      <c r="T22" s="705"/>
      <c r="U22" s="706"/>
      <c r="V22" s="705"/>
      <c r="W22" s="706"/>
      <c r="X22" s="1355"/>
      <c r="Y22" s="3704"/>
      <c r="Z22" s="1356"/>
      <c r="AA22" s="1353">
        <v>1</v>
      </c>
      <c r="AB22" s="1353">
        <v>1</v>
      </c>
      <c r="AC22" s="1962">
        <v>1</v>
      </c>
    </row>
    <row r="23" spans="1:29" ht="42.75">
      <c r="A23" s="379"/>
      <c r="B23" s="579" t="s">
        <v>1797</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1"/>
      <c r="M23" s="2695"/>
      <c r="N23" s="2695"/>
      <c r="O23" s="2695"/>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01"/>
      <c r="M24" s="2695"/>
      <c r="N24" s="2695"/>
      <c r="O24" s="2695"/>
      <c r="P24" s="3711"/>
      <c r="Q24" s="1352"/>
      <c r="R24" s="705"/>
      <c r="S24" s="706"/>
      <c r="T24" s="705"/>
      <c r="U24" s="706"/>
      <c r="V24" s="705"/>
      <c r="W24" s="706"/>
      <c r="X24" s="1355"/>
      <c r="Y24" s="3704"/>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701"/>
      <c r="M25" s="2695"/>
      <c r="N25" s="2695"/>
      <c r="O25" s="2695"/>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1"/>
      <c r="M26" s="2695"/>
      <c r="N26" s="2695"/>
      <c r="O26" s="2695"/>
      <c r="P26" s="3711"/>
      <c r="Q26" s="1352"/>
      <c r="R26" s="705"/>
      <c r="S26" s="706"/>
      <c r="T26" s="705"/>
      <c r="U26" s="706"/>
      <c r="V26" s="705"/>
      <c r="W26" s="706"/>
      <c r="X26" s="1355"/>
      <c r="Y26" s="3704"/>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6"/>
      <c r="M28" s="2697"/>
      <c r="N28" s="2697"/>
      <c r="O28" s="2697"/>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1"/>
      <c r="M29" s="2695"/>
      <c r="N29" s="2695"/>
      <c r="O29" s="2695"/>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1"/>
      <c r="M30" s="2695"/>
      <c r="N30" s="2695"/>
      <c r="O30" s="2695"/>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1"/>
      <c r="M31" s="2695"/>
      <c r="N31" s="2695"/>
      <c r="O31" s="2695"/>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1"/>
      <c r="M32" s="2695"/>
      <c r="N32" s="2695"/>
      <c r="O32" s="2695"/>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01"/>
      <c r="M33" s="2695"/>
      <c r="N33" s="2695"/>
      <c r="O33" s="2695"/>
      <c r="P33" s="3705" t="s">
        <v>1679</v>
      </c>
      <c r="Q33" s="1352" t="str">
        <f t="shared" si="11"/>
        <v>建筑类型</v>
      </c>
      <c r="R33" s="705" t="s">
        <v>14</v>
      </c>
      <c r="S33" s="706">
        <f t="shared" si="12"/>
        <v>100</v>
      </c>
      <c r="T33" s="705" t="s">
        <v>14</v>
      </c>
      <c r="U33" s="706">
        <f t="shared" si="13"/>
        <v>100</v>
      </c>
      <c r="V33" s="705" t="s">
        <v>14</v>
      </c>
      <c r="W33" s="706">
        <f t="shared" si="14"/>
        <v>100</v>
      </c>
      <c r="X33" s="1355"/>
      <c r="Y33" s="3708"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0"/>
      <c r="M34" s="2702"/>
      <c r="N34" s="2702"/>
      <c r="O34" s="2702"/>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1"/>
      <c r="M35" s="2695"/>
      <c r="N35" s="2695"/>
      <c r="O35" s="2695"/>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1"/>
      <c r="M37" s="2695"/>
      <c r="N37" s="2695"/>
      <c r="O37" s="2695"/>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1"/>
      <c r="M39" s="2695"/>
      <c r="N39" s="2695"/>
      <c r="O39" s="2695"/>
      <c r="P39" s="3706" t="s">
        <v>1679</v>
      </c>
      <c r="Q39" s="1352" t="str">
        <f t="shared" si="11"/>
        <v>物业管理</v>
      </c>
      <c r="R39" s="705" t="s">
        <v>14</v>
      </c>
      <c r="S39" s="706">
        <f t="shared" si="12"/>
        <v>100</v>
      </c>
      <c r="T39" s="705" t="s">
        <v>14</v>
      </c>
      <c r="U39" s="706">
        <f t="shared" si="13"/>
        <v>100</v>
      </c>
      <c r="V39" s="705" t="s">
        <v>14</v>
      </c>
      <c r="W39" s="706">
        <f t="shared" si="14"/>
        <v>100</v>
      </c>
      <c r="X39" s="1355"/>
      <c r="Y39" s="3708"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1"/>
      <c r="M40" s="2695"/>
      <c r="N40" s="2695"/>
      <c r="O40" s="2695"/>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1"/>
      <c r="M43" s="2695"/>
      <c r="N43" s="2695"/>
      <c r="O43" s="2695"/>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01"/>
      <c r="M44" s="2695"/>
      <c r="N44" s="2695"/>
      <c r="O44" s="2695"/>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703"/>
      <c r="M48" s="2695"/>
      <c r="N48" s="2695"/>
      <c r="O48" s="2695"/>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1776</v>
      </c>
      <c r="B49" s="438"/>
      <c r="C49" s="1160" t="e">
        <f>R50</f>
        <v>#DIV/0!</v>
      </c>
      <c r="D49" s="2317" t="s">
        <v>2121</v>
      </c>
      <c r="E49" s="1161" t="e">
        <f>R49</f>
        <v>#DIV/0!</v>
      </c>
      <c r="F49" s="2318"/>
      <c r="G49" s="1160" t="e">
        <f>T49</f>
        <v>#DIV/0!</v>
      </c>
      <c r="H49" s="2318"/>
      <c r="I49" s="1161" t="e">
        <f>V49</f>
        <v>#DIV/0!</v>
      </c>
      <c r="J49" s="2318"/>
      <c r="K49" s="2320">
        <f>F49+H49+J49</f>
        <v>0</v>
      </c>
      <c r="L49" s="2703"/>
      <c r="M49" s="2695"/>
      <c r="N49" s="2695"/>
      <c r="O49" s="2695"/>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703"/>
      <c r="M50" s="2695"/>
      <c r="N50" s="2695"/>
      <c r="O50" s="2695"/>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6"/>
      <c r="Y50" s="1946"/>
      <c r="Z50" s="1946"/>
      <c r="AA50" s="1946"/>
      <c r="AB50" s="1946"/>
      <c r="AC50" s="1947"/>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1781</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1662</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1"/>
      <c r="R60" s="2641"/>
      <c r="S60" s="2641"/>
      <c r="T60" s="2641"/>
      <c r="U60" s="2641"/>
      <c r="V60" s="2641"/>
      <c r="W60" s="2641"/>
      <c r="X60" s="2641"/>
      <c r="Y60" s="2641"/>
      <c r="Z60" s="2641"/>
      <c r="AA60" s="2641"/>
      <c r="AB60" s="2641"/>
      <c r="AC60" s="2641"/>
    </row>
    <row r="61" spans="1:29" s="108" customFormat="1" ht="15.75" thickBot="1">
      <c r="A61" s="464" t="s">
        <v>1699</v>
      </c>
      <c r="B61" s="465"/>
      <c r="C61" s="466"/>
      <c r="D61" s="467"/>
      <c r="E61" s="467"/>
      <c r="F61" s="467"/>
      <c r="G61" s="467"/>
      <c r="H61" s="467"/>
      <c r="I61" s="467"/>
      <c r="J61" s="467"/>
      <c r="K61" s="467"/>
      <c r="L61" s="467"/>
      <c r="M61" s="468"/>
      <c r="N61" s="467"/>
      <c r="O61" s="468"/>
      <c r="P61" s="2739"/>
      <c r="Q61" s="2718"/>
      <c r="R61" s="2641"/>
      <c r="S61" s="2641"/>
      <c r="T61" s="2641"/>
      <c r="U61" s="2641"/>
      <c r="V61" s="2641"/>
      <c r="W61" s="2641"/>
      <c r="X61" s="2641"/>
      <c r="Y61" s="2641"/>
      <c r="Z61" s="2641"/>
      <c r="AA61" s="2641"/>
      <c r="AB61" s="2641"/>
      <c r="AC61" s="2641"/>
    </row>
    <row r="62" spans="1:29" s="108" customFormat="1" ht="15">
      <c r="A62" s="470" t="s">
        <v>1664</v>
      </c>
      <c r="B62" s="459"/>
      <c r="C62" s="471" t="s">
        <v>1759</v>
      </c>
      <c r="D62" s="472"/>
      <c r="E62" s="472"/>
      <c r="F62" s="472"/>
      <c r="G62" s="472"/>
      <c r="H62" s="472"/>
      <c r="I62" s="472"/>
      <c r="J62" s="472"/>
      <c r="K62" s="472"/>
      <c r="L62" s="473"/>
      <c r="M62" s="474"/>
      <c r="N62" s="2731"/>
      <c r="O62" s="2731"/>
      <c r="P62" s="2740"/>
      <c r="Q62" s="2718"/>
      <c r="R62" s="2641"/>
      <c r="S62" s="2641"/>
      <c r="T62" s="2641"/>
      <c r="U62" s="2641"/>
      <c r="V62" s="2641"/>
      <c r="W62" s="2641"/>
      <c r="X62" s="2641"/>
      <c r="Y62" s="2641"/>
      <c r="Z62" s="2641"/>
      <c r="AA62" s="2641"/>
      <c r="AB62" s="2641"/>
      <c r="AC62" s="2641"/>
    </row>
    <row r="63" spans="1:29" s="108" customFormat="1" ht="15.75" thickBot="1">
      <c r="A63" s="470"/>
      <c r="B63" s="459"/>
      <c r="C63" s="460">
        <v>100</v>
      </c>
      <c r="D63" s="461"/>
      <c r="E63" s="461"/>
      <c r="F63" s="461"/>
      <c r="G63" s="461"/>
      <c r="H63" s="461"/>
      <c r="I63" s="461"/>
      <c r="J63" s="461"/>
      <c r="K63" s="461"/>
      <c r="L63" s="461"/>
      <c r="M63" s="463"/>
      <c r="N63" s="2731"/>
      <c r="O63" s="2731"/>
      <c r="P63" s="2739"/>
      <c r="Q63" s="2718"/>
      <c r="R63" s="2641"/>
      <c r="S63" s="2641"/>
      <c r="T63" s="2641"/>
      <c r="U63" s="2641"/>
      <c r="V63" s="2641"/>
      <c r="W63" s="2641"/>
      <c r="X63" s="2641"/>
      <c r="Y63" s="2641"/>
      <c r="Z63" s="2641"/>
      <c r="AA63" s="2641"/>
      <c r="AB63" s="2641"/>
      <c r="AC63" s="2641"/>
    </row>
    <row r="64" spans="1:29">
      <c r="A64" s="476" t="s">
        <v>1702</v>
      </c>
      <c r="B64" s="477" t="s">
        <v>1668</v>
      </c>
      <c r="C64" s="478">
        <f>C9</f>
        <v>0</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1671</v>
      </c>
      <c r="C66" s="532"/>
      <c r="D66" s="532"/>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c r="D67" s="485"/>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f>B12</f>
        <v>111</v>
      </c>
      <c r="C71" s="503"/>
      <c r="D71" s="503"/>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c r="D72" s="485"/>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1673</v>
      </c>
      <c r="B77" s="477" t="s">
        <v>1804</v>
      </c>
      <c r="C77" s="522" t="s">
        <v>1704</v>
      </c>
      <c r="D77" s="522" t="s">
        <v>1705</v>
      </c>
      <c r="E77" s="522" t="s">
        <v>1706</v>
      </c>
      <c r="F77" s="522" t="s">
        <v>1707</v>
      </c>
      <c r="G77" s="522" t="s">
        <v>1708</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1709</v>
      </c>
      <c r="C79" s="527" t="s">
        <v>1704</v>
      </c>
      <c r="D79" s="527" t="s">
        <v>1705</v>
      </c>
      <c r="E79" s="527" t="s">
        <v>1706</v>
      </c>
      <c r="F79" s="527" t="s">
        <v>1707</v>
      </c>
      <c r="G79" s="527" t="s">
        <v>1708</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1710</v>
      </c>
      <c r="C81" s="527" t="s">
        <v>1704</v>
      </c>
      <c r="D81" s="527" t="s">
        <v>1705</v>
      </c>
      <c r="E81" s="527" t="s">
        <v>1706</v>
      </c>
      <c r="F81" s="527" t="s">
        <v>1707</v>
      </c>
      <c r="G81" s="527" t="s">
        <v>1708</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1796</v>
      </c>
      <c r="C83" s="608" t="s">
        <v>1782</v>
      </c>
      <c r="D83" s="608" t="s">
        <v>1783</v>
      </c>
      <c r="E83" s="608" t="s">
        <v>1784</v>
      </c>
      <c r="F83" s="608" t="s">
        <v>1785</v>
      </c>
      <c r="G83" s="608" t="s">
        <v>1786</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1805</v>
      </c>
      <c r="C85" s="527" t="s">
        <v>1704</v>
      </c>
      <c r="D85" s="527" t="s">
        <v>1705</v>
      </c>
      <c r="E85" s="527" t="s">
        <v>1706</v>
      </c>
      <c r="F85" s="527" t="s">
        <v>1707</v>
      </c>
      <c r="G85" s="527" t="s">
        <v>1708</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1806</v>
      </c>
      <c r="C87" s="503"/>
      <c r="D87" s="503"/>
      <c r="E87" s="503"/>
      <c r="F87" s="503"/>
      <c r="G87" s="503"/>
      <c r="H87" s="503"/>
      <c r="I87" s="503"/>
      <c r="J87" s="503"/>
      <c r="K87" s="503"/>
      <c r="L87" s="529"/>
      <c r="M87" s="530"/>
      <c r="N87" s="2731"/>
      <c r="O87" s="2731"/>
      <c r="P87" s="2741"/>
      <c r="Q87" s="2718"/>
      <c r="R87" s="2641"/>
      <c r="S87" s="2641"/>
      <c r="T87" s="2641"/>
      <c r="U87" s="2641"/>
      <c r="V87" s="2641"/>
      <c r="W87" s="2641"/>
      <c r="X87" s="2641"/>
      <c r="Y87" s="2641"/>
      <c r="Z87" s="2641"/>
      <c r="AA87" s="2641"/>
      <c r="AB87" s="2641"/>
      <c r="AC87" s="264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1"/>
      <c r="S88" s="2641"/>
      <c r="T88" s="2641"/>
      <c r="U88" s="2641"/>
      <c r="V88" s="2641"/>
      <c r="W88" s="2641"/>
      <c r="X88" s="2641"/>
      <c r="Y88" s="2641"/>
      <c r="Z88" s="2641"/>
      <c r="AA88" s="2641"/>
      <c r="AB88" s="2641"/>
      <c r="AC88" s="2641"/>
    </row>
    <row r="89" spans="1:29" s="108" customFormat="1" ht="15.75" thickTop="1">
      <c r="A89" s="528"/>
      <c r="B89" s="487" t="str">
        <f>B27</f>
        <v>楼层</v>
      </c>
      <c r="C89" s="503"/>
      <c r="D89" s="503"/>
      <c r="E89" s="503"/>
      <c r="F89" s="1927"/>
      <c r="G89" s="503"/>
      <c r="H89" s="503"/>
      <c r="I89" s="503"/>
      <c r="J89" s="503"/>
      <c r="K89" s="503"/>
      <c r="L89" s="503"/>
      <c r="M89" s="530"/>
      <c r="N89" s="2731"/>
      <c r="O89" s="2731"/>
      <c r="P89" s="2741"/>
      <c r="Q89" s="2718"/>
      <c r="R89" s="2641"/>
      <c r="S89" s="2641"/>
      <c r="T89" s="2641"/>
      <c r="U89" s="2641"/>
      <c r="V89" s="2641"/>
      <c r="W89" s="2641"/>
      <c r="X89" s="2641"/>
      <c r="Y89" s="2641"/>
      <c r="Z89" s="2641"/>
      <c r="AA89" s="2641"/>
      <c r="AB89" s="2641"/>
      <c r="AC89" s="264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1"/>
      <c r="S90" s="2641"/>
      <c r="T90" s="2641"/>
      <c r="U90" s="2641"/>
      <c r="V90" s="2641"/>
      <c r="W90" s="2641"/>
      <c r="X90" s="2641"/>
      <c r="Y90" s="2641"/>
      <c r="Z90" s="2641"/>
      <c r="AA90" s="2641"/>
      <c r="AB90" s="2641"/>
      <c r="AC90" s="2641"/>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8"/>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1677</v>
      </c>
      <c r="B101" s="477" t="s">
        <v>1719</v>
      </c>
      <c r="C101" s="479"/>
      <c r="D101" s="479"/>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c r="D104" s="544"/>
      <c r="E104" s="544"/>
      <c r="F104" s="544"/>
      <c r="G104" s="544"/>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509"/>
      <c r="D105" s="485"/>
      <c r="E105" s="485"/>
      <c r="F105" s="485"/>
      <c r="G105" s="485"/>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1721</v>
      </c>
      <c r="C106" s="503"/>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1723</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1807</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1724</v>
      </c>
      <c r="C115" s="503"/>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1725</v>
      </c>
      <c r="C117" s="503"/>
      <c r="D117" s="503"/>
      <c r="E117" s="503"/>
      <c r="F117" s="503"/>
      <c r="G117" s="503"/>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1808</v>
      </c>
      <c r="C119" s="532"/>
      <c r="D119" s="532"/>
      <c r="E119" s="532"/>
      <c r="F119" s="532"/>
      <c r="G119" s="532"/>
      <c r="H119" s="532"/>
      <c r="I119" s="532"/>
      <c r="J119" s="532"/>
      <c r="K119" s="532"/>
      <c r="L119" s="1968"/>
      <c r="M119" s="1969"/>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1791</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1727</v>
      </c>
      <c r="C123" s="503"/>
      <c r="D123" s="503"/>
      <c r="E123" s="503"/>
      <c r="F123" s="532"/>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8"/>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估价对象为北京市房地产，为所有。根据《国有土地使用证》[]，估价对象（分摊）出让国有建设用地使用权面积为0平方米，建筑面积为108132.23平方米。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估价对象为北京市房地产,属开发建设的，该项目尚在开发建设中。根据《国有土地使用证》[]，估价对象（分摊）出让国有建设用地使用权面积为0平方米，规划建筑面积为108132.23平方米。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12"/>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108132.23000000003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84" t="s">
        <v>1753</v>
      </c>
      <c r="D4" s="3685"/>
      <c r="E4" s="3686" t="s">
        <v>1754</v>
      </c>
      <c r="F4" s="3687"/>
      <c r="G4" s="3684" t="s">
        <v>1755</v>
      </c>
      <c r="H4" s="3685"/>
      <c r="I4" s="3684" t="s">
        <v>1756</v>
      </c>
      <c r="J4" s="3685"/>
      <c r="K4" s="559" t="s">
        <v>1757</v>
      </c>
      <c r="L4" s="913"/>
      <c r="M4" s="914"/>
      <c r="N4" s="914"/>
      <c r="O4" s="914"/>
      <c r="P4" s="3688" t="s">
        <v>1758</v>
      </c>
      <c r="Q4" s="3689"/>
      <c r="R4" s="3671" t="s">
        <v>1754</v>
      </c>
      <c r="S4" s="3672"/>
      <c r="T4" s="3671" t="s">
        <v>1755</v>
      </c>
      <c r="U4" s="3672"/>
      <c r="V4" s="3696" t="s">
        <v>1756</v>
      </c>
      <c r="W4" s="3696"/>
      <c r="X4" s="1355"/>
      <c r="Y4" s="3671" t="s">
        <v>1758</v>
      </c>
      <c r="Z4" s="3672"/>
      <c r="AA4" s="3666" t="s">
        <v>1754</v>
      </c>
      <c r="AB4" s="3667" t="s">
        <v>1755</v>
      </c>
      <c r="AC4" s="3666" t="s">
        <v>1756</v>
      </c>
    </row>
    <row r="5" spans="1:29" ht="15">
      <c r="A5" s="358"/>
      <c r="B5" s="359"/>
      <c r="C5" s="3677" t="s">
        <v>1656</v>
      </c>
      <c r="D5" s="3678"/>
      <c r="E5" s="3675" t="s">
        <v>1657</v>
      </c>
      <c r="F5" s="3676"/>
      <c r="G5" s="3677" t="s">
        <v>1658</v>
      </c>
      <c r="H5" s="3678"/>
      <c r="I5" s="3677" t="s">
        <v>1659</v>
      </c>
      <c r="J5" s="3678"/>
      <c r="K5" s="559"/>
      <c r="L5" s="913"/>
      <c r="M5" s="914"/>
      <c r="N5" s="914"/>
      <c r="O5" s="914"/>
      <c r="P5" s="3690"/>
      <c r="Q5" s="3691"/>
      <c r="R5" s="3673"/>
      <c r="S5" s="3674"/>
      <c r="T5" s="3673"/>
      <c r="U5" s="3674"/>
      <c r="V5" s="3696"/>
      <c r="W5" s="3696"/>
      <c r="X5" s="1355"/>
      <c r="Y5" s="3673"/>
      <c r="Z5" s="3674"/>
      <c r="AA5" s="3667"/>
      <c r="AB5" s="3667"/>
      <c r="AC5" s="3667"/>
    </row>
    <row r="6" spans="1:29" ht="15.75" thickBot="1">
      <c r="A6" s="360"/>
      <c r="B6" s="361"/>
      <c r="C6" s="3679" t="s">
        <v>1660</v>
      </c>
      <c r="D6" s="3680"/>
      <c r="E6" s="3681" t="s">
        <v>1660</v>
      </c>
      <c r="F6" s="3682"/>
      <c r="G6" s="3679" t="s">
        <v>1660</v>
      </c>
      <c r="H6" s="3680"/>
      <c r="I6" s="3679" t="s">
        <v>1660</v>
      </c>
      <c r="J6" s="3680"/>
      <c r="K6" s="559" t="s">
        <v>1661</v>
      </c>
      <c r="L6" s="913"/>
      <c r="M6" s="914"/>
      <c r="N6" s="914"/>
      <c r="O6" s="914"/>
      <c r="P6" s="3692"/>
      <c r="Q6" s="3693"/>
      <c r="R6" s="3673"/>
      <c r="S6" s="3674"/>
      <c r="T6" s="3694"/>
      <c r="U6" s="3695"/>
      <c r="V6" s="3696"/>
      <c r="W6" s="3696"/>
      <c r="X6" s="1355"/>
      <c r="Y6" s="3694"/>
      <c r="Z6" s="3695"/>
      <c r="AA6" s="3668"/>
      <c r="AB6" s="3668"/>
      <c r="AC6" s="3668"/>
    </row>
    <row r="7" spans="1:29" s="108" customFormat="1" ht="15.75" thickBot="1">
      <c r="A7" s="362" t="s">
        <v>1662</v>
      </c>
      <c r="B7" s="363"/>
      <c r="C7" s="364">
        <f>'数据-取费表'!B2</f>
        <v>45420</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1663</v>
      </c>
      <c r="Q7" s="3697"/>
      <c r="R7" s="701" t="s">
        <v>14</v>
      </c>
      <c r="S7" s="702">
        <f t="shared" ref="S7:S15" si="0">F7</f>
        <v>0</v>
      </c>
      <c r="T7" s="701" t="s">
        <v>14</v>
      </c>
      <c r="U7" s="702">
        <f t="shared" ref="U7:U15" si="1">H7</f>
        <v>0</v>
      </c>
      <c r="V7" s="701" t="s">
        <v>14</v>
      </c>
      <c r="W7" s="702">
        <f t="shared" ref="W7:W15" si="2">J7</f>
        <v>0</v>
      </c>
      <c r="X7" s="703"/>
      <c r="Y7" s="3669" t="s">
        <v>1663</v>
      </c>
      <c r="Z7" s="3670"/>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1666</v>
      </c>
      <c r="Q8" s="3670"/>
      <c r="R8" s="701" t="s">
        <v>14</v>
      </c>
      <c r="S8" s="702">
        <f t="shared" si="0"/>
        <v>100</v>
      </c>
      <c r="T8" s="701" t="s">
        <v>14</v>
      </c>
      <c r="U8" s="702">
        <f t="shared" si="1"/>
        <v>100</v>
      </c>
      <c r="V8" s="701" t="s">
        <v>14</v>
      </c>
      <c r="W8" s="702">
        <f t="shared" si="2"/>
        <v>100</v>
      </c>
      <c r="X8" s="703"/>
      <c r="Y8" s="3669" t="s">
        <v>1666</v>
      </c>
      <c r="Z8" s="3670"/>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1669</v>
      </c>
      <c r="Q9" s="1343" t="str">
        <f t="shared" ref="Q9:Q15" si="6">B9</f>
        <v>用途</v>
      </c>
      <c r="R9" s="701" t="s">
        <v>14</v>
      </c>
      <c r="S9" s="702">
        <f t="shared" si="0"/>
        <v>100</v>
      </c>
      <c r="T9" s="701" t="s">
        <v>14</v>
      </c>
      <c r="U9" s="702">
        <f t="shared" si="1"/>
        <v>100</v>
      </c>
      <c r="V9" s="701" t="s">
        <v>14</v>
      </c>
      <c r="W9" s="702">
        <f t="shared" si="2"/>
        <v>100</v>
      </c>
      <c r="X9" s="703"/>
      <c r="Y9" s="3613" t="s">
        <v>1670</v>
      </c>
      <c r="Z9" s="52" t="str">
        <f t="shared" ref="Z9:Z15" si="7">Q9</f>
        <v>用途</v>
      </c>
      <c r="AA9" s="704">
        <f t="shared" si="3"/>
        <v>1</v>
      </c>
      <c r="AB9" s="704">
        <f t="shared" si="4"/>
        <v>1</v>
      </c>
      <c r="AC9" s="704">
        <f t="shared" si="5"/>
        <v>1</v>
      </c>
    </row>
    <row r="10" spans="1:29" s="378" customFormat="1" ht="27">
      <c r="A10" s="374"/>
      <c r="B10" s="375" t="s">
        <v>1671</v>
      </c>
      <c r="C10" s="3413"/>
      <c r="D10" s="127">
        <v>100</v>
      </c>
      <c r="E10" s="3413"/>
      <c r="F10" s="127">
        <f>SUMIF(59:59,E10,60:60)-SUMIF(59:59,C10,60:60)+100</f>
        <v>100</v>
      </c>
      <c r="G10" s="3414"/>
      <c r="H10" s="127">
        <f>SUMIF(59:59,G10,60:60)-SUMIF(59:59,C10,60:60)+100</f>
        <v>100</v>
      </c>
      <c r="I10" s="3413"/>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1674</v>
      </c>
      <c r="Q15" s="1352" t="str">
        <f t="shared" si="6"/>
        <v>产业集聚程度</v>
      </c>
      <c r="R15" s="705" t="s">
        <v>14</v>
      </c>
      <c r="S15" s="706">
        <f t="shared" si="0"/>
        <v>100</v>
      </c>
      <c r="T15" s="705" t="s">
        <v>14</v>
      </c>
      <c r="U15" s="706">
        <f t="shared" si="1"/>
        <v>100</v>
      </c>
      <c r="V15" s="705" t="s">
        <v>14</v>
      </c>
      <c r="W15" s="706">
        <f t="shared" si="2"/>
        <v>100</v>
      </c>
      <c r="X15" s="1355"/>
      <c r="Y15" s="3703"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1679</v>
      </c>
      <c r="Q29" s="1352" t="str">
        <f t="shared" si="11"/>
        <v>建筑类型</v>
      </c>
      <c r="R29" s="705" t="s">
        <v>14</v>
      </c>
      <c r="S29" s="706">
        <f t="shared" si="12"/>
        <v>100</v>
      </c>
      <c r="T29" s="705" t="s">
        <v>14</v>
      </c>
      <c r="U29" s="706">
        <f t="shared" si="13"/>
        <v>100</v>
      </c>
      <c r="V29" s="705" t="s">
        <v>14</v>
      </c>
      <c r="W29" s="706">
        <f t="shared" si="14"/>
        <v>100</v>
      </c>
      <c r="X29" s="1355"/>
      <c r="Y29" s="3708"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1679</v>
      </c>
      <c r="Q35" s="1352" t="str">
        <f t="shared" si="11"/>
        <v>市政基础设施</v>
      </c>
      <c r="R35" s="705" t="s">
        <v>14</v>
      </c>
      <c r="S35" s="706">
        <f t="shared" si="12"/>
        <v>100</v>
      </c>
      <c r="T35" s="705" t="s">
        <v>14</v>
      </c>
      <c r="U35" s="706">
        <f t="shared" si="13"/>
        <v>100</v>
      </c>
      <c r="V35" s="705" t="s">
        <v>14</v>
      </c>
      <c r="W35" s="706">
        <f t="shared" si="14"/>
        <v>100</v>
      </c>
      <c r="X35" s="1355"/>
      <c r="Y35" s="3708"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1776</v>
      </c>
      <c r="B42" s="438"/>
      <c r="C42" s="1160" t="e">
        <f>R43</f>
        <v>#DIV/0!</v>
      </c>
      <c r="D42" s="2317" t="s">
        <v>2121</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9"/>
      <c r="O54" s="2750"/>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3320</v>
      </c>
      <c r="C1" s="1224" t="s">
        <v>1645</v>
      </c>
      <c r="D1" s="1225"/>
      <c r="E1" s="3412"/>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1752</v>
      </c>
      <c r="B4" s="356"/>
      <c r="C4" s="3684" t="s">
        <v>1753</v>
      </c>
      <c r="D4" s="3685"/>
      <c r="E4" s="3686" t="s">
        <v>1754</v>
      </c>
      <c r="F4" s="3687"/>
      <c r="G4" s="3684" t="s">
        <v>1755</v>
      </c>
      <c r="H4" s="3685"/>
      <c r="I4" s="3684" t="s">
        <v>1756</v>
      </c>
      <c r="J4" s="3685"/>
      <c r="K4" s="559" t="s">
        <v>1757</v>
      </c>
      <c r="L4" s="2694"/>
      <c r="M4" s="2695"/>
      <c r="N4" s="2695"/>
      <c r="O4" s="2695"/>
      <c r="P4" s="3688" t="s">
        <v>1758</v>
      </c>
      <c r="Q4" s="3689"/>
      <c r="R4" s="3671" t="s">
        <v>1754</v>
      </c>
      <c r="S4" s="3672"/>
      <c r="T4" s="3671" t="s">
        <v>1755</v>
      </c>
      <c r="U4" s="3672"/>
      <c r="V4" s="3696" t="s">
        <v>1756</v>
      </c>
      <c r="W4" s="3696"/>
      <c r="X4" s="1355"/>
      <c r="Y4" s="3671" t="s">
        <v>1758</v>
      </c>
      <c r="Z4" s="3672"/>
      <c r="AA4" s="3666" t="s">
        <v>1754</v>
      </c>
      <c r="AB4" s="3667" t="s">
        <v>1755</v>
      </c>
      <c r="AC4" s="3666" t="s">
        <v>1756</v>
      </c>
    </row>
    <row r="5" spans="1:29" ht="15">
      <c r="A5" s="358"/>
      <c r="B5" s="359"/>
      <c r="C5" s="3677" t="s">
        <v>1656</v>
      </c>
      <c r="D5" s="3678"/>
      <c r="E5" s="3675" t="s">
        <v>1657</v>
      </c>
      <c r="F5" s="3676"/>
      <c r="G5" s="3677" t="s">
        <v>1658</v>
      </c>
      <c r="H5" s="3678"/>
      <c r="I5" s="3677" t="s">
        <v>1659</v>
      </c>
      <c r="J5" s="3678"/>
      <c r="K5" s="559"/>
      <c r="L5" s="2694"/>
      <c r="M5" s="2695"/>
      <c r="N5" s="2695"/>
      <c r="O5" s="2695"/>
      <c r="P5" s="3690"/>
      <c r="Q5" s="3691"/>
      <c r="R5" s="3673"/>
      <c r="S5" s="3674"/>
      <c r="T5" s="3673"/>
      <c r="U5" s="3674"/>
      <c r="V5" s="3696"/>
      <c r="W5" s="3696"/>
      <c r="X5" s="1355"/>
      <c r="Y5" s="3673"/>
      <c r="Z5" s="3674"/>
      <c r="AA5" s="3667"/>
      <c r="AB5" s="3667"/>
      <c r="AC5" s="3667"/>
    </row>
    <row r="6" spans="1:29" ht="15.75" thickBot="1">
      <c r="A6" s="360"/>
      <c r="B6" s="361"/>
      <c r="C6" s="3679" t="s">
        <v>1660</v>
      </c>
      <c r="D6" s="3680"/>
      <c r="E6" s="3681" t="s">
        <v>1660</v>
      </c>
      <c r="F6" s="3682"/>
      <c r="G6" s="3679" t="s">
        <v>1660</v>
      </c>
      <c r="H6" s="3680"/>
      <c r="I6" s="3679" t="s">
        <v>1660</v>
      </c>
      <c r="J6" s="3680"/>
      <c r="K6" s="559" t="s">
        <v>1661</v>
      </c>
      <c r="L6" s="2694"/>
      <c r="M6" s="2695"/>
      <c r="N6" s="2695"/>
      <c r="O6" s="2695"/>
      <c r="P6" s="3692"/>
      <c r="Q6" s="3693"/>
      <c r="R6" s="3673"/>
      <c r="S6" s="3674"/>
      <c r="T6" s="3694"/>
      <c r="U6" s="3695"/>
      <c r="V6" s="3696"/>
      <c r="W6" s="3696"/>
      <c r="X6" s="1355"/>
      <c r="Y6" s="3694"/>
      <c r="Z6" s="3695"/>
      <c r="AA6" s="3668"/>
      <c r="AB6" s="3668"/>
      <c r="AC6" s="3668"/>
    </row>
    <row r="7" spans="1:29" s="108" customFormat="1" ht="15.75" thickBot="1">
      <c r="A7" s="362" t="s">
        <v>1662</v>
      </c>
      <c r="B7" s="363"/>
      <c r="C7" s="364">
        <f>'数据-取费表'!B2</f>
        <v>45420</v>
      </c>
      <c r="D7" s="365">
        <v>100</v>
      </c>
      <c r="E7" s="366"/>
      <c r="F7" s="367">
        <f>SUMIF(48:48,YEAR(E7)&amp;"-"&amp;MONTH(E7),49:49)</f>
        <v>0</v>
      </c>
      <c r="G7" s="366"/>
      <c r="H7" s="365">
        <f>SUMIF(48:48,YEAR(G7)&amp;"-"&amp;MONTH(G7),49:49)</f>
        <v>0</v>
      </c>
      <c r="I7" s="366"/>
      <c r="J7" s="365">
        <f>SUMIF(48:48,YEAR(I7)&amp;"-"&amp;MONTH(I7),49:49)</f>
        <v>0</v>
      </c>
      <c r="K7" s="560"/>
      <c r="L7" s="2696"/>
      <c r="M7" s="2697"/>
      <c r="N7" s="2697"/>
      <c r="O7" s="2697"/>
      <c r="P7" s="3669" t="s">
        <v>1663</v>
      </c>
      <c r="Q7" s="3697"/>
      <c r="R7" s="701" t="s">
        <v>14</v>
      </c>
      <c r="S7" s="702">
        <f t="shared" ref="S7:S14" si="0">F7</f>
        <v>0</v>
      </c>
      <c r="T7" s="701" t="s">
        <v>14</v>
      </c>
      <c r="U7" s="702">
        <f t="shared" ref="U7:U14" si="1">H7</f>
        <v>0</v>
      </c>
      <c r="V7" s="701" t="s">
        <v>14</v>
      </c>
      <c r="W7" s="702">
        <f t="shared" ref="W7:W14" si="2">J7</f>
        <v>0</v>
      </c>
      <c r="X7" s="703"/>
      <c r="Y7" s="3669" t="s">
        <v>1663</v>
      </c>
      <c r="Z7" s="3670"/>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669" t="s">
        <v>1666</v>
      </c>
      <c r="Q8" s="3670"/>
      <c r="R8" s="701" t="s">
        <v>14</v>
      </c>
      <c r="S8" s="702">
        <f t="shared" si="0"/>
        <v>100</v>
      </c>
      <c r="T8" s="701" t="s">
        <v>14</v>
      </c>
      <c r="U8" s="702">
        <f t="shared" si="1"/>
        <v>100</v>
      </c>
      <c r="V8" s="701" t="s">
        <v>14</v>
      </c>
      <c r="W8" s="702">
        <f t="shared" si="2"/>
        <v>100</v>
      </c>
      <c r="X8" s="703"/>
      <c r="Y8" s="3669" t="s">
        <v>1666</v>
      </c>
      <c r="Z8" s="3670"/>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701" t="s">
        <v>1669</v>
      </c>
      <c r="Q9" s="1343" t="str">
        <f t="shared" ref="Q9:Q14" si="6">B9</f>
        <v>用途</v>
      </c>
      <c r="R9" s="701" t="s">
        <v>14</v>
      </c>
      <c r="S9" s="702">
        <f t="shared" si="0"/>
        <v>100</v>
      </c>
      <c r="T9" s="701" t="s">
        <v>14</v>
      </c>
      <c r="U9" s="702">
        <f t="shared" si="1"/>
        <v>100</v>
      </c>
      <c r="V9" s="701" t="s">
        <v>14</v>
      </c>
      <c r="W9" s="702">
        <f t="shared" si="2"/>
        <v>100</v>
      </c>
      <c r="X9" s="703"/>
      <c r="Y9" s="3613" t="s">
        <v>1670</v>
      </c>
      <c r="Z9" s="52" t="str">
        <f t="shared" ref="Z9:Z14" si="7">Q9</f>
        <v>用途</v>
      </c>
      <c r="AA9" s="704">
        <f t="shared" si="3"/>
        <v>1</v>
      </c>
      <c r="AB9" s="704">
        <f t="shared" si="4"/>
        <v>1</v>
      </c>
      <c r="AC9" s="704">
        <f t="shared" si="5"/>
        <v>1</v>
      </c>
    </row>
    <row r="10" spans="1:29" s="378" customFormat="1" ht="27">
      <c r="A10" s="589"/>
      <c r="B10" s="590" t="s">
        <v>1671</v>
      </c>
      <c r="C10" s="3413"/>
      <c r="D10" s="127">
        <v>100</v>
      </c>
      <c r="E10" s="3413"/>
      <c r="F10" s="127">
        <f>SUMIF(55:55,E10,56:56)-SUMIF(55:55,C10,56:56)+100</f>
        <v>100</v>
      </c>
      <c r="G10" s="3414"/>
      <c r="H10" s="127">
        <f>SUMIF(55:55,G10,56:56)-SUMIF(55:55,C10,56:56)+100</f>
        <v>100</v>
      </c>
      <c r="I10" s="3413"/>
      <c r="J10" s="127">
        <f>SUMIF(55:55,I10,56:56)-SUMIF(55:55,C10,56:56)+100</f>
        <v>100</v>
      </c>
      <c r="K10" s="560"/>
      <c r="L10" s="2698"/>
      <c r="M10" s="2699"/>
      <c r="N10" s="2699"/>
      <c r="O10" s="2699"/>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1673</v>
      </c>
      <c r="B14" s="577" t="s">
        <v>1816</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703" t="s">
        <v>1674</v>
      </c>
      <c r="Q14" s="1352" t="str">
        <f t="shared" si="6"/>
        <v>交通便捷度</v>
      </c>
      <c r="R14" s="705" t="s">
        <v>14</v>
      </c>
      <c r="S14" s="706">
        <f t="shared" si="0"/>
        <v>100</v>
      </c>
      <c r="T14" s="705" t="s">
        <v>14</v>
      </c>
      <c r="U14" s="706">
        <f t="shared" si="1"/>
        <v>100</v>
      </c>
      <c r="V14" s="705" t="s">
        <v>14</v>
      </c>
      <c r="W14" s="706">
        <f t="shared" si="2"/>
        <v>100</v>
      </c>
      <c r="X14" s="1355"/>
      <c r="Y14" s="3703"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704"/>
      <c r="Q15" s="1352"/>
      <c r="R15" s="705"/>
      <c r="S15" s="706"/>
      <c r="T15" s="705"/>
      <c r="U15" s="706"/>
      <c r="V15" s="705"/>
      <c r="W15" s="706"/>
      <c r="X15" s="1355"/>
      <c r="Y15" s="3704"/>
      <c r="Z15" s="1356"/>
      <c r="AA15" s="1353">
        <v>1</v>
      </c>
      <c r="AB15" s="1353">
        <v>1</v>
      </c>
      <c r="AC15" s="1353">
        <v>1</v>
      </c>
    </row>
    <row r="16" spans="1:29" ht="42.75">
      <c r="A16" s="358"/>
      <c r="B16" s="579" t="s">
        <v>1795</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1"/>
      <c r="M17" s="2695"/>
      <c r="N17" s="2695"/>
      <c r="O17" s="2695"/>
      <c r="P17" s="3704"/>
      <c r="Q17" s="1352"/>
      <c r="R17" s="705"/>
      <c r="S17" s="706"/>
      <c r="T17" s="705"/>
      <c r="U17" s="706"/>
      <c r="V17" s="705"/>
      <c r="W17" s="706"/>
      <c r="X17" s="1355"/>
      <c r="Y17" s="3704"/>
      <c r="Z17" s="1356"/>
      <c r="AA17" s="1353">
        <v>1</v>
      </c>
      <c r="AB17" s="1353">
        <v>1</v>
      </c>
      <c r="AC17" s="1353">
        <v>1</v>
      </c>
    </row>
    <row r="18" spans="1:29" ht="28.5">
      <c r="A18" s="358"/>
      <c r="B18" s="581" t="s">
        <v>1796</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1"/>
      <c r="M19" s="2695"/>
      <c r="N19" s="2695"/>
      <c r="O19" s="2695"/>
      <c r="P19" s="3704"/>
      <c r="Q19" s="1352"/>
      <c r="R19" s="705"/>
      <c r="S19" s="706"/>
      <c r="T19" s="705"/>
      <c r="U19" s="706"/>
      <c r="V19" s="705"/>
      <c r="W19" s="706"/>
      <c r="X19" s="1355"/>
      <c r="Y19" s="3704"/>
      <c r="Z19" s="1356"/>
      <c r="AA19" s="1353">
        <v>1</v>
      </c>
      <c r="AB19" s="1353">
        <v>1</v>
      </c>
      <c r="AC19" s="1353">
        <v>1</v>
      </c>
    </row>
    <row r="20" spans="1:29" ht="57">
      <c r="A20" s="358"/>
      <c r="B20" s="579" t="s">
        <v>1817</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704"/>
      <c r="Q21" s="1352"/>
      <c r="R21" s="705"/>
      <c r="S21" s="706"/>
      <c r="T21" s="705"/>
      <c r="U21" s="706"/>
      <c r="V21" s="705"/>
      <c r="W21" s="706"/>
      <c r="X21" s="1355"/>
      <c r="Y21" s="3704"/>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27"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708" t="s">
        <v>1679</v>
      </c>
      <c r="Q32" s="1352" t="str">
        <f t="shared" si="11"/>
        <v>车位类型</v>
      </c>
      <c r="R32" s="705" t="s">
        <v>14</v>
      </c>
      <c r="S32" s="706">
        <f t="shared" si="12"/>
        <v>100</v>
      </c>
      <c r="T32" s="705" t="s">
        <v>14</v>
      </c>
      <c r="U32" s="706">
        <f t="shared" si="13"/>
        <v>100</v>
      </c>
      <c r="V32" s="705" t="s">
        <v>14</v>
      </c>
      <c r="W32" s="706">
        <f t="shared" si="14"/>
        <v>100</v>
      </c>
      <c r="X32" s="1355"/>
      <c r="Y32" s="3708"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1827</v>
      </c>
      <c r="B37" s="1973" t="s">
        <v>3341</v>
      </c>
      <c r="C37" s="1154" t="s">
        <v>0</v>
      </c>
      <c r="D37" s="1155"/>
      <c r="E37" s="1156"/>
      <c r="F37" s="1157"/>
      <c r="G37" s="1158"/>
      <c r="H37" s="1159"/>
      <c r="I37" s="1156"/>
      <c r="J37" s="1159"/>
      <c r="K37" s="568"/>
      <c r="L37" s="2703"/>
      <c r="M37" s="2704"/>
      <c r="N37" s="2695"/>
      <c r="O37" s="2704"/>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1828</v>
      </c>
      <c r="B38" s="438" t="str">
        <f>B37</f>
        <v>元/平方米</v>
      </c>
      <c r="C38" s="1160" t="e">
        <f>R39</f>
        <v>#DIV/0!</v>
      </c>
      <c r="D38" s="2317" t="s">
        <v>2121</v>
      </c>
      <c r="E38" s="1161" t="e">
        <f>R38</f>
        <v>#DIV/0!</v>
      </c>
      <c r="F38" s="2318"/>
      <c r="G38" s="1160" t="e">
        <f>T38</f>
        <v>#DIV/0!</v>
      </c>
      <c r="H38" s="2318"/>
      <c r="I38" s="1161" t="e">
        <f>V38</f>
        <v>#DIV/0!</v>
      </c>
      <c r="J38" s="2318"/>
      <c r="K38" s="2320">
        <f>F38+H38+J38</f>
        <v>0</v>
      </c>
      <c r="L38" s="2703"/>
      <c r="M38" s="2704"/>
      <c r="N38" s="2704"/>
      <c r="O38" s="270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703"/>
      <c r="M39" s="2704"/>
      <c r="N39" s="2704"/>
      <c r="O39" s="2704"/>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1833</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1834</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1"/>
      <c r="R49" s="2641"/>
      <c r="S49" s="2641"/>
      <c r="T49" s="2641"/>
      <c r="U49" s="2641"/>
      <c r="V49" s="2641"/>
      <c r="W49" s="2641"/>
      <c r="X49" s="2641"/>
      <c r="Y49" s="2641"/>
      <c r="Z49" s="2641"/>
      <c r="AA49" s="2641"/>
      <c r="AB49" s="2641"/>
      <c r="AC49" s="2641"/>
    </row>
    <row r="50" spans="1:29" s="108" customFormat="1" ht="15.75" thickBot="1">
      <c r="A50" s="464" t="s">
        <v>1699</v>
      </c>
      <c r="B50" s="465"/>
      <c r="C50" s="466"/>
      <c r="D50" s="467"/>
      <c r="E50" s="467"/>
      <c r="F50" s="467"/>
      <c r="G50" s="467"/>
      <c r="H50" s="467"/>
      <c r="I50" s="467"/>
      <c r="J50" s="467"/>
      <c r="K50" s="467"/>
      <c r="L50" s="467"/>
      <c r="M50" s="468"/>
      <c r="N50" s="467"/>
      <c r="O50" s="468"/>
      <c r="P50" s="2739"/>
      <c r="Q50" s="2718"/>
      <c r="R50" s="2641"/>
      <c r="S50" s="2641"/>
      <c r="T50" s="2641"/>
      <c r="U50" s="2641"/>
      <c r="V50" s="2641"/>
      <c r="W50" s="2641"/>
      <c r="X50" s="2641"/>
      <c r="Y50" s="2641"/>
      <c r="Z50" s="2641"/>
      <c r="AA50" s="2641"/>
      <c r="AB50" s="2641"/>
      <c r="AC50" s="2641"/>
    </row>
    <row r="51" spans="1:29" s="108" customFormat="1" ht="15">
      <c r="A51" s="470" t="s">
        <v>1664</v>
      </c>
      <c r="B51" s="459"/>
      <c r="C51" s="471" t="s">
        <v>1759</v>
      </c>
      <c r="D51" s="472"/>
      <c r="E51" s="472"/>
      <c r="F51" s="472"/>
      <c r="G51" s="472"/>
      <c r="H51" s="472"/>
      <c r="I51" s="472"/>
      <c r="J51" s="472"/>
      <c r="K51" s="472"/>
      <c r="L51" s="473"/>
      <c r="M51" s="474"/>
      <c r="N51" s="2731"/>
      <c r="O51" s="2731"/>
      <c r="P51" s="2740"/>
      <c r="Q51" s="2718"/>
      <c r="R51" s="2641"/>
      <c r="S51" s="2641"/>
      <c r="T51" s="2641"/>
      <c r="U51" s="2641"/>
      <c r="V51" s="2641"/>
      <c r="W51" s="2641"/>
      <c r="X51" s="2641"/>
      <c r="Y51" s="2641"/>
      <c r="Z51" s="2641"/>
      <c r="AA51" s="2641"/>
      <c r="AB51" s="2641"/>
      <c r="AC51" s="2641"/>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1"/>
      <c r="S52" s="2641"/>
      <c r="T52" s="2641"/>
      <c r="U52" s="2641"/>
      <c r="V52" s="2641"/>
      <c r="W52" s="2641"/>
      <c r="X52" s="2641"/>
      <c r="Y52" s="2641"/>
      <c r="Z52" s="2641"/>
      <c r="AA52" s="2641"/>
      <c r="AB52" s="2641"/>
      <c r="AC52" s="2641"/>
    </row>
    <row r="53" spans="1:29">
      <c r="A53" s="476" t="s">
        <v>1702</v>
      </c>
      <c r="B53" s="477" t="s">
        <v>1668</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1671</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1710</v>
      </c>
      <c r="C65" s="527" t="s">
        <v>1704</v>
      </c>
      <c r="D65" s="527" t="s">
        <v>1705</v>
      </c>
      <c r="E65" s="527" t="s">
        <v>1706</v>
      </c>
      <c r="F65" s="527" t="s">
        <v>1707</v>
      </c>
      <c r="G65" s="527" t="s">
        <v>1708</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1796</v>
      </c>
      <c r="C67" s="608" t="s">
        <v>1782</v>
      </c>
      <c r="D67" s="608" t="s">
        <v>1783</v>
      </c>
      <c r="E67" s="608" t="s">
        <v>1784</v>
      </c>
      <c r="F67" s="608" t="s">
        <v>1785</v>
      </c>
      <c r="G67" s="608" t="s">
        <v>1786</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1716</v>
      </c>
      <c r="C69" s="527" t="s">
        <v>1704</v>
      </c>
      <c r="D69" s="527" t="s">
        <v>1705</v>
      </c>
      <c r="E69" s="527" t="s">
        <v>1706</v>
      </c>
      <c r="F69" s="527" t="s">
        <v>1707</v>
      </c>
      <c r="G69" s="527" t="s">
        <v>1708</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1835</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1"/>
      <c r="S73" s="2641"/>
      <c r="T73" s="2641"/>
      <c r="U73" s="2641"/>
      <c r="V73" s="2641"/>
      <c r="W73" s="2641"/>
      <c r="X73" s="2641"/>
      <c r="Y73" s="2641"/>
      <c r="Z73" s="2641"/>
      <c r="AA73" s="2641"/>
      <c r="AB73" s="2641"/>
      <c r="AC73" s="2641"/>
    </row>
    <row r="74" spans="1:29" s="108" customFormat="1" ht="15.75" thickBot="1">
      <c r="A74" s="528"/>
      <c r="B74" s="492"/>
      <c r="C74" s="509"/>
      <c r="D74" s="485"/>
      <c r="E74" s="485"/>
      <c r="F74" s="485"/>
      <c r="G74" s="485"/>
      <c r="H74" s="485"/>
      <c r="I74" s="485"/>
      <c r="J74" s="485"/>
      <c r="K74" s="485"/>
      <c r="L74" s="485"/>
      <c r="M74" s="486"/>
      <c r="N74" s="2733"/>
      <c r="O74" s="2733"/>
      <c r="P74" s="2741"/>
      <c r="Q74" s="2718"/>
      <c r="R74" s="2641"/>
      <c r="S74" s="2641"/>
      <c r="T74" s="2641"/>
      <c r="U74" s="2641"/>
      <c r="V74" s="2641"/>
      <c r="W74" s="2641"/>
      <c r="X74" s="2641"/>
      <c r="Y74" s="2641"/>
      <c r="Z74" s="2641"/>
      <c r="AA74" s="2641"/>
      <c r="AB74" s="2641"/>
      <c r="AC74" s="2641"/>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1"/>
      <c r="S75" s="2641"/>
      <c r="T75" s="2641"/>
      <c r="U75" s="2641"/>
      <c r="V75" s="2641"/>
      <c r="W75" s="2641"/>
      <c r="X75" s="2641"/>
      <c r="Y75" s="2641"/>
      <c r="Z75" s="2641"/>
      <c r="AA75" s="2641"/>
      <c r="AB75" s="2641"/>
      <c r="AC75" s="2641"/>
    </row>
    <row r="76" spans="1:29" s="108" customFormat="1" ht="15.75" thickBot="1">
      <c r="A76" s="528"/>
      <c r="B76" s="492"/>
      <c r="C76" s="509"/>
      <c r="D76" s="485"/>
      <c r="E76" s="485"/>
      <c r="F76" s="485"/>
      <c r="G76" s="485"/>
      <c r="H76" s="485"/>
      <c r="I76" s="485"/>
      <c r="J76" s="485"/>
      <c r="K76" s="485"/>
      <c r="L76" s="485"/>
      <c r="M76" s="486"/>
      <c r="N76" s="2733"/>
      <c r="O76" s="2733"/>
      <c r="P76" s="2741"/>
      <c r="Q76" s="2718"/>
      <c r="R76" s="2641"/>
      <c r="S76" s="2641"/>
      <c r="T76" s="2641"/>
      <c r="U76" s="2641"/>
      <c r="V76" s="2641"/>
      <c r="W76" s="2641"/>
      <c r="X76" s="2641"/>
      <c r="Y76" s="2641"/>
      <c r="Z76" s="2641"/>
      <c r="AA76" s="2641"/>
      <c r="AB76" s="2641"/>
      <c r="AC76" s="2641"/>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1677</v>
      </c>
      <c r="B79" s="477" t="s">
        <v>1836</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1837</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1723</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1839</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1841</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1842</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3321</v>
      </c>
      <c r="C1" s="1224" t="s">
        <v>1645</v>
      </c>
      <c r="D1" s="1225"/>
      <c r="E1" s="3412"/>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1752</v>
      </c>
      <c r="B4" s="356"/>
      <c r="C4" s="3684" t="s">
        <v>1753</v>
      </c>
      <c r="D4" s="3685"/>
      <c r="E4" s="3686" t="s">
        <v>1754</v>
      </c>
      <c r="F4" s="3687"/>
      <c r="G4" s="3684" t="s">
        <v>1755</v>
      </c>
      <c r="H4" s="3685"/>
      <c r="I4" s="3684" t="s">
        <v>1756</v>
      </c>
      <c r="J4" s="3685"/>
      <c r="K4" s="559" t="s">
        <v>1757</v>
      </c>
      <c r="L4" s="2694"/>
      <c r="M4" s="2695"/>
      <c r="N4" s="2695"/>
      <c r="O4" s="2695"/>
      <c r="P4" s="3688" t="s">
        <v>1758</v>
      </c>
      <c r="Q4" s="3689"/>
      <c r="R4" s="3671" t="s">
        <v>1754</v>
      </c>
      <c r="S4" s="3672"/>
      <c r="T4" s="3671" t="s">
        <v>1755</v>
      </c>
      <c r="U4" s="3672"/>
      <c r="V4" s="3696" t="s">
        <v>1756</v>
      </c>
      <c r="W4" s="3696"/>
      <c r="X4" s="1355"/>
      <c r="Y4" s="3671" t="s">
        <v>1758</v>
      </c>
      <c r="Z4" s="3672"/>
      <c r="AA4" s="3666" t="s">
        <v>1754</v>
      </c>
      <c r="AB4" s="3667" t="s">
        <v>1755</v>
      </c>
      <c r="AC4" s="3666" t="s">
        <v>1756</v>
      </c>
    </row>
    <row r="5" spans="1:29" ht="15">
      <c r="A5" s="358"/>
      <c r="B5" s="359"/>
      <c r="C5" s="3677" t="s">
        <v>1656</v>
      </c>
      <c r="D5" s="3678"/>
      <c r="E5" s="3675" t="s">
        <v>1657</v>
      </c>
      <c r="F5" s="3676"/>
      <c r="G5" s="3677" t="s">
        <v>1658</v>
      </c>
      <c r="H5" s="3678"/>
      <c r="I5" s="3677" t="s">
        <v>1659</v>
      </c>
      <c r="J5" s="3678"/>
      <c r="K5" s="559"/>
      <c r="L5" s="2694"/>
      <c r="M5" s="2695"/>
      <c r="N5" s="2695"/>
      <c r="O5" s="2695"/>
      <c r="P5" s="3690"/>
      <c r="Q5" s="3691"/>
      <c r="R5" s="3673"/>
      <c r="S5" s="3674"/>
      <c r="T5" s="3673"/>
      <c r="U5" s="3674"/>
      <c r="V5" s="3696"/>
      <c r="W5" s="3696"/>
      <c r="X5" s="1355"/>
      <c r="Y5" s="3673"/>
      <c r="Z5" s="3674"/>
      <c r="AA5" s="3667"/>
      <c r="AB5" s="3667"/>
      <c r="AC5" s="3667"/>
    </row>
    <row r="6" spans="1:29" ht="15.75" thickBot="1">
      <c r="A6" s="360"/>
      <c r="B6" s="361"/>
      <c r="C6" s="3679" t="s">
        <v>1660</v>
      </c>
      <c r="D6" s="3680"/>
      <c r="E6" s="3681" t="s">
        <v>1660</v>
      </c>
      <c r="F6" s="3682"/>
      <c r="G6" s="3679" t="s">
        <v>1660</v>
      </c>
      <c r="H6" s="3680"/>
      <c r="I6" s="3679" t="s">
        <v>1660</v>
      </c>
      <c r="J6" s="3680"/>
      <c r="K6" s="559" t="s">
        <v>1661</v>
      </c>
      <c r="L6" s="2694"/>
      <c r="M6" s="2695"/>
      <c r="N6" s="2695"/>
      <c r="O6" s="2695"/>
      <c r="P6" s="3692"/>
      <c r="Q6" s="3693"/>
      <c r="R6" s="3673"/>
      <c r="S6" s="3674"/>
      <c r="T6" s="3694"/>
      <c r="U6" s="3695"/>
      <c r="V6" s="3696"/>
      <c r="W6" s="3696"/>
      <c r="X6" s="1355"/>
      <c r="Y6" s="3694"/>
      <c r="Z6" s="3695"/>
      <c r="AA6" s="3668"/>
      <c r="AB6" s="3668"/>
      <c r="AC6" s="3668"/>
    </row>
    <row r="7" spans="1:29" s="108" customFormat="1" ht="15.75" thickBot="1">
      <c r="A7" s="362" t="s">
        <v>1662</v>
      </c>
      <c r="B7" s="363"/>
      <c r="C7" s="364">
        <f>'数据-取费表'!B2</f>
        <v>45420</v>
      </c>
      <c r="D7" s="365">
        <v>100</v>
      </c>
      <c r="E7" s="366"/>
      <c r="F7" s="367">
        <f>SUMIF(46:46,YEAR(E7)&amp;"-"&amp;MONTH(E7),47:47)</f>
        <v>0</v>
      </c>
      <c r="G7" s="1974"/>
      <c r="H7" s="365">
        <f>SUMIF(46:46,YEAR(G7)&amp;"-"&amp;MONTH(G7),47:47)</f>
        <v>0</v>
      </c>
      <c r="I7" s="366"/>
      <c r="J7" s="365">
        <f>SUMIF(46:46,YEAR(I7)&amp;"-"&amp;MONTH(I7),47:47)</f>
        <v>0</v>
      </c>
      <c r="K7" s="560"/>
      <c r="L7" s="2696"/>
      <c r="M7" s="2697"/>
      <c r="N7" s="2697"/>
      <c r="O7" s="2697"/>
      <c r="P7" s="3669" t="s">
        <v>1663</v>
      </c>
      <c r="Q7" s="3697"/>
      <c r="R7" s="701" t="s">
        <v>14</v>
      </c>
      <c r="S7" s="702">
        <f t="shared" ref="S7:S14" si="0">F7</f>
        <v>0</v>
      </c>
      <c r="T7" s="701" t="s">
        <v>14</v>
      </c>
      <c r="U7" s="702">
        <f t="shared" ref="U7:U14" si="1">H7</f>
        <v>0</v>
      </c>
      <c r="V7" s="701" t="s">
        <v>14</v>
      </c>
      <c r="W7" s="702">
        <f t="shared" ref="W7:W14" si="2">J7</f>
        <v>0</v>
      </c>
      <c r="X7" s="703"/>
      <c r="Y7" s="3669" t="s">
        <v>1663</v>
      </c>
      <c r="Z7" s="3670"/>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669" t="s">
        <v>1666</v>
      </c>
      <c r="Q8" s="3670"/>
      <c r="R8" s="701" t="s">
        <v>14</v>
      </c>
      <c r="S8" s="702">
        <f t="shared" si="0"/>
        <v>100</v>
      </c>
      <c r="T8" s="701" t="s">
        <v>14</v>
      </c>
      <c r="U8" s="702">
        <f t="shared" si="1"/>
        <v>100</v>
      </c>
      <c r="V8" s="701" t="s">
        <v>14</v>
      </c>
      <c r="W8" s="702">
        <f t="shared" si="2"/>
        <v>100</v>
      </c>
      <c r="X8" s="703"/>
      <c r="Y8" s="3669" t="s">
        <v>1666</v>
      </c>
      <c r="Z8" s="3670"/>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701" t="s">
        <v>1669</v>
      </c>
      <c r="Q9" s="1343" t="str">
        <f t="shared" ref="Q9:Q14" si="6">B9</f>
        <v>用途</v>
      </c>
      <c r="R9" s="701" t="s">
        <v>14</v>
      </c>
      <c r="S9" s="702">
        <f t="shared" si="0"/>
        <v>100</v>
      </c>
      <c r="T9" s="701" t="s">
        <v>14</v>
      </c>
      <c r="U9" s="702">
        <f t="shared" si="1"/>
        <v>100</v>
      </c>
      <c r="V9" s="701" t="s">
        <v>14</v>
      </c>
      <c r="W9" s="702">
        <f t="shared" si="2"/>
        <v>100</v>
      </c>
      <c r="X9" s="703"/>
      <c r="Y9" s="3613" t="s">
        <v>1670</v>
      </c>
      <c r="Z9" s="52" t="str">
        <f t="shared" ref="Z9:Z14" si="7">Q9</f>
        <v>用途</v>
      </c>
      <c r="AA9" s="704">
        <f t="shared" si="3"/>
        <v>1</v>
      </c>
      <c r="AB9" s="704">
        <f t="shared" si="4"/>
        <v>1</v>
      </c>
      <c r="AC9" s="704">
        <f t="shared" si="5"/>
        <v>1</v>
      </c>
    </row>
    <row r="10" spans="1:29" s="378" customFormat="1" ht="27">
      <c r="A10" s="374"/>
      <c r="B10" s="375" t="s">
        <v>1671</v>
      </c>
      <c r="C10" s="3413"/>
      <c r="D10" s="127">
        <v>100</v>
      </c>
      <c r="E10" s="3413"/>
      <c r="F10" s="376">
        <f>SUMIF(53:53,E10,54:54)-SUMIF(53:53,C10,54:54)+100</f>
        <v>100</v>
      </c>
      <c r="G10" s="3413"/>
      <c r="H10" s="127">
        <f>SUMIF(53:53,G10,54:54)-SUMIF(53:53,C10,54:54)+100</f>
        <v>100</v>
      </c>
      <c r="I10" s="3413"/>
      <c r="J10" s="127">
        <f>SUMIF(53:53,I10,54:54)-SUMIF(53:53,C10,54:54)+100</f>
        <v>100</v>
      </c>
      <c r="K10" s="560"/>
      <c r="L10" s="2698"/>
      <c r="M10" s="2699"/>
      <c r="N10" s="2699"/>
      <c r="O10" s="2752"/>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1"/>
      <c r="M13" s="2695"/>
      <c r="N13" s="2695"/>
      <c r="O13" s="2753"/>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1673</v>
      </c>
      <c r="B14" s="61" t="s">
        <v>1816</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703" t="s">
        <v>1674</v>
      </c>
      <c r="Q14" s="1352" t="str">
        <f t="shared" si="6"/>
        <v>交通便捷度</v>
      </c>
      <c r="R14" s="705" t="s">
        <v>14</v>
      </c>
      <c r="S14" s="706">
        <f t="shared" si="0"/>
        <v>100</v>
      </c>
      <c r="T14" s="705" t="s">
        <v>14</v>
      </c>
      <c r="U14" s="706">
        <f t="shared" si="1"/>
        <v>100</v>
      </c>
      <c r="V14" s="705" t="s">
        <v>14</v>
      </c>
      <c r="W14" s="706">
        <f t="shared" si="2"/>
        <v>100</v>
      </c>
      <c r="X14" s="1355"/>
      <c r="Y14" s="3703"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704"/>
      <c r="Q15" s="1352"/>
      <c r="R15" s="705"/>
      <c r="S15" s="706"/>
      <c r="T15" s="705"/>
      <c r="U15" s="706"/>
      <c r="V15" s="705"/>
      <c r="W15" s="706"/>
      <c r="X15" s="1355"/>
      <c r="Y15" s="3704"/>
      <c r="Z15" s="1356"/>
      <c r="AA15" s="1353">
        <v>1</v>
      </c>
      <c r="AB15" s="1353">
        <v>1</v>
      </c>
      <c r="AC15" s="1353">
        <v>1</v>
      </c>
    </row>
    <row r="16" spans="1:29" ht="42.75">
      <c r="A16" s="379"/>
      <c r="B16" s="402" t="s">
        <v>1795</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1"/>
      <c r="M17" s="2695"/>
      <c r="N17" s="2695"/>
      <c r="O17" s="2753"/>
      <c r="P17" s="3704"/>
      <c r="Q17" s="1352"/>
      <c r="R17" s="705"/>
      <c r="S17" s="706"/>
      <c r="T17" s="705"/>
      <c r="U17" s="706"/>
      <c r="V17" s="705"/>
      <c r="W17" s="706"/>
      <c r="X17" s="1355"/>
      <c r="Y17" s="3704"/>
      <c r="Z17" s="1356"/>
      <c r="AA17" s="1353">
        <v>1</v>
      </c>
      <c r="AB17" s="1353">
        <v>1</v>
      </c>
      <c r="AC17" s="1353">
        <v>1</v>
      </c>
    </row>
    <row r="18" spans="1:29" ht="28.5">
      <c r="A18" s="379"/>
      <c r="B18" s="1131" t="s">
        <v>1796</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1"/>
      <c r="M19" s="2695"/>
      <c r="N19" s="2695"/>
      <c r="O19" s="2753"/>
      <c r="P19" s="3704"/>
      <c r="Q19" s="1352"/>
      <c r="R19" s="705"/>
      <c r="S19" s="706"/>
      <c r="T19" s="705"/>
      <c r="U19" s="706"/>
      <c r="V19" s="705"/>
      <c r="W19" s="706"/>
      <c r="X19" s="1355"/>
      <c r="Y19" s="3704"/>
      <c r="Z19" s="1356"/>
      <c r="AA19" s="1353">
        <v>1</v>
      </c>
      <c r="AB19" s="1353">
        <v>1</v>
      </c>
      <c r="AC19" s="1353">
        <v>1</v>
      </c>
    </row>
    <row r="20" spans="1:29" ht="57">
      <c r="A20" s="379"/>
      <c r="B20" s="402" t="s">
        <v>1817</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704"/>
      <c r="Q21" s="1352"/>
      <c r="R21" s="705"/>
      <c r="S21" s="706"/>
      <c r="T21" s="705"/>
      <c r="U21" s="706"/>
      <c r="V21" s="705"/>
      <c r="W21" s="706"/>
      <c r="X21" s="1355"/>
      <c r="Y21" s="3704"/>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6"/>
      <c r="M25" s="2697"/>
      <c r="N25" s="2697"/>
      <c r="O25" s="2751"/>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701"/>
      <c r="M26" s="2695"/>
      <c r="N26" s="2695"/>
      <c r="O26" s="2753"/>
      <c r="P26" s="3727"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708" t="s">
        <v>1679</v>
      </c>
      <c r="Q32" s="1352">
        <f t="shared" si="11"/>
        <v>111</v>
      </c>
      <c r="R32" s="705" t="s">
        <v>14</v>
      </c>
      <c r="S32" s="706">
        <f t="shared" si="12"/>
        <v>100</v>
      </c>
      <c r="T32" s="705" t="s">
        <v>14</v>
      </c>
      <c r="U32" s="706">
        <f t="shared" si="13"/>
        <v>100</v>
      </c>
      <c r="V32" s="705" t="s">
        <v>14</v>
      </c>
      <c r="W32" s="706">
        <f t="shared" si="14"/>
        <v>100</v>
      </c>
      <c r="X32" s="1355"/>
      <c r="Y32" s="3708"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1"/>
      <c r="M34" s="2695"/>
      <c r="N34" s="2695"/>
      <c r="O34" s="2753"/>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703"/>
      <c r="M35" s="2704"/>
      <c r="N35" s="2695"/>
      <c r="O35" s="2704"/>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1776</v>
      </c>
      <c r="B36" s="438"/>
      <c r="C36" s="1160" t="e">
        <f>R37</f>
        <v>#DIV/0!</v>
      </c>
      <c r="D36" s="2317" t="s">
        <v>2121</v>
      </c>
      <c r="E36" s="1161" t="e">
        <f>R36</f>
        <v>#DIV/0!</v>
      </c>
      <c r="F36" s="2318"/>
      <c r="G36" s="1160" t="e">
        <f>T36</f>
        <v>#DIV/0!</v>
      </c>
      <c r="H36" s="2318"/>
      <c r="I36" s="1161" t="e">
        <f>V36</f>
        <v>#DIV/0!</v>
      </c>
      <c r="J36" s="2318"/>
      <c r="K36" s="2320">
        <f>F36+H36+J36</f>
        <v>0</v>
      </c>
      <c r="L36" s="2703"/>
      <c r="M36" s="2704"/>
      <c r="N36" s="2695"/>
      <c r="O36" s="270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703"/>
      <c r="M37" s="2704"/>
      <c r="N37" s="2704"/>
      <c r="O37" s="2704"/>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1781</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1662</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1"/>
      <c r="R47" s="2641"/>
      <c r="S47" s="2641"/>
      <c r="T47" s="2641"/>
      <c r="U47" s="2641"/>
      <c r="V47" s="2641"/>
      <c r="W47" s="2641"/>
      <c r="X47" s="2641"/>
      <c r="Y47" s="2641"/>
      <c r="Z47" s="2641"/>
      <c r="AA47" s="2641"/>
      <c r="AB47" s="2641"/>
      <c r="AC47" s="2641"/>
      <c r="AD47" s="2641"/>
    </row>
    <row r="48" spans="1:30" s="108" customFormat="1" ht="15.75" thickBot="1">
      <c r="A48" s="464" t="s">
        <v>1699</v>
      </c>
      <c r="B48" s="465"/>
      <c r="C48" s="466"/>
      <c r="D48" s="467"/>
      <c r="E48" s="467"/>
      <c r="F48" s="467"/>
      <c r="G48" s="467"/>
      <c r="H48" s="467"/>
      <c r="I48" s="467"/>
      <c r="J48" s="467"/>
      <c r="K48" s="467"/>
      <c r="L48" s="467"/>
      <c r="M48" s="468"/>
      <c r="N48" s="467"/>
      <c r="O48" s="469"/>
      <c r="P48" s="2718"/>
      <c r="Q48" s="2718"/>
      <c r="R48" s="2641"/>
      <c r="S48" s="2641"/>
      <c r="T48" s="2641"/>
      <c r="U48" s="2641"/>
      <c r="V48" s="2641"/>
      <c r="W48" s="2641"/>
      <c r="X48" s="2641"/>
      <c r="Y48" s="2641"/>
      <c r="Z48" s="2641"/>
      <c r="AA48" s="2641"/>
      <c r="AB48" s="2641"/>
      <c r="AC48" s="2641"/>
      <c r="AD48" s="2641"/>
    </row>
    <row r="49" spans="1:30" s="108" customFormat="1" ht="15">
      <c r="A49" s="470" t="s">
        <v>1664</v>
      </c>
      <c r="B49" s="459"/>
      <c r="C49" s="471" t="s">
        <v>1759</v>
      </c>
      <c r="D49" s="472"/>
      <c r="E49" s="472"/>
      <c r="F49" s="472"/>
      <c r="G49" s="472"/>
      <c r="H49" s="472"/>
      <c r="I49" s="472"/>
      <c r="J49" s="472"/>
      <c r="K49" s="472"/>
      <c r="L49" s="473"/>
      <c r="M49" s="474"/>
      <c r="N49" s="2731"/>
      <c r="O49" s="2731"/>
      <c r="P49" s="2756"/>
      <c r="Q49" s="2718"/>
      <c r="R49" s="2641"/>
      <c r="S49" s="2641"/>
      <c r="T49" s="2641"/>
      <c r="U49" s="2641"/>
      <c r="V49" s="2641"/>
      <c r="W49" s="2641"/>
      <c r="X49" s="2641"/>
      <c r="Y49" s="2641"/>
      <c r="Z49" s="2641"/>
      <c r="AA49" s="2641"/>
      <c r="AB49" s="2641"/>
      <c r="AC49" s="2641"/>
      <c r="AD49" s="2641"/>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1"/>
      <c r="S50" s="2641"/>
      <c r="T50" s="2641"/>
      <c r="U50" s="2641"/>
      <c r="V50" s="2641"/>
      <c r="W50" s="2641"/>
      <c r="X50" s="2641"/>
      <c r="Y50" s="2641"/>
      <c r="Z50" s="2641"/>
      <c r="AA50" s="2641"/>
      <c r="AB50" s="2641"/>
      <c r="AC50" s="2641"/>
      <c r="AD50" s="2641"/>
    </row>
    <row r="51" spans="1:30">
      <c r="A51" s="476" t="s">
        <v>1702</v>
      </c>
      <c r="B51" s="477" t="s">
        <v>1668</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1671</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1846</v>
      </c>
      <c r="C63" s="527" t="s">
        <v>1704</v>
      </c>
      <c r="D63" s="527" t="s">
        <v>1705</v>
      </c>
      <c r="E63" s="527" t="s">
        <v>1706</v>
      </c>
      <c r="F63" s="527" t="s">
        <v>1707</v>
      </c>
      <c r="G63" s="527" t="s">
        <v>1708</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1796</v>
      </c>
      <c r="C65" s="608" t="s">
        <v>1782</v>
      </c>
      <c r="D65" s="608" t="s">
        <v>1783</v>
      </c>
      <c r="E65" s="608" t="s">
        <v>1784</v>
      </c>
      <c r="F65" s="608" t="s">
        <v>1785</v>
      </c>
      <c r="G65" s="608" t="s">
        <v>1786</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1716</v>
      </c>
      <c r="C67" s="527" t="s">
        <v>1704</v>
      </c>
      <c r="D67" s="527" t="s">
        <v>1705</v>
      </c>
      <c r="E67" s="527" t="s">
        <v>1706</v>
      </c>
      <c r="F67" s="527" t="s">
        <v>1707</v>
      </c>
      <c r="G67" s="527" t="s">
        <v>1708</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1835</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1"/>
      <c r="S71" s="2641"/>
      <c r="T71" s="2641"/>
      <c r="U71" s="2641"/>
      <c r="V71" s="2641"/>
      <c r="W71" s="2641"/>
      <c r="X71" s="2641"/>
      <c r="Y71" s="2641"/>
      <c r="Z71" s="2641"/>
      <c r="AA71" s="2641"/>
      <c r="AB71" s="2641"/>
      <c r="AC71" s="2641"/>
      <c r="AD71" s="2641"/>
    </row>
    <row r="72" spans="1:30" s="108" customFormat="1" ht="15.75" thickBot="1">
      <c r="A72" s="528"/>
      <c r="B72" s="492"/>
      <c r="C72" s="509"/>
      <c r="D72" s="485"/>
      <c r="E72" s="485"/>
      <c r="F72" s="485"/>
      <c r="G72" s="485"/>
      <c r="H72" s="485"/>
      <c r="I72" s="485"/>
      <c r="J72" s="485"/>
      <c r="K72" s="485"/>
      <c r="L72" s="485"/>
      <c r="M72" s="486"/>
      <c r="N72" s="2733"/>
      <c r="O72" s="2733"/>
      <c r="P72" s="2757"/>
      <c r="Q72" s="2718"/>
      <c r="R72" s="2641"/>
      <c r="S72" s="2641"/>
      <c r="T72" s="2641"/>
      <c r="U72" s="2641"/>
      <c r="V72" s="2641"/>
      <c r="W72" s="2641"/>
      <c r="X72" s="2641"/>
      <c r="Y72" s="2641"/>
      <c r="Z72" s="2641"/>
      <c r="AA72" s="2641"/>
      <c r="AB72" s="2641"/>
      <c r="AC72" s="2641"/>
      <c r="AD72" s="2641"/>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1"/>
      <c r="S73" s="2641"/>
      <c r="T73" s="2641"/>
      <c r="U73" s="2641"/>
      <c r="V73" s="2641"/>
      <c r="W73" s="2641"/>
      <c r="X73" s="2641"/>
      <c r="Y73" s="2641"/>
      <c r="Z73" s="2641"/>
      <c r="AA73" s="2641"/>
      <c r="AB73" s="2641"/>
      <c r="AC73" s="2641"/>
      <c r="AD73" s="2641"/>
    </row>
    <row r="74" spans="1:30" s="108" customFormat="1" ht="15.75" thickBot="1">
      <c r="A74" s="528"/>
      <c r="B74" s="492"/>
      <c r="C74" s="509"/>
      <c r="D74" s="485"/>
      <c r="E74" s="485"/>
      <c r="F74" s="485"/>
      <c r="G74" s="485"/>
      <c r="H74" s="485"/>
      <c r="I74" s="485"/>
      <c r="J74" s="485"/>
      <c r="K74" s="485"/>
      <c r="L74" s="485"/>
      <c r="M74" s="486"/>
      <c r="N74" s="2733"/>
      <c r="O74" s="2733"/>
      <c r="P74" s="2757"/>
      <c r="Q74" s="2718"/>
      <c r="R74" s="2641"/>
      <c r="S74" s="2641"/>
      <c r="T74" s="2641"/>
      <c r="U74" s="2641"/>
      <c r="V74" s="2641"/>
      <c r="W74" s="2641"/>
      <c r="X74" s="2641"/>
      <c r="Y74" s="2641"/>
      <c r="Z74" s="2641"/>
      <c r="AA74" s="2641"/>
      <c r="AB74" s="2641"/>
      <c r="AC74" s="2641"/>
      <c r="AD74" s="2641"/>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1677</v>
      </c>
      <c r="B77" s="477" t="s">
        <v>1723</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1839</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1847</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1849</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1752</v>
      </c>
      <c r="B4" s="356"/>
      <c r="C4" s="3684" t="s">
        <v>1753</v>
      </c>
      <c r="D4" s="3685"/>
      <c r="E4" s="3686" t="s">
        <v>1754</v>
      </c>
      <c r="F4" s="3687"/>
      <c r="G4" s="3684" t="s">
        <v>1755</v>
      </c>
      <c r="H4" s="3685"/>
      <c r="I4" s="3684" t="s">
        <v>1756</v>
      </c>
      <c r="J4" s="3685"/>
      <c r="K4" s="559" t="s">
        <v>1757</v>
      </c>
      <c r="L4" s="2694"/>
      <c r="M4" s="2695"/>
      <c r="N4" s="2695"/>
      <c r="O4" s="2695"/>
      <c r="P4" s="3688" t="s">
        <v>1758</v>
      </c>
      <c r="Q4" s="3689"/>
      <c r="R4" s="3671" t="s">
        <v>1754</v>
      </c>
      <c r="S4" s="3672"/>
      <c r="T4" s="3671" t="s">
        <v>1755</v>
      </c>
      <c r="U4" s="3672"/>
      <c r="V4" s="3696" t="s">
        <v>1756</v>
      </c>
      <c r="W4" s="3696"/>
      <c r="X4" s="1355"/>
      <c r="Y4" s="3671" t="s">
        <v>1758</v>
      </c>
      <c r="Z4" s="3672"/>
      <c r="AA4" s="3666" t="s">
        <v>1754</v>
      </c>
      <c r="AB4" s="3667" t="s">
        <v>1755</v>
      </c>
      <c r="AC4" s="3666" t="s">
        <v>1756</v>
      </c>
    </row>
    <row r="5" spans="1:30" ht="15">
      <c r="A5" s="358"/>
      <c r="B5" s="359"/>
      <c r="C5" s="3677" t="s">
        <v>1656</v>
      </c>
      <c r="D5" s="3678"/>
      <c r="E5" s="3675" t="s">
        <v>1657</v>
      </c>
      <c r="F5" s="3676"/>
      <c r="G5" s="3677" t="s">
        <v>1658</v>
      </c>
      <c r="H5" s="3678"/>
      <c r="I5" s="3677" t="s">
        <v>1659</v>
      </c>
      <c r="J5" s="3678"/>
      <c r="K5" s="559"/>
      <c r="L5" s="2694"/>
      <c r="M5" s="2695"/>
      <c r="N5" s="2695"/>
      <c r="O5" s="2695"/>
      <c r="P5" s="3690"/>
      <c r="Q5" s="3691"/>
      <c r="R5" s="3673"/>
      <c r="S5" s="3674"/>
      <c r="T5" s="3673"/>
      <c r="U5" s="3674"/>
      <c r="V5" s="3696"/>
      <c r="W5" s="3696"/>
      <c r="X5" s="1355"/>
      <c r="Y5" s="3673"/>
      <c r="Z5" s="3674"/>
      <c r="AA5" s="3667"/>
      <c r="AB5" s="3667"/>
      <c r="AC5" s="3667"/>
    </row>
    <row r="6" spans="1:30" ht="15.75" thickBot="1">
      <c r="A6" s="360"/>
      <c r="B6" s="361"/>
      <c r="C6" s="3679" t="s">
        <v>1660</v>
      </c>
      <c r="D6" s="3680"/>
      <c r="E6" s="3681" t="s">
        <v>1660</v>
      </c>
      <c r="F6" s="3682"/>
      <c r="G6" s="3679" t="s">
        <v>1660</v>
      </c>
      <c r="H6" s="3680"/>
      <c r="I6" s="3679" t="s">
        <v>1660</v>
      </c>
      <c r="J6" s="3680"/>
      <c r="K6" s="559" t="s">
        <v>1661</v>
      </c>
      <c r="L6" s="2694"/>
      <c r="M6" s="2695"/>
      <c r="N6" s="2695"/>
      <c r="O6" s="2695"/>
      <c r="P6" s="3692"/>
      <c r="Q6" s="3693"/>
      <c r="R6" s="3673"/>
      <c r="S6" s="3674"/>
      <c r="T6" s="3694"/>
      <c r="U6" s="3695"/>
      <c r="V6" s="3696"/>
      <c r="W6" s="3696"/>
      <c r="X6" s="1355"/>
      <c r="Y6" s="3694"/>
      <c r="Z6" s="3695"/>
      <c r="AA6" s="3668"/>
      <c r="AB6" s="3668"/>
      <c r="AC6" s="3668"/>
    </row>
    <row r="7" spans="1:30" s="108" customFormat="1" ht="15.75" thickBot="1">
      <c r="A7" s="362" t="s">
        <v>1662</v>
      </c>
      <c r="B7" s="363"/>
      <c r="C7" s="364">
        <f>'数据-取费表'!B2</f>
        <v>45420</v>
      </c>
      <c r="D7" s="365">
        <v>100</v>
      </c>
      <c r="E7" s="366"/>
      <c r="F7" s="367">
        <f>SUMIF(69:69,YEAR(E7)&amp;"-"&amp;INT((MONTH(E7)+2)/3),70:70)</f>
        <v>0</v>
      </c>
      <c r="G7" s="1974"/>
      <c r="H7" s="365">
        <f>SUMIF(69:69,YEAR(G7)&amp;"-"&amp;INT((MONTH(G7)+2)/3),70:70)</f>
        <v>0</v>
      </c>
      <c r="I7" s="1974"/>
      <c r="J7" s="365">
        <f>SUMIF(69:69,YEAR(I7)&amp;"-"&amp;INT((MONTH(I7)+2)/3),70:70)</f>
        <v>0</v>
      </c>
      <c r="K7" s="560"/>
      <c r="L7" s="2696"/>
      <c r="M7" s="2697"/>
      <c r="N7" s="2697"/>
      <c r="O7" s="2697"/>
      <c r="P7" s="3669" t="s">
        <v>1663</v>
      </c>
      <c r="Q7" s="3697"/>
      <c r="R7" s="701" t="s">
        <v>14</v>
      </c>
      <c r="S7" s="702">
        <f t="shared" ref="S7:S15" si="0">F7</f>
        <v>0</v>
      </c>
      <c r="T7" s="701" t="s">
        <v>14</v>
      </c>
      <c r="U7" s="702">
        <f t="shared" ref="U7:U15" si="1">H7</f>
        <v>0</v>
      </c>
      <c r="V7" s="701" t="s">
        <v>14</v>
      </c>
      <c r="W7" s="702">
        <f t="shared" ref="W7:W15" si="2">J7</f>
        <v>0</v>
      </c>
      <c r="X7" s="703"/>
      <c r="Y7" s="3669" t="s">
        <v>1663</v>
      </c>
      <c r="Z7" s="3670"/>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669" t="s">
        <v>1666</v>
      </c>
      <c r="Q8" s="3670"/>
      <c r="R8" s="701" t="s">
        <v>14</v>
      </c>
      <c r="S8" s="702">
        <f t="shared" si="0"/>
        <v>0</v>
      </c>
      <c r="T8" s="701" t="s">
        <v>14</v>
      </c>
      <c r="U8" s="702">
        <f t="shared" si="1"/>
        <v>0</v>
      </c>
      <c r="V8" s="701" t="s">
        <v>14</v>
      </c>
      <c r="W8" s="702">
        <f t="shared" si="2"/>
        <v>0</v>
      </c>
      <c r="X8" s="703"/>
      <c r="Y8" s="3669" t="s">
        <v>1666</v>
      </c>
      <c r="Z8" s="3670"/>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6"/>
      <c r="M9" s="2697"/>
      <c r="N9" s="2697"/>
      <c r="O9" s="2751"/>
      <c r="P9" s="3701" t="s">
        <v>1669</v>
      </c>
      <c r="Q9" s="1343" t="str">
        <f t="shared" ref="Q9:Q15" si="6">B9</f>
        <v>用途</v>
      </c>
      <c r="R9" s="701" t="s">
        <v>14</v>
      </c>
      <c r="S9" s="702">
        <f t="shared" si="0"/>
        <v>100</v>
      </c>
      <c r="T9" s="701" t="s">
        <v>14</v>
      </c>
      <c r="U9" s="702">
        <f t="shared" si="1"/>
        <v>100</v>
      </c>
      <c r="V9" s="701" t="s">
        <v>14</v>
      </c>
      <c r="W9" s="702">
        <f t="shared" si="2"/>
        <v>100</v>
      </c>
      <c r="X9" s="703"/>
      <c r="Y9" s="3613"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111</v>
      </c>
      <c r="G10" s="414"/>
      <c r="H10" s="127">
        <f>ROUND(100/'数据-取费表'!G16,0)</f>
        <v>111</v>
      </c>
      <c r="I10" s="414"/>
      <c r="J10" s="127">
        <f>ROUND(100/'数据-取费表'!G16,0)</f>
        <v>111</v>
      </c>
      <c r="K10" s="620"/>
      <c r="L10" s="2698"/>
      <c r="M10" s="2699"/>
      <c r="N10" s="2699"/>
      <c r="O10" s="2752"/>
      <c r="P10" s="3701"/>
      <c r="Q10" s="1343" t="str">
        <f t="shared" si="6"/>
        <v>土地使用年限（年）</v>
      </c>
      <c r="R10" s="701" t="s">
        <v>14</v>
      </c>
      <c r="S10" s="702">
        <f t="shared" si="0"/>
        <v>111</v>
      </c>
      <c r="T10" s="701" t="s">
        <v>14</v>
      </c>
      <c r="U10" s="702">
        <f t="shared" si="1"/>
        <v>111</v>
      </c>
      <c r="V10" s="701" t="s">
        <v>14</v>
      </c>
      <c r="W10" s="702">
        <f t="shared" si="2"/>
        <v>111</v>
      </c>
      <c r="X10" s="703"/>
      <c r="Y10" s="3613"/>
      <c r="Z10" s="52" t="str">
        <f t="shared" si="7"/>
        <v>土地使用年限（年）</v>
      </c>
      <c r="AA10" s="704">
        <f t="shared" si="3"/>
        <v>0.90090090090090091</v>
      </c>
      <c r="AB10" s="704">
        <f t="shared" si="4"/>
        <v>0.90090090090090091</v>
      </c>
      <c r="AC10" s="704">
        <f t="shared" si="5"/>
        <v>0.90090090090090091</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701"/>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1673</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703" t="s">
        <v>1674</v>
      </c>
      <c r="Q15" s="1352" t="str">
        <f t="shared" si="6"/>
        <v>居住社区成熟度</v>
      </c>
      <c r="R15" s="705" t="s">
        <v>14</v>
      </c>
      <c r="S15" s="706">
        <f t="shared" si="0"/>
        <v>100</v>
      </c>
      <c r="T15" s="705" t="s">
        <v>14</v>
      </c>
      <c r="U15" s="706">
        <f t="shared" si="1"/>
        <v>100</v>
      </c>
      <c r="V15" s="705" t="s">
        <v>14</v>
      </c>
      <c r="W15" s="706">
        <f t="shared" si="2"/>
        <v>100</v>
      </c>
      <c r="X15" s="1355"/>
      <c r="Y15" s="3703"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1"/>
      <c r="M16" s="2695"/>
      <c r="N16" s="2695"/>
      <c r="O16" s="2753"/>
      <c r="P16" s="3704"/>
      <c r="Q16" s="1352"/>
      <c r="R16" s="705"/>
      <c r="S16" s="706"/>
      <c r="T16" s="705"/>
      <c r="U16" s="706"/>
      <c r="V16" s="705"/>
      <c r="W16" s="706"/>
      <c r="X16" s="1355"/>
      <c r="Y16" s="3704"/>
      <c r="Z16" s="1356"/>
      <c r="AA16" s="1353">
        <v>1</v>
      </c>
      <c r="AB16" s="1353">
        <v>1</v>
      </c>
      <c r="AC16" s="1353">
        <v>1</v>
      </c>
    </row>
    <row r="17" spans="1:29" ht="71.25">
      <c r="A17" s="379"/>
      <c r="B17" s="402" t="s">
        <v>1760</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1"/>
      <c r="M18" s="2695"/>
      <c r="N18" s="2695"/>
      <c r="O18" s="2753"/>
      <c r="P18" s="3704"/>
      <c r="Q18" s="1352"/>
      <c r="R18" s="705"/>
      <c r="S18" s="706"/>
      <c r="T18" s="705"/>
      <c r="U18" s="706"/>
      <c r="V18" s="705"/>
      <c r="W18" s="706"/>
      <c r="X18" s="1355"/>
      <c r="Y18" s="3704"/>
      <c r="Z18" s="1356"/>
      <c r="AA18" s="1353">
        <v>1</v>
      </c>
      <c r="AB18" s="1353">
        <v>1</v>
      </c>
      <c r="AC18" s="1353">
        <v>1</v>
      </c>
    </row>
    <row r="19" spans="1:29" ht="71.25">
      <c r="A19" s="379"/>
      <c r="B19" s="402" t="s">
        <v>1794</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1"/>
      <c r="M20" s="2695"/>
      <c r="N20" s="2695"/>
      <c r="O20" s="2753"/>
      <c r="P20" s="3704"/>
      <c r="Q20" s="1352"/>
      <c r="R20" s="705"/>
      <c r="S20" s="706"/>
      <c r="T20" s="705"/>
      <c r="U20" s="706"/>
      <c r="V20" s="705"/>
      <c r="W20" s="706"/>
      <c r="X20" s="1355"/>
      <c r="Y20" s="3704"/>
      <c r="Z20" s="1356"/>
      <c r="AA20" s="1353">
        <v>1</v>
      </c>
      <c r="AB20" s="1353">
        <v>1</v>
      </c>
      <c r="AC20" s="1353">
        <v>1</v>
      </c>
    </row>
    <row r="21" spans="1:29" ht="85.5">
      <c r="A21" s="379"/>
      <c r="B21" s="402" t="s">
        <v>1816</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1"/>
      <c r="M22" s="2695"/>
      <c r="N22" s="2695"/>
      <c r="O22" s="2753"/>
      <c r="P22" s="3704"/>
      <c r="Q22" s="1352"/>
      <c r="R22" s="705"/>
      <c r="S22" s="706"/>
      <c r="T22" s="705"/>
      <c r="U22" s="706"/>
      <c r="V22" s="705"/>
      <c r="W22" s="706"/>
      <c r="X22" s="1355"/>
      <c r="Y22" s="3704"/>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1"/>
      <c r="M24" s="2695"/>
      <c r="N24" s="2695"/>
      <c r="O24" s="2753"/>
      <c r="P24" s="3704"/>
      <c r="Q24" s="1352"/>
      <c r="R24" s="705"/>
      <c r="S24" s="706"/>
      <c r="T24" s="705"/>
      <c r="U24" s="706"/>
      <c r="V24" s="705"/>
      <c r="W24" s="706"/>
      <c r="X24" s="1355"/>
      <c r="Y24" s="3704"/>
      <c r="Z24" s="1356"/>
      <c r="AA24" s="1353"/>
      <c r="AB24" s="1353"/>
      <c r="AC24" s="1353"/>
    </row>
    <row r="25" spans="1:29" ht="57">
      <c r="A25" s="358"/>
      <c r="B25" s="1131" t="s">
        <v>1855</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1"/>
      <c r="M26" s="2695"/>
      <c r="N26" s="2695"/>
      <c r="O26" s="2753"/>
      <c r="P26" s="3704"/>
      <c r="Q26" s="1352"/>
      <c r="R26" s="705"/>
      <c r="S26" s="706"/>
      <c r="T26" s="705"/>
      <c r="U26" s="706"/>
      <c r="V26" s="705"/>
      <c r="W26" s="706"/>
      <c r="X26" s="1355"/>
      <c r="Y26" s="3704"/>
      <c r="Z26" s="1356"/>
      <c r="AA26" s="1353">
        <v>1</v>
      </c>
      <c r="AB26" s="1353">
        <v>1</v>
      </c>
      <c r="AC26" s="1353">
        <v>1</v>
      </c>
    </row>
    <row r="27" spans="1:29" s="108" customFormat="1" ht="42.75">
      <c r="A27" s="597"/>
      <c r="B27" s="1131" t="s">
        <v>1761</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6"/>
      <c r="M28" s="2697"/>
      <c r="N28" s="2697"/>
      <c r="O28" s="2751"/>
      <c r="P28" s="3704"/>
      <c r="Q28" s="1343"/>
      <c r="R28" s="701"/>
      <c r="S28" s="702"/>
      <c r="T28" s="701"/>
      <c r="U28" s="702"/>
      <c r="V28" s="701"/>
      <c r="W28" s="702"/>
      <c r="X28" s="703"/>
      <c r="Y28" s="3704"/>
      <c r="Z28" s="52"/>
      <c r="AA28" s="1353">
        <v>1</v>
      </c>
      <c r="AB28" s="1353">
        <v>1</v>
      </c>
      <c r="AC28" s="1353">
        <v>1</v>
      </c>
    </row>
    <row r="29" spans="1:29" s="108" customFormat="1" ht="28.5">
      <c r="A29" s="597"/>
      <c r="B29" s="1131" t="s">
        <v>1762</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6"/>
      <c r="M30" s="2697"/>
      <c r="N30" s="2697"/>
      <c r="O30" s="2751"/>
      <c r="P30" s="3704"/>
      <c r="Q30" s="1343"/>
      <c r="R30" s="701"/>
      <c r="S30" s="702"/>
      <c r="T30" s="701"/>
      <c r="U30" s="702"/>
      <c r="V30" s="701"/>
      <c r="W30" s="702"/>
      <c r="X30" s="703"/>
      <c r="Y30" s="3704"/>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1"/>
      <c r="M33" s="2695"/>
      <c r="N33" s="2695"/>
      <c r="O33" s="2753"/>
      <c r="P33" s="3704"/>
      <c r="Q33" s="1352"/>
      <c r="R33" s="705"/>
      <c r="S33" s="706"/>
      <c r="T33" s="705"/>
      <c r="U33" s="706"/>
      <c r="V33" s="705"/>
      <c r="W33" s="706"/>
      <c r="X33" s="1355"/>
      <c r="Y33" s="3704"/>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27" t="s">
        <v>1679</v>
      </c>
      <c r="Q36" s="1352">
        <f t="shared" si="8"/>
        <v>111</v>
      </c>
      <c r="R36" s="705" t="s">
        <v>14</v>
      </c>
      <c r="S36" s="706">
        <f t="shared" si="10"/>
        <v>100</v>
      </c>
      <c r="T36" s="705" t="s">
        <v>14</v>
      </c>
      <c r="U36" s="706">
        <f t="shared" si="11"/>
        <v>100</v>
      </c>
      <c r="V36" s="705" t="s">
        <v>14</v>
      </c>
      <c r="W36" s="706">
        <f t="shared" si="12"/>
        <v>100</v>
      </c>
      <c r="X36" s="1355"/>
      <c r="Y36" s="3708"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1"/>
      <c r="M39" s="2695"/>
      <c r="N39" s="2695"/>
      <c r="O39" s="2753"/>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1"/>
      <c r="M40" s="2695"/>
      <c r="N40" s="2695"/>
      <c r="O40" s="2753"/>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6"/>
      <c r="M41" s="2697"/>
      <c r="N41" s="2697"/>
      <c r="O41" s="2751"/>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1"/>
      <c r="M42" s="2695"/>
      <c r="N42" s="2695"/>
      <c r="O42" s="2753"/>
      <c r="P42" s="3708" t="s">
        <v>1679</v>
      </c>
      <c r="Q42" s="1352" t="str">
        <f t="shared" si="14"/>
        <v>工程地质条件</v>
      </c>
      <c r="R42" s="705" t="s">
        <v>14</v>
      </c>
      <c r="S42" s="706">
        <f t="shared" si="10"/>
        <v>100</v>
      </c>
      <c r="T42" s="705" t="s">
        <v>14</v>
      </c>
      <c r="U42" s="706">
        <f t="shared" si="11"/>
        <v>100</v>
      </c>
      <c r="V42" s="705" t="s">
        <v>14</v>
      </c>
      <c r="W42" s="706">
        <f t="shared" si="12"/>
        <v>100</v>
      </c>
      <c r="X42" s="1355"/>
      <c r="Y42" s="3708"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703"/>
      <c r="M46" s="2704"/>
      <c r="N46" s="2695"/>
      <c r="O46" s="2704"/>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1776</v>
      </c>
      <c r="B47" s="631"/>
      <c r="C47" s="440" t="e">
        <f>R48</f>
        <v>#DIV/0!</v>
      </c>
      <c r="D47" s="2317" t="s">
        <v>2121</v>
      </c>
      <c r="E47" s="440" t="e">
        <f>R47</f>
        <v>#DIV/0!</v>
      </c>
      <c r="F47" s="2318"/>
      <c r="G47" s="439" t="e">
        <f>T47</f>
        <v>#DIV/0!</v>
      </c>
      <c r="H47" s="2318"/>
      <c r="I47" s="440" t="e">
        <f>V47</f>
        <v>#DIV/0!</v>
      </c>
      <c r="J47" s="2318"/>
      <c r="K47" s="2320">
        <f>F47+H47+J47</f>
        <v>0</v>
      </c>
      <c r="L47" s="2703"/>
      <c r="M47" s="2704"/>
      <c r="N47" s="2704"/>
      <c r="O47" s="2704"/>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703"/>
      <c r="M48" s="2704"/>
      <c r="N48" s="2704"/>
      <c r="O48" s="2704"/>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1864</v>
      </c>
      <c r="B55" s="633" t="s">
        <v>1865</v>
      </c>
      <c r="C55" s="1983" t="s">
        <v>1866</v>
      </c>
      <c r="D55" s="1984" t="s">
        <v>1867</v>
      </c>
      <c r="E55" s="634" t="s">
        <v>1868</v>
      </c>
      <c r="F55" s="890" t="s">
        <v>1869</v>
      </c>
      <c r="G55" s="3684" t="s">
        <v>1870</v>
      </c>
      <c r="H55" s="3731"/>
      <c r="I55" s="135" t="s">
        <v>1871</v>
      </c>
      <c r="J55" s="1985">
        <f>项目基本情况!F35</f>
        <v>0</v>
      </c>
      <c r="K55" s="1986" t="s">
        <v>1872</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1873</v>
      </c>
      <c r="B56" s="637" t="e">
        <f>C48</f>
        <v>#DIV/0!</v>
      </c>
      <c r="C56" s="638">
        <v>1</v>
      </c>
      <c r="D56" s="944">
        <v>1</v>
      </c>
      <c r="E56" s="638">
        <f>'数据-汇总表'!E8+'数据-汇总表'!E9</f>
        <v>100737.07000000002</v>
      </c>
      <c r="F56" s="886" t="e">
        <f t="shared" ref="F56:F64" si="15">ROUND(B56*E56/10000,0)</f>
        <v>#DIV/0!</v>
      </c>
      <c r="G56" s="3683"/>
      <c r="H56" s="3701"/>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1874</v>
      </c>
      <c r="B57" s="218" t="e">
        <f>ROUND($C$48*C57*D57,0)</f>
        <v>#DIV/0!</v>
      </c>
      <c r="C57" s="171">
        <f t="shared" ref="C57:C64" si="16">IF($C$55="北京市系数",I57,J57)</f>
        <v>0</v>
      </c>
      <c r="D57" s="945">
        <v>0.25</v>
      </c>
      <c r="E57" s="642"/>
      <c r="F57" s="886" t="e">
        <f t="shared" si="15"/>
        <v>#DIV/0!</v>
      </c>
      <c r="G57" s="2985" t="s">
        <v>1875</v>
      </c>
      <c r="H57" s="887">
        <f>项目基本情况!B37</f>
        <v>0</v>
      </c>
      <c r="I57" s="891">
        <f>SUMIF(修正!A57:A68,H57,修正!B57:B68)</f>
        <v>0</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1876</v>
      </c>
      <c r="B58" s="218" t="e">
        <f t="shared" ref="B58:B64" si="17">ROUND($C$48*C58*D58,0)</f>
        <v>#DIV/0!</v>
      </c>
      <c r="C58" s="171">
        <f t="shared" si="16"/>
        <v>0</v>
      </c>
      <c r="D58" s="945">
        <v>0.25</v>
      </c>
      <c r="E58" s="642"/>
      <c r="F58" s="886" t="e">
        <f t="shared" si="15"/>
        <v>#DIV/0!</v>
      </c>
      <c r="G58" s="2986"/>
      <c r="H58" s="887">
        <f>项目基本情况!B37</f>
        <v>0</v>
      </c>
      <c r="I58" s="891">
        <f>SUMIF(修正!A57:A68,H58,修正!C57:C68)</f>
        <v>0</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1877</v>
      </c>
      <c r="B59" s="218" t="e">
        <f t="shared" si="17"/>
        <v>#DIV/0!</v>
      </c>
      <c r="C59" s="171">
        <f t="shared" si="16"/>
        <v>0</v>
      </c>
      <c r="D59" s="945">
        <v>0.25</v>
      </c>
      <c r="E59" s="642"/>
      <c r="F59" s="886" t="e">
        <f t="shared" si="15"/>
        <v>#DIV/0!</v>
      </c>
      <c r="G59" s="2986"/>
      <c r="H59" s="887">
        <f>项目基本情况!B37</f>
        <v>0</v>
      </c>
      <c r="I59" s="891">
        <f>SUMIF(修正!A57:A68,H59,修正!D57:D68)</f>
        <v>0</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1884</v>
      </c>
      <c r="B63" s="218" t="e">
        <f t="shared" si="17"/>
        <v>#DIV/0!</v>
      </c>
      <c r="C63" s="171">
        <f t="shared" si="16"/>
        <v>0</v>
      </c>
      <c r="D63" s="945">
        <v>0.25</v>
      </c>
      <c r="E63" s="217">
        <f>'数据-汇总表'!E14</f>
        <v>0</v>
      </c>
      <c r="F63" s="886" t="e">
        <f t="shared" si="15"/>
        <v>#DIV/0!</v>
      </c>
      <c r="G63" s="1987" t="s">
        <v>1875</v>
      </c>
      <c r="H63" s="887">
        <f>项目基本情况!B37</f>
        <v>0</v>
      </c>
      <c r="I63" s="891">
        <f>SUMIF(修正!A57:A68,H63,修正!G57:G68)</f>
        <v>0</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1886</v>
      </c>
      <c r="B65" s="644" t="s">
        <v>22</v>
      </c>
      <c r="C65" s="644" t="s">
        <v>23</v>
      </c>
      <c r="D65" s="644" t="s">
        <v>392</v>
      </c>
      <c r="E65" s="644">
        <f>IF(B46="楼面地价",SUM(E56:E64),'数据-汇总表'!D3)</f>
        <v>100737.07000000002</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04"/>
      <c r="Q67" s="2704"/>
      <c r="R67" s="2704"/>
      <c r="S67" s="2704"/>
      <c r="T67" s="2704"/>
      <c r="U67" s="2704"/>
      <c r="V67" s="2704"/>
      <c r="W67" s="2704"/>
      <c r="X67" s="2704"/>
      <c r="Y67" s="2704"/>
      <c r="Z67" s="2704"/>
      <c r="AA67" s="2704"/>
      <c r="AB67" s="2704"/>
      <c r="AC67" s="2704"/>
    </row>
    <row r="68" spans="1:29" ht="21.75" thickBot="1">
      <c r="A68" s="694" t="s">
        <v>1781</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9" t="s">
        <v>1887</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55"/>
      <c r="Q69" s="2720"/>
      <c r="R69" s="2720"/>
      <c r="S69" s="2720"/>
      <c r="T69" s="2720"/>
      <c r="U69" s="2720"/>
      <c r="V69" s="2720"/>
      <c r="W69" s="2720"/>
      <c r="X69" s="2720"/>
      <c r="Y69" s="2720"/>
      <c r="Z69" s="2720"/>
      <c r="AA69" s="2720"/>
      <c r="AB69" s="2720"/>
      <c r="AC69" s="2720"/>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1"/>
      <c r="R70" s="2641"/>
      <c r="S70" s="2641"/>
      <c r="T70" s="2641"/>
      <c r="U70" s="2641"/>
      <c r="V70" s="2641"/>
      <c r="W70" s="2641"/>
      <c r="X70" s="2641"/>
      <c r="Y70" s="2641"/>
      <c r="Z70" s="2641"/>
      <c r="AA70" s="2641"/>
      <c r="AB70" s="2641"/>
      <c r="AC70" s="2641"/>
    </row>
    <row r="71" spans="1:29" s="108" customFormat="1" ht="15.75" thickBot="1">
      <c r="A71" s="464" t="s">
        <v>1699</v>
      </c>
      <c r="B71" s="465"/>
      <c r="C71" s="466"/>
      <c r="D71" s="467"/>
      <c r="E71" s="467"/>
      <c r="F71" s="467"/>
      <c r="G71" s="467"/>
      <c r="H71" s="467"/>
      <c r="I71" s="467"/>
      <c r="J71" s="467"/>
      <c r="K71" s="467"/>
      <c r="L71" s="467"/>
      <c r="M71" s="468"/>
      <c r="N71" s="467"/>
      <c r="O71" s="943"/>
      <c r="P71" s="2718"/>
      <c r="Q71" s="2718"/>
      <c r="R71" s="2641"/>
      <c r="S71" s="2641"/>
      <c r="T71" s="2641"/>
      <c r="U71" s="2641"/>
      <c r="V71" s="2641"/>
      <c r="W71" s="2641"/>
      <c r="X71" s="2641"/>
      <c r="Y71" s="2641"/>
      <c r="Z71" s="2641"/>
      <c r="AA71" s="2641"/>
      <c r="AB71" s="2641"/>
      <c r="AC71" s="2641"/>
    </row>
    <row r="72" spans="1:29" s="108" customFormat="1" ht="15">
      <c r="A72" s="470" t="s">
        <v>1664</v>
      </c>
      <c r="B72" s="459"/>
      <c r="C72" s="471" t="s">
        <v>1759</v>
      </c>
      <c r="D72" s="472"/>
      <c r="E72" s="472"/>
      <c r="F72" s="472"/>
      <c r="G72" s="472"/>
      <c r="H72" s="472"/>
      <c r="I72" s="472"/>
      <c r="J72" s="472"/>
      <c r="K72" s="472"/>
      <c r="L72" s="473"/>
      <c r="M72" s="474"/>
      <c r="N72" s="2731"/>
      <c r="O72" s="2731"/>
      <c r="P72" s="2756"/>
      <c r="Q72" s="2718"/>
      <c r="R72" s="2641"/>
      <c r="S72" s="2641"/>
      <c r="T72" s="2641"/>
      <c r="U72" s="2641"/>
      <c r="V72" s="2641"/>
      <c r="W72" s="2641"/>
      <c r="X72" s="2641"/>
      <c r="Y72" s="2641"/>
      <c r="Z72" s="2641"/>
      <c r="AA72" s="2641"/>
      <c r="AB72" s="2641"/>
      <c r="AC72" s="2641"/>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1"/>
      <c r="S73" s="2641"/>
      <c r="T73" s="2641"/>
      <c r="U73" s="2641"/>
      <c r="V73" s="2641"/>
      <c r="W73" s="2641"/>
      <c r="X73" s="2641"/>
      <c r="Y73" s="2641"/>
      <c r="Z73" s="2641"/>
      <c r="AA73" s="2641"/>
      <c r="AB73" s="2641"/>
      <c r="AC73" s="2641"/>
    </row>
    <row r="74" spans="1:29">
      <c r="A74" s="476" t="s">
        <v>1702</v>
      </c>
      <c r="B74" s="477" t="s">
        <v>1668</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1671</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1673</v>
      </c>
      <c r="B87" s="477" t="s">
        <v>1703</v>
      </c>
      <c r="C87" s="522" t="s">
        <v>1704</v>
      </c>
      <c r="D87" s="522" t="s">
        <v>1705</v>
      </c>
      <c r="E87" s="522" t="s">
        <v>1706</v>
      </c>
      <c r="F87" s="522" t="s">
        <v>1707</v>
      </c>
      <c r="G87" s="522" t="s">
        <v>1708</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1889</v>
      </c>
      <c r="C89" s="527" t="s">
        <v>1704</v>
      </c>
      <c r="D89" s="527" t="s">
        <v>1705</v>
      </c>
      <c r="E89" s="527" t="s">
        <v>1706</v>
      </c>
      <c r="F89" s="527" t="s">
        <v>1707</v>
      </c>
      <c r="G89" s="527" t="s">
        <v>1708</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1804</v>
      </c>
      <c r="C91" s="527" t="s">
        <v>1704</v>
      </c>
      <c r="D91" s="527" t="s">
        <v>1705</v>
      </c>
      <c r="E91" s="527" t="s">
        <v>1706</v>
      </c>
      <c r="F91" s="527" t="s">
        <v>1707</v>
      </c>
      <c r="G91" s="527" t="s">
        <v>1708</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1709</v>
      </c>
      <c r="C93" s="527" t="s">
        <v>1704</v>
      </c>
      <c r="D93" s="527" t="s">
        <v>1705</v>
      </c>
      <c r="E93" s="527" t="s">
        <v>1706</v>
      </c>
      <c r="F93" s="527" t="s">
        <v>1707</v>
      </c>
      <c r="G93" s="527" t="s">
        <v>1708</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31"/>
      <c r="O95" s="2731"/>
      <c r="P95" s="2757"/>
      <c r="Q95" s="2718"/>
      <c r="R95" s="2641"/>
      <c r="S95" s="2641"/>
      <c r="T95" s="2641"/>
      <c r="U95" s="2641"/>
      <c r="V95" s="2641"/>
      <c r="W95" s="2641"/>
      <c r="X95" s="2641"/>
      <c r="Y95" s="2641"/>
      <c r="Z95" s="2641"/>
      <c r="AA95" s="2641"/>
      <c r="AB95" s="2641"/>
      <c r="AC95" s="264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1"/>
      <c r="S96" s="2641"/>
      <c r="T96" s="2641"/>
      <c r="U96" s="2641"/>
      <c r="V96" s="2641"/>
      <c r="W96" s="2641"/>
      <c r="X96" s="2641"/>
      <c r="Y96" s="2641"/>
      <c r="Z96" s="2641"/>
      <c r="AA96" s="2641"/>
      <c r="AB96" s="2641"/>
      <c r="AC96" s="2641"/>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31"/>
      <c r="O97" s="2731"/>
      <c r="P97" s="2757"/>
      <c r="Q97" s="2718"/>
      <c r="R97" s="2641"/>
      <c r="S97" s="2641"/>
      <c r="T97" s="2641"/>
      <c r="U97" s="2641"/>
      <c r="V97" s="2641"/>
      <c r="W97" s="2641"/>
      <c r="X97" s="2641"/>
      <c r="Y97" s="2641"/>
      <c r="Z97" s="2641"/>
      <c r="AA97" s="2641"/>
      <c r="AB97" s="2641"/>
      <c r="AC97" s="264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1"/>
      <c r="S98" s="2641"/>
      <c r="T98" s="2641"/>
      <c r="U98" s="2641"/>
      <c r="V98" s="2641"/>
      <c r="W98" s="2641"/>
      <c r="X98" s="2641"/>
      <c r="Y98" s="2641"/>
      <c r="Z98" s="2641"/>
      <c r="AA98" s="2641"/>
      <c r="AB98" s="2641"/>
      <c r="AC98" s="2641"/>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1798</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1856</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1897</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1898</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1899</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1900</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1752</v>
      </c>
      <c r="B4" s="356"/>
      <c r="C4" s="3684" t="s">
        <v>1753</v>
      </c>
      <c r="D4" s="3685"/>
      <c r="E4" s="3686" t="s">
        <v>1754</v>
      </c>
      <c r="F4" s="3687"/>
      <c r="G4" s="3684" t="s">
        <v>1755</v>
      </c>
      <c r="H4" s="3685"/>
      <c r="I4" s="3684" t="s">
        <v>1756</v>
      </c>
      <c r="J4" s="3685"/>
      <c r="K4" s="559" t="s">
        <v>1757</v>
      </c>
      <c r="L4" s="2694"/>
      <c r="M4" s="2695"/>
      <c r="N4" s="2695"/>
      <c r="O4" s="2695"/>
      <c r="P4" s="3688" t="s">
        <v>1758</v>
      </c>
      <c r="Q4" s="3689"/>
      <c r="R4" s="3671" t="s">
        <v>1754</v>
      </c>
      <c r="S4" s="3672"/>
      <c r="T4" s="3671" t="s">
        <v>1755</v>
      </c>
      <c r="U4" s="3672"/>
      <c r="V4" s="3696" t="s">
        <v>1756</v>
      </c>
      <c r="W4" s="3696"/>
      <c r="X4" s="1355"/>
      <c r="Y4" s="3671" t="s">
        <v>1758</v>
      </c>
      <c r="Z4" s="3672"/>
      <c r="AA4" s="3666" t="s">
        <v>1754</v>
      </c>
      <c r="AB4" s="3667" t="s">
        <v>1755</v>
      </c>
      <c r="AC4" s="3666" t="s">
        <v>1756</v>
      </c>
    </row>
    <row r="5" spans="1:29" ht="15">
      <c r="A5" s="358"/>
      <c r="B5" s="359"/>
      <c r="C5" s="3677" t="s">
        <v>1656</v>
      </c>
      <c r="D5" s="3678"/>
      <c r="E5" s="3675" t="s">
        <v>1657</v>
      </c>
      <c r="F5" s="3676"/>
      <c r="G5" s="3677" t="s">
        <v>1658</v>
      </c>
      <c r="H5" s="3678"/>
      <c r="I5" s="3677" t="s">
        <v>1659</v>
      </c>
      <c r="J5" s="3678"/>
      <c r="K5" s="559"/>
      <c r="L5" s="2694"/>
      <c r="M5" s="2695"/>
      <c r="N5" s="2695"/>
      <c r="O5" s="2695"/>
      <c r="P5" s="3690"/>
      <c r="Q5" s="3691"/>
      <c r="R5" s="3673"/>
      <c r="S5" s="3674"/>
      <c r="T5" s="3673"/>
      <c r="U5" s="3674"/>
      <c r="V5" s="3696"/>
      <c r="W5" s="3696"/>
      <c r="X5" s="1355"/>
      <c r="Y5" s="3673"/>
      <c r="Z5" s="3674"/>
      <c r="AA5" s="3667"/>
      <c r="AB5" s="3667"/>
      <c r="AC5" s="3667"/>
    </row>
    <row r="6" spans="1:29" ht="15.75" thickBot="1">
      <c r="A6" s="360"/>
      <c r="B6" s="361"/>
      <c r="C6" s="3732" t="s">
        <v>1902</v>
      </c>
      <c r="D6" s="3733"/>
      <c r="E6" s="3734" t="s">
        <v>1902</v>
      </c>
      <c r="F6" s="3735"/>
      <c r="G6" s="3732" t="s">
        <v>1902</v>
      </c>
      <c r="H6" s="3733"/>
      <c r="I6" s="3732" t="s">
        <v>1902</v>
      </c>
      <c r="J6" s="3733"/>
      <c r="K6" s="559" t="s">
        <v>1661</v>
      </c>
      <c r="L6" s="2694"/>
      <c r="M6" s="2695"/>
      <c r="N6" s="2695"/>
      <c r="O6" s="2695"/>
      <c r="P6" s="3692"/>
      <c r="Q6" s="3693"/>
      <c r="R6" s="3673"/>
      <c r="S6" s="3674"/>
      <c r="T6" s="3694"/>
      <c r="U6" s="3695"/>
      <c r="V6" s="3696"/>
      <c r="W6" s="3696"/>
      <c r="X6" s="1355"/>
      <c r="Y6" s="3694"/>
      <c r="Z6" s="3695"/>
      <c r="AA6" s="3668"/>
      <c r="AB6" s="3668"/>
      <c r="AC6" s="3668"/>
    </row>
    <row r="7" spans="1:29" s="108" customFormat="1" ht="15.75" thickBot="1">
      <c r="A7" s="362" t="s">
        <v>1662</v>
      </c>
      <c r="B7" s="363"/>
      <c r="C7" s="364">
        <f>'数据-取费表'!B2</f>
        <v>45420</v>
      </c>
      <c r="D7" s="365">
        <v>100</v>
      </c>
      <c r="E7" s="366"/>
      <c r="F7" s="367">
        <f>SUMIF(65:65,YEAR(E7)&amp;"-"&amp;INT((MONTH(E7)+2)/3),66:66)</f>
        <v>0</v>
      </c>
      <c r="G7" s="1974"/>
      <c r="H7" s="365">
        <f>SUMIF(65:65,YEAR(G7)&amp;"-"&amp;INT((MONTH(G7)+2)/3),66:66)</f>
        <v>0</v>
      </c>
      <c r="I7" s="1974"/>
      <c r="J7" s="365">
        <f>SUMIF(65:65,YEAR(I7)&amp;"-"&amp;INT((MONTH(I7)+2)/3),66:66)</f>
        <v>0</v>
      </c>
      <c r="K7" s="560"/>
      <c r="L7" s="2696"/>
      <c r="M7" s="2697"/>
      <c r="N7" s="2697"/>
      <c r="O7" s="2697"/>
      <c r="P7" s="3669" t="s">
        <v>1663</v>
      </c>
      <c r="Q7" s="3697"/>
      <c r="R7" s="701" t="s">
        <v>14</v>
      </c>
      <c r="S7" s="702">
        <f t="shared" ref="S7:S15" si="0">F7</f>
        <v>0</v>
      </c>
      <c r="T7" s="701" t="s">
        <v>14</v>
      </c>
      <c r="U7" s="702">
        <f t="shared" ref="U7:U15" si="1">H7</f>
        <v>0</v>
      </c>
      <c r="V7" s="701" t="s">
        <v>14</v>
      </c>
      <c r="W7" s="702">
        <f t="shared" ref="W7:W15" si="2">J7</f>
        <v>0</v>
      </c>
      <c r="X7" s="703"/>
      <c r="Y7" s="3669" t="s">
        <v>1663</v>
      </c>
      <c r="Z7" s="3670"/>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669" t="s">
        <v>1666</v>
      </c>
      <c r="Q8" s="3670"/>
      <c r="R8" s="701" t="s">
        <v>14</v>
      </c>
      <c r="S8" s="702">
        <f t="shared" si="0"/>
        <v>0</v>
      </c>
      <c r="T8" s="701" t="s">
        <v>14</v>
      </c>
      <c r="U8" s="702">
        <f t="shared" si="1"/>
        <v>0</v>
      </c>
      <c r="V8" s="701" t="s">
        <v>14</v>
      </c>
      <c r="W8" s="702">
        <f t="shared" si="2"/>
        <v>0</v>
      </c>
      <c r="X8" s="703"/>
      <c r="Y8" s="3669" t="s">
        <v>1666</v>
      </c>
      <c r="Z8" s="3670"/>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6"/>
      <c r="M9" s="2697"/>
      <c r="N9" s="2697"/>
      <c r="O9" s="2751"/>
      <c r="P9" s="3701" t="s">
        <v>1669</v>
      </c>
      <c r="Q9" s="1343" t="str">
        <f t="shared" ref="Q9:Q15" si="6">B9</f>
        <v>用途</v>
      </c>
      <c r="R9" s="701" t="s">
        <v>14</v>
      </c>
      <c r="S9" s="702">
        <f t="shared" si="0"/>
        <v>100</v>
      </c>
      <c r="T9" s="701" t="s">
        <v>14</v>
      </c>
      <c r="U9" s="702">
        <f t="shared" si="1"/>
        <v>100</v>
      </c>
      <c r="V9" s="701" t="s">
        <v>14</v>
      </c>
      <c r="W9" s="702">
        <f t="shared" si="2"/>
        <v>100</v>
      </c>
      <c r="X9" s="703"/>
      <c r="Y9" s="3613"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111</v>
      </c>
      <c r="G10" s="383"/>
      <c r="H10" s="127">
        <f>ROUND(100/'数据-取费表'!G16,0)</f>
        <v>111</v>
      </c>
      <c r="I10" s="383"/>
      <c r="J10" s="127">
        <f>ROUND(100/'数据-取费表'!G16,0)</f>
        <v>111</v>
      </c>
      <c r="K10" s="620"/>
      <c r="L10" s="2698"/>
      <c r="M10" s="2699"/>
      <c r="N10" s="2699"/>
      <c r="O10" s="2752"/>
      <c r="P10" s="3701"/>
      <c r="Q10" s="1343" t="str">
        <f t="shared" si="6"/>
        <v>土地使用年限（年）</v>
      </c>
      <c r="R10" s="701" t="s">
        <v>14</v>
      </c>
      <c r="S10" s="702">
        <f t="shared" si="0"/>
        <v>111</v>
      </c>
      <c r="T10" s="701" t="s">
        <v>14</v>
      </c>
      <c r="U10" s="702">
        <f t="shared" si="1"/>
        <v>111</v>
      </c>
      <c r="V10" s="701" t="s">
        <v>14</v>
      </c>
      <c r="W10" s="702">
        <f t="shared" si="2"/>
        <v>111</v>
      </c>
      <c r="X10" s="703"/>
      <c r="Y10" s="3613"/>
      <c r="Z10" s="52" t="str">
        <f t="shared" si="7"/>
        <v>土地使用年限（年）</v>
      </c>
      <c r="AA10" s="704">
        <f t="shared" si="3"/>
        <v>0.90090090090090091</v>
      </c>
      <c r="AB10" s="704">
        <f t="shared" si="4"/>
        <v>0.90090090090090091</v>
      </c>
      <c r="AC10" s="704">
        <f t="shared" si="5"/>
        <v>0.90090090090090091</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703" t="s">
        <v>1674</v>
      </c>
      <c r="Q15" s="1352" t="str">
        <f t="shared" si="6"/>
        <v>产业集聚程度</v>
      </c>
      <c r="R15" s="705" t="s">
        <v>14</v>
      </c>
      <c r="S15" s="706">
        <f t="shared" si="0"/>
        <v>100</v>
      </c>
      <c r="T15" s="705" t="s">
        <v>14</v>
      </c>
      <c r="U15" s="706">
        <f t="shared" si="1"/>
        <v>100</v>
      </c>
      <c r="V15" s="705" t="s">
        <v>14</v>
      </c>
      <c r="W15" s="706">
        <f t="shared" si="2"/>
        <v>100</v>
      </c>
      <c r="X15" s="1355"/>
      <c r="Y15" s="3703"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1"/>
      <c r="M16" s="2695"/>
      <c r="N16" s="2695"/>
      <c r="O16" s="2753"/>
      <c r="P16" s="3704"/>
      <c r="Q16" s="1352"/>
      <c r="R16" s="705"/>
      <c r="S16" s="706"/>
      <c r="T16" s="705"/>
      <c r="U16" s="706"/>
      <c r="V16" s="705"/>
      <c r="W16" s="706"/>
      <c r="X16" s="1355"/>
      <c r="Y16" s="3704"/>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1"/>
      <c r="M18" s="2695"/>
      <c r="N18" s="2695"/>
      <c r="O18" s="2753"/>
      <c r="P18" s="3704"/>
      <c r="Q18" s="1352"/>
      <c r="R18" s="705"/>
      <c r="S18" s="706"/>
      <c r="T18" s="705"/>
      <c r="U18" s="706"/>
      <c r="V18" s="705"/>
      <c r="W18" s="706"/>
      <c r="X18" s="1355"/>
      <c r="Y18" s="3704"/>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1"/>
      <c r="M20" s="2695"/>
      <c r="N20" s="2695"/>
      <c r="O20" s="2753"/>
      <c r="P20" s="3704"/>
      <c r="Q20" s="1352"/>
      <c r="R20" s="705"/>
      <c r="S20" s="706"/>
      <c r="T20" s="705"/>
      <c r="U20" s="706"/>
      <c r="V20" s="705"/>
      <c r="W20" s="706"/>
      <c r="X20" s="1355"/>
      <c r="Y20" s="3704"/>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1"/>
      <c r="M22" s="2695"/>
      <c r="N22" s="2695"/>
      <c r="O22" s="2753"/>
      <c r="P22" s="3704"/>
      <c r="Q22" s="1352"/>
      <c r="R22" s="705"/>
      <c r="S22" s="706"/>
      <c r="T22" s="705"/>
      <c r="U22" s="706"/>
      <c r="V22" s="705"/>
      <c r="W22" s="706"/>
      <c r="X22" s="1355"/>
      <c r="Y22" s="3704"/>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6"/>
      <c r="M24" s="2697"/>
      <c r="N24" s="2697"/>
      <c r="O24" s="2751"/>
      <c r="P24" s="3704"/>
      <c r="Q24" s="1343"/>
      <c r="R24" s="701"/>
      <c r="S24" s="702"/>
      <c r="T24" s="701"/>
      <c r="U24" s="702"/>
      <c r="V24" s="701"/>
      <c r="W24" s="702"/>
      <c r="X24" s="703"/>
      <c r="Y24" s="3704"/>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6"/>
      <c r="M26" s="2697"/>
      <c r="N26" s="2697"/>
      <c r="O26" s="2751"/>
      <c r="P26" s="3704"/>
      <c r="Q26" s="1343"/>
      <c r="R26" s="701"/>
      <c r="S26" s="702"/>
      <c r="T26" s="701"/>
      <c r="U26" s="702"/>
      <c r="V26" s="701"/>
      <c r="W26" s="702"/>
      <c r="X26" s="703"/>
      <c r="Y26" s="3704"/>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1"/>
      <c r="M29" s="2695"/>
      <c r="N29" s="2695"/>
      <c r="O29" s="2753"/>
      <c r="P29" s="3704"/>
      <c r="Q29" s="1352"/>
      <c r="R29" s="705"/>
      <c r="S29" s="706"/>
      <c r="T29" s="705"/>
      <c r="U29" s="706"/>
      <c r="V29" s="705"/>
      <c r="W29" s="706"/>
      <c r="X29" s="1355"/>
      <c r="Y29" s="3704"/>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27" t="s">
        <v>1679</v>
      </c>
      <c r="Q32" s="1352">
        <f t="shared" si="8"/>
        <v>111</v>
      </c>
      <c r="R32" s="705" t="s">
        <v>14</v>
      </c>
      <c r="S32" s="706">
        <f t="shared" si="10"/>
        <v>100</v>
      </c>
      <c r="T32" s="705" t="s">
        <v>14</v>
      </c>
      <c r="U32" s="706">
        <f t="shared" si="11"/>
        <v>100</v>
      </c>
      <c r="V32" s="705" t="s">
        <v>14</v>
      </c>
      <c r="W32" s="706">
        <f t="shared" si="12"/>
        <v>100</v>
      </c>
      <c r="X32" s="1355"/>
      <c r="Y32" s="3708"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1"/>
      <c r="M35" s="2695"/>
      <c r="N35" s="2695"/>
      <c r="O35" s="2753"/>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6"/>
      <c r="M36" s="2697"/>
      <c r="N36" s="2697"/>
      <c r="O36" s="2751"/>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1"/>
      <c r="M37" s="2695"/>
      <c r="N37" s="2695"/>
      <c r="O37" s="2753"/>
      <c r="P37" s="3708" t="s">
        <v>1679</v>
      </c>
      <c r="Q37" s="1352" t="str">
        <f t="shared" si="14"/>
        <v>工程地质条件</v>
      </c>
      <c r="R37" s="705" t="s">
        <v>14</v>
      </c>
      <c r="S37" s="706">
        <f t="shared" si="10"/>
        <v>100</v>
      </c>
      <c r="T37" s="705" t="s">
        <v>14</v>
      </c>
      <c r="U37" s="706">
        <f t="shared" si="11"/>
        <v>100</v>
      </c>
      <c r="V37" s="705" t="s">
        <v>14</v>
      </c>
      <c r="W37" s="706">
        <f t="shared" si="12"/>
        <v>100</v>
      </c>
      <c r="X37" s="1355"/>
      <c r="Y37" s="3708"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703"/>
      <c r="M41" s="2695"/>
      <c r="N41" s="2695"/>
      <c r="O41" s="2704"/>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1776</v>
      </c>
      <c r="B42" s="631"/>
      <c r="C42" s="440" t="e">
        <f>R43</f>
        <v>#DIV/0!</v>
      </c>
      <c r="D42" s="2317" t="s">
        <v>2121</v>
      </c>
      <c r="E42" s="440" t="e">
        <f>R42</f>
        <v>#DIV/0!</v>
      </c>
      <c r="F42" s="2318"/>
      <c r="G42" s="439" t="e">
        <f>T42</f>
        <v>#DIV/0!</v>
      </c>
      <c r="H42" s="2318"/>
      <c r="I42" s="440" t="e">
        <f>V42</f>
        <v>#DIV/0!</v>
      </c>
      <c r="J42" s="2318"/>
      <c r="K42" s="2320">
        <f>F42+H42+J42</f>
        <v>0</v>
      </c>
      <c r="L42" s="2703"/>
      <c r="M42" s="2695"/>
      <c r="N42" s="2695"/>
      <c r="O42" s="2704"/>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703"/>
      <c r="M43" s="2695"/>
      <c r="N43" s="2695"/>
      <c r="O43" s="2704"/>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1864</v>
      </c>
      <c r="B50" s="633" t="s">
        <v>1865</v>
      </c>
      <c r="C50" s="1983" t="s">
        <v>1866</v>
      </c>
      <c r="D50" s="1984" t="s">
        <v>1867</v>
      </c>
      <c r="E50" s="634" t="s">
        <v>1868</v>
      </c>
      <c r="F50" s="635" t="s">
        <v>1869</v>
      </c>
      <c r="G50" s="3684" t="s">
        <v>1870</v>
      </c>
      <c r="H50" s="3731"/>
      <c r="I50" s="1356" t="s">
        <v>1906</v>
      </c>
      <c r="J50" s="1356">
        <f>项目基本情况!F35</f>
        <v>0</v>
      </c>
      <c r="K50" s="1986" t="s">
        <v>1872</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1873</v>
      </c>
      <c r="B51" s="637" t="e">
        <f>C43</f>
        <v>#DIV/0!</v>
      </c>
      <c r="C51" s="638">
        <v>1</v>
      </c>
      <c r="D51" s="944">
        <v>1</v>
      </c>
      <c r="E51" s="638">
        <f>'数据-汇总表'!E8+'数据-汇总表'!E9</f>
        <v>100737.07000000002</v>
      </c>
      <c r="F51" s="639" t="e">
        <f t="shared" ref="F51:F60" si="15">ROUND(B51*E51/10000,0)</f>
        <v>#DIV/0!</v>
      </c>
      <c r="G51" s="3683"/>
      <c r="H51" s="3701"/>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1874</v>
      </c>
      <c r="B52" s="218" t="e">
        <f>ROUND($C$43*C52*D52,0)</f>
        <v>#DIV/0!</v>
      </c>
      <c r="C52" s="171">
        <f t="shared" ref="C52:C60" si="16">IF($C$50="北京市系数",I52,J52)</f>
        <v>0</v>
      </c>
      <c r="D52" s="945">
        <v>0.25</v>
      </c>
      <c r="E52" s="642"/>
      <c r="F52" s="639" t="e">
        <f t="shared" si="15"/>
        <v>#DIV/0!</v>
      </c>
      <c r="G52" s="2985" t="s">
        <v>1875</v>
      </c>
      <c r="H52" s="887">
        <f>项目基本情况!B37</f>
        <v>0</v>
      </c>
      <c r="I52" s="773">
        <f>SUMIF(修正!A57:A68,H52,修正!B57:B68)</f>
        <v>0</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1876</v>
      </c>
      <c r="B53" s="218" t="e">
        <f t="shared" ref="B53:B60" si="17">ROUND($C$43*C53*D53,0)</f>
        <v>#DIV/0!</v>
      </c>
      <c r="C53" s="171">
        <f t="shared" si="16"/>
        <v>0</v>
      </c>
      <c r="D53" s="945">
        <v>0.25</v>
      </c>
      <c r="E53" s="642"/>
      <c r="F53" s="639" t="e">
        <f t="shared" si="15"/>
        <v>#DIV/0!</v>
      </c>
      <c r="G53" s="2986"/>
      <c r="H53" s="887">
        <f>项目基本情况!B37</f>
        <v>0</v>
      </c>
      <c r="I53" s="773">
        <f>SUMIF(修正!A57:A68,H53,修正!C57:C68)</f>
        <v>0</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1877</v>
      </c>
      <c r="B54" s="218" t="e">
        <f t="shared" si="17"/>
        <v>#DIV/0!</v>
      </c>
      <c r="C54" s="171">
        <f t="shared" si="16"/>
        <v>0</v>
      </c>
      <c r="D54" s="945">
        <v>0.25</v>
      </c>
      <c r="E54" s="642"/>
      <c r="F54" s="639" t="e">
        <f t="shared" si="15"/>
        <v>#DIV/0!</v>
      </c>
      <c r="G54" s="2986"/>
      <c r="H54" s="887">
        <f>项目基本情况!B37</f>
        <v>0</v>
      </c>
      <c r="I54" s="773">
        <f>SUMIF(修正!A57:A68,H54,修正!D57:D68)</f>
        <v>0</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1884</v>
      </c>
      <c r="B59" s="218" t="e">
        <f t="shared" si="17"/>
        <v>#DIV/0!</v>
      </c>
      <c r="C59" s="171">
        <f t="shared" si="16"/>
        <v>0</v>
      </c>
      <c r="D59" s="945">
        <v>0.25</v>
      </c>
      <c r="E59" s="217">
        <f>'数据-汇总表'!E14</f>
        <v>0</v>
      </c>
      <c r="F59" s="639" t="e">
        <f t="shared" si="15"/>
        <v>#DIV/0!</v>
      </c>
      <c r="G59" s="1987" t="s">
        <v>1875</v>
      </c>
      <c r="H59" s="887">
        <f>项目基本情况!B37</f>
        <v>0</v>
      </c>
      <c r="I59" s="773">
        <f>SUMIF(修正!A57:A68,H59,修正!G57:G68)</f>
        <v>0</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04"/>
      <c r="Q63" s="2704"/>
      <c r="R63" s="2704"/>
      <c r="S63" s="2704"/>
      <c r="T63" s="2704"/>
      <c r="U63" s="2704"/>
      <c r="V63" s="2704"/>
      <c r="W63" s="2704"/>
      <c r="X63" s="2704"/>
      <c r="Y63" s="2704"/>
      <c r="Z63" s="2704"/>
      <c r="AA63" s="2704"/>
      <c r="AB63" s="2704"/>
      <c r="AC63" s="2704"/>
      <c r="AD63" s="2704"/>
      <c r="AE63" s="2704"/>
    </row>
    <row r="64" spans="1:31" ht="21.75" thickBot="1">
      <c r="A64" s="694" t="s">
        <v>1781</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9" t="s">
        <v>1887</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1"/>
      <c r="R66" s="2641"/>
      <c r="S66" s="2641"/>
      <c r="T66" s="2641"/>
      <c r="U66" s="2641"/>
      <c r="V66" s="2641"/>
      <c r="W66" s="2641"/>
      <c r="X66" s="2641"/>
      <c r="Y66" s="2641"/>
      <c r="Z66" s="2641"/>
      <c r="AA66" s="2641"/>
      <c r="AB66" s="2641"/>
      <c r="AC66" s="2641"/>
      <c r="AD66" s="2641"/>
      <c r="AE66" s="2641"/>
    </row>
    <row r="67" spans="1:31" s="108" customFormat="1" ht="15.75" thickBot="1">
      <c r="A67" s="464" t="s">
        <v>1699</v>
      </c>
      <c r="B67" s="465"/>
      <c r="C67" s="466"/>
      <c r="D67" s="467"/>
      <c r="E67" s="467"/>
      <c r="F67" s="467"/>
      <c r="G67" s="467"/>
      <c r="H67" s="467"/>
      <c r="I67" s="467"/>
      <c r="J67" s="467"/>
      <c r="K67" s="467"/>
      <c r="L67" s="467"/>
      <c r="M67" s="468"/>
      <c r="N67" s="468"/>
      <c r="O67" s="469"/>
      <c r="P67" s="2718"/>
      <c r="Q67" s="2718"/>
      <c r="R67" s="2641"/>
      <c r="S67" s="2641"/>
      <c r="T67" s="2641"/>
      <c r="U67" s="2641"/>
      <c r="V67" s="2641"/>
      <c r="W67" s="2641"/>
      <c r="X67" s="2641"/>
      <c r="Y67" s="2641"/>
      <c r="Z67" s="2641"/>
      <c r="AA67" s="2641"/>
      <c r="AB67" s="2641"/>
      <c r="AC67" s="2641"/>
      <c r="AD67" s="2641"/>
      <c r="AE67" s="2641"/>
    </row>
    <row r="68" spans="1:31" s="108" customFormat="1" ht="15">
      <c r="A68" s="470" t="s">
        <v>1664</v>
      </c>
      <c r="B68" s="459"/>
      <c r="C68" s="471" t="s">
        <v>1759</v>
      </c>
      <c r="D68" s="472"/>
      <c r="E68" s="472"/>
      <c r="F68" s="472"/>
      <c r="G68" s="472"/>
      <c r="H68" s="472"/>
      <c r="I68" s="472"/>
      <c r="J68" s="472"/>
      <c r="K68" s="472"/>
      <c r="L68" s="473"/>
      <c r="M68" s="474"/>
      <c r="N68" s="2731"/>
      <c r="O68" s="2731"/>
      <c r="P68" s="2756"/>
      <c r="Q68" s="2718"/>
      <c r="R68" s="2641"/>
      <c r="S68" s="2641"/>
      <c r="T68" s="2641"/>
      <c r="U68" s="2641"/>
      <c r="V68" s="2641"/>
      <c r="W68" s="2641"/>
      <c r="X68" s="2641"/>
      <c r="Y68" s="2641"/>
      <c r="Z68" s="2641"/>
      <c r="AA68" s="2641"/>
      <c r="AB68" s="2641"/>
      <c r="AC68" s="2641"/>
      <c r="AD68" s="2641"/>
      <c r="AE68" s="2641"/>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1"/>
      <c r="S69" s="2641"/>
      <c r="T69" s="2641"/>
      <c r="U69" s="2641"/>
      <c r="V69" s="2641"/>
      <c r="W69" s="2641"/>
      <c r="X69" s="2641"/>
      <c r="Y69" s="2641"/>
      <c r="Z69" s="2641"/>
      <c r="AA69" s="2641"/>
      <c r="AB69" s="2641"/>
      <c r="AC69" s="2641"/>
      <c r="AD69" s="2641"/>
      <c r="AE69" s="2641"/>
    </row>
    <row r="70" spans="1:31">
      <c r="A70" s="476" t="s">
        <v>1702</v>
      </c>
      <c r="B70" s="477" t="s">
        <v>1668</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1671</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1673</v>
      </c>
      <c r="B83" s="477" t="s">
        <v>1812</v>
      </c>
      <c r="C83" s="522" t="s">
        <v>1704</v>
      </c>
      <c r="D83" s="522" t="s">
        <v>1705</v>
      </c>
      <c r="E83" s="522" t="s">
        <v>1706</v>
      </c>
      <c r="F83" s="522" t="s">
        <v>1707</v>
      </c>
      <c r="G83" s="522" t="s">
        <v>1708</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1709</v>
      </c>
      <c r="C85" s="527" t="s">
        <v>1704</v>
      </c>
      <c r="D85" s="527" t="s">
        <v>1705</v>
      </c>
      <c r="E85" s="527" t="s">
        <v>1706</v>
      </c>
      <c r="F85" s="527" t="s">
        <v>1707</v>
      </c>
      <c r="G85" s="527" t="s">
        <v>1708</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31"/>
      <c r="O87" s="2731"/>
      <c r="P87" s="2757"/>
      <c r="Q87" s="2718"/>
      <c r="R87" s="2641"/>
      <c r="S87" s="2641"/>
      <c r="T87" s="2641"/>
      <c r="U87" s="2641"/>
      <c r="V87" s="2641"/>
      <c r="W87" s="2641"/>
      <c r="X87" s="2641"/>
      <c r="Y87" s="2641"/>
      <c r="Z87" s="2641"/>
      <c r="AA87" s="2641"/>
      <c r="AB87" s="2641"/>
      <c r="AC87" s="2641"/>
      <c r="AD87" s="2641"/>
      <c r="AE87" s="264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1"/>
      <c r="S88" s="2641"/>
      <c r="T88" s="2641"/>
      <c r="U88" s="2641"/>
      <c r="V88" s="2641"/>
      <c r="W88" s="2641"/>
      <c r="X88" s="2641"/>
      <c r="Y88" s="2641"/>
      <c r="Z88" s="2641"/>
      <c r="AA88" s="2641"/>
      <c r="AB88" s="2641"/>
      <c r="AC88" s="2641"/>
      <c r="AD88" s="2641"/>
      <c r="AE88" s="2641"/>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31"/>
      <c r="O89" s="2731"/>
      <c r="P89" s="2757"/>
      <c r="Q89" s="2718"/>
      <c r="R89" s="2641"/>
      <c r="S89" s="2641"/>
      <c r="T89" s="2641"/>
      <c r="U89" s="2641"/>
      <c r="V89" s="2641"/>
      <c r="W89" s="2641"/>
      <c r="X89" s="2641"/>
      <c r="Y89" s="2641"/>
      <c r="Z89" s="2641"/>
      <c r="AA89" s="2641"/>
      <c r="AB89" s="2641"/>
      <c r="AC89" s="2641"/>
      <c r="AD89" s="2641"/>
      <c r="AE89" s="264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1"/>
      <c r="S90" s="2641"/>
      <c r="T90" s="2641"/>
      <c r="U90" s="2641"/>
      <c r="V90" s="2641"/>
      <c r="W90" s="2641"/>
      <c r="X90" s="2641"/>
      <c r="Y90" s="2641"/>
      <c r="Z90" s="2641"/>
      <c r="AA90" s="2641"/>
      <c r="AB90" s="2641"/>
      <c r="AC90" s="2641"/>
      <c r="AD90" s="2641"/>
      <c r="AE90" s="2641"/>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1798</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1856</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1897</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1899</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1900</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739" t="s">
        <v>2067</v>
      </c>
      <c r="D1" s="3740"/>
      <c r="E1" s="3740"/>
      <c r="F1" s="3740"/>
      <c r="G1" s="3740"/>
      <c r="H1" s="3740"/>
      <c r="I1" s="3740"/>
      <c r="J1" s="3740"/>
      <c r="K1" s="3740"/>
      <c r="L1" s="3740"/>
      <c r="M1" s="3740"/>
      <c r="N1" s="3740"/>
      <c r="O1" s="3740"/>
      <c r="P1" s="3740"/>
      <c r="Q1" s="3740"/>
      <c r="R1" s="3740"/>
      <c r="S1" s="3741"/>
      <c r="T1" s="983" t="s">
        <v>2068</v>
      </c>
    </row>
    <row r="2" spans="1:45" s="655" customFormat="1">
      <c r="A2" s="984"/>
      <c r="B2" s="651" t="s">
        <v>2069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2076</v>
      </c>
      <c r="B17" s="2149" t="s">
        <v>2077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2078</v>
      </c>
      <c r="E19" s="1340"/>
      <c r="F19" s="1340"/>
      <c r="G19" s="1340"/>
      <c r="H19" s="1059"/>
      <c r="I19" s="159"/>
      <c r="J19" s="159"/>
      <c r="K19" s="159"/>
      <c r="L19" s="159"/>
      <c r="M19" s="159"/>
      <c r="N19" s="159"/>
      <c r="O19" s="159"/>
      <c r="P19" s="159"/>
      <c r="Q19" s="159"/>
      <c r="R19" s="718"/>
      <c r="S19" s="129"/>
    </row>
    <row r="20" spans="1:45" ht="16.5" thickBot="1">
      <c r="A20" s="662" t="s">
        <v>2079</v>
      </c>
      <c r="B20" s="294" t="e">
        <f ca="1">IF(D20="——",S22,S22-F20)</f>
        <v>#REF!</v>
      </c>
      <c r="C20" s="159"/>
      <c r="D20" s="2151"/>
      <c r="E20" s="1341"/>
      <c r="F20" s="983" t="e">
        <f ca="1">SUMIF(INDIRECT("'"&amp;H20&amp;"'"&amp;"!A:A"),"承租人权益价值",INDIRECT("'"&amp;H20&amp;"'"&amp;"!c:c"))</f>
        <v>#REF!</v>
      </c>
      <c r="G20" s="983" t="s">
        <v>2080</v>
      </c>
      <c r="H20" s="2152"/>
      <c r="I20" s="159"/>
      <c r="J20" s="159"/>
      <c r="K20" s="159"/>
      <c r="L20" s="159"/>
      <c r="M20" s="159"/>
      <c r="N20" s="159"/>
      <c r="O20" s="159"/>
      <c r="P20" s="159"/>
      <c r="Q20" s="159"/>
      <c r="R20" s="718"/>
      <c r="S20" s="129"/>
    </row>
    <row r="21" spans="1:45" ht="15.75">
      <c r="A21" s="662" t="s">
        <v>2081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2088</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72"/>
      <c r="G1" s="2772"/>
      <c r="H1" s="2772"/>
      <c r="I1" s="2772"/>
      <c r="J1" s="2772"/>
      <c r="K1" s="2772"/>
      <c r="L1" s="2772"/>
      <c r="M1" s="2772"/>
      <c r="N1" s="2772"/>
      <c r="O1" s="2772"/>
      <c r="P1" s="2772"/>
    </row>
    <row r="2" spans="1:16" ht="15.75">
      <c r="A2" s="2145" t="s">
        <v>2056</v>
      </c>
      <c r="B2" s="2582">
        <f ca="1">SUMIF(B6:B13,"&lt;&gt;#ref!",B6:B13)</f>
        <v>19170</v>
      </c>
      <c r="C2" s="2145" t="s">
        <v>2057</v>
      </c>
      <c r="D2" s="2145" t="s">
        <v>2058</v>
      </c>
      <c r="E2" s="2592">
        <f ca="1">SUMIF(E6:E13,"&lt;&gt;#ref!",E6:E13)</f>
        <v>100737.07000000002</v>
      </c>
      <c r="F2" s="2772"/>
      <c r="G2" s="2772"/>
      <c r="H2" s="2772"/>
      <c r="I2" s="2772"/>
      <c r="J2" s="2772"/>
      <c r="K2" s="2772"/>
      <c r="L2" s="2772"/>
      <c r="M2" s="2772"/>
      <c r="N2" s="2772"/>
      <c r="O2" s="2772"/>
      <c r="P2" s="2772"/>
    </row>
    <row r="3" spans="1:16" ht="15.75">
      <c r="A3" s="2145" t="s">
        <v>2059</v>
      </c>
      <c r="B3" s="2582">
        <f ca="1">ROUND(B2*10000/E2,0)</f>
        <v>1903</v>
      </c>
      <c r="C3" s="2145" t="s">
        <v>2065</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8" t="s">
        <v>2060</v>
      </c>
      <c r="B5" s="2590" t="s">
        <v>2061</v>
      </c>
      <c r="C5" s="2146"/>
      <c r="D5" s="2772"/>
      <c r="E5" s="2591" t="s">
        <v>2062</v>
      </c>
      <c r="F5" s="2772"/>
      <c r="G5" s="2772"/>
      <c r="H5" s="2772"/>
      <c r="I5" s="2772"/>
      <c r="J5" s="2772"/>
      <c r="K5" s="2772"/>
      <c r="L5" s="2772"/>
      <c r="M5" s="2772"/>
      <c r="N5" s="2772"/>
      <c r="O5" s="2772"/>
      <c r="P5" s="2772"/>
    </row>
    <row r="6" spans="1:16" ht="15.75">
      <c r="A6" s="2589" t="s">
        <v>2063</v>
      </c>
      <c r="B6" s="2582">
        <f ca="1">SUMIF(INDIRECT("'"&amp;A6&amp;"'"&amp;"!A:A"),"总价",INDIRECT("'"&amp;A6&amp;"'"&amp;"!B:B"))</f>
        <v>19170</v>
      </c>
      <c r="C6" s="2145" t="s">
        <v>2057</v>
      </c>
      <c r="D6" s="2772"/>
      <c r="E6" s="2592">
        <f ca="1">SUMIF(INDIRECT("'"&amp;A6&amp;"'"&amp;"!C:C"),"建筑面积",INDIRECT("'"&amp;A6&amp;"'"&amp;"!D:D"))</f>
        <v>100737.07000000002</v>
      </c>
      <c r="F6" s="2772"/>
      <c r="G6" s="2772"/>
      <c r="H6" s="2772"/>
      <c r="I6" s="2772"/>
      <c r="J6" s="2772"/>
      <c r="K6" s="2772"/>
      <c r="L6" s="2772"/>
      <c r="M6" s="2772"/>
      <c r="N6" s="2772"/>
      <c r="O6" s="2772"/>
      <c r="P6" s="2772"/>
    </row>
    <row r="7" spans="1:16" ht="15.75">
      <c r="A7" s="2589"/>
      <c r="B7" s="2582" t="e">
        <f ca="1">SUMIF(INDIRECT("'"&amp;A7&amp;"'"&amp;"!A:A"),"总价",INDIRECT("'"&amp;A7&amp;"'"&amp;"!B:B"))</f>
        <v>#REF!</v>
      </c>
      <c r="C7" s="2145" t="s">
        <v>2057</v>
      </c>
      <c r="D7" s="2772"/>
      <c r="E7" s="2592" t="e">
        <f t="shared" ref="E7:E13" ca="1" si="0">SUMIF(INDIRECT("'"&amp;A7&amp;"'"&amp;"!C:C"),"建筑面积",INDIRECT("'"&amp;A7&amp;"'"&amp;"!D:D"))</f>
        <v>#REF!</v>
      </c>
      <c r="F7" s="2772"/>
      <c r="G7" s="2772"/>
      <c r="H7" s="2772"/>
      <c r="I7" s="2772"/>
      <c r="J7" s="2772"/>
      <c r="K7" s="2772"/>
      <c r="L7" s="2772"/>
      <c r="M7" s="2772"/>
      <c r="N7" s="2772"/>
      <c r="O7" s="2772"/>
      <c r="P7" s="2772"/>
    </row>
    <row r="8" spans="1:16" ht="15.75">
      <c r="A8" s="2589"/>
      <c r="B8" s="2582" t="e">
        <f t="shared" ref="B8:B13" ca="1" si="1">SUMIF(INDIRECT("'"&amp;A8&amp;"'"&amp;"!A:A"),"总价",INDIRECT("'"&amp;A8&amp;"'"&amp;"!B:B"))</f>
        <v>#REF!</v>
      </c>
      <c r="C8" s="2145" t="s">
        <v>2057</v>
      </c>
      <c r="D8" s="2772"/>
      <c r="E8" s="2592" t="e">
        <f t="shared" ca="1" si="0"/>
        <v>#REF!</v>
      </c>
      <c r="F8" s="2772"/>
      <c r="G8" s="2772"/>
      <c r="H8" s="2772"/>
      <c r="I8" s="2772"/>
      <c r="J8" s="2772"/>
      <c r="K8" s="2772"/>
      <c r="L8" s="2772"/>
      <c r="M8" s="2772"/>
      <c r="N8" s="2772"/>
      <c r="O8" s="2772"/>
      <c r="P8" s="2772"/>
    </row>
    <row r="9" spans="1:16" ht="15.75">
      <c r="A9" s="2589"/>
      <c r="B9" s="2582" t="e">
        <f t="shared" ca="1" si="1"/>
        <v>#REF!</v>
      </c>
      <c r="C9" s="2145" t="s">
        <v>2057</v>
      </c>
      <c r="D9" s="2772"/>
      <c r="E9" s="2592" t="e">
        <f t="shared" ca="1" si="0"/>
        <v>#REF!</v>
      </c>
      <c r="F9" s="2772"/>
      <c r="G9" s="2772"/>
      <c r="H9" s="2772"/>
      <c r="I9" s="2772"/>
      <c r="J9" s="2772"/>
      <c r="K9" s="2772"/>
      <c r="L9" s="2772"/>
      <c r="M9" s="2772"/>
      <c r="N9" s="2772"/>
      <c r="O9" s="2772"/>
      <c r="P9" s="2772"/>
    </row>
    <row r="10" spans="1:16" ht="15.75">
      <c r="A10" s="2589"/>
      <c r="B10" s="2582" t="e">
        <f t="shared" ca="1" si="1"/>
        <v>#REF!</v>
      </c>
      <c r="C10" s="2145" t="s">
        <v>2057</v>
      </c>
      <c r="D10" s="2772"/>
      <c r="E10" s="2592" t="e">
        <f t="shared" ca="1" si="0"/>
        <v>#REF!</v>
      </c>
      <c r="F10" s="2772"/>
      <c r="G10" s="2772"/>
      <c r="H10" s="2772"/>
      <c r="I10" s="2772"/>
      <c r="J10" s="2772"/>
      <c r="K10" s="2772"/>
      <c r="L10" s="2772"/>
      <c r="M10" s="2772"/>
      <c r="N10" s="2772"/>
      <c r="O10" s="2772"/>
      <c r="P10" s="2772"/>
    </row>
    <row r="11" spans="1:16" ht="15.75">
      <c r="A11" s="2589"/>
      <c r="B11" s="2582" t="e">
        <f t="shared" ca="1" si="1"/>
        <v>#REF!</v>
      </c>
      <c r="C11" s="2145" t="s">
        <v>2057</v>
      </c>
      <c r="D11" s="2772"/>
      <c r="E11" s="2592" t="e">
        <f t="shared" ca="1" si="0"/>
        <v>#REF!</v>
      </c>
      <c r="F11" s="2772"/>
      <c r="G11" s="2772"/>
      <c r="H11" s="2772"/>
      <c r="I11" s="2772"/>
      <c r="J11" s="2772"/>
      <c r="K11" s="2772"/>
      <c r="L11" s="2772"/>
      <c r="M11" s="2772"/>
      <c r="N11" s="2772"/>
      <c r="O11" s="2772"/>
      <c r="P11" s="2772"/>
    </row>
    <row r="12" spans="1:16" ht="15.75">
      <c r="A12" s="2589"/>
      <c r="B12" s="2582" t="e">
        <f t="shared" ca="1" si="1"/>
        <v>#REF!</v>
      </c>
      <c r="C12" s="2145" t="s">
        <v>2057</v>
      </c>
      <c r="D12" s="2772"/>
      <c r="E12" s="2592" t="e">
        <f t="shared" ca="1" si="0"/>
        <v>#REF!</v>
      </c>
      <c r="F12" s="2772"/>
      <c r="G12" s="2772"/>
      <c r="H12" s="2772"/>
      <c r="I12" s="2772"/>
      <c r="J12" s="2772"/>
      <c r="K12" s="2772"/>
      <c r="L12" s="2772"/>
      <c r="M12" s="2772"/>
      <c r="N12" s="2772"/>
      <c r="O12" s="2772"/>
      <c r="P12" s="2772"/>
    </row>
    <row r="13" spans="1:16" ht="15.75">
      <c r="A13" s="2589"/>
      <c r="B13" s="2582" t="e">
        <f t="shared" ca="1" si="1"/>
        <v>#REF!</v>
      </c>
      <c r="C13" s="2145" t="s">
        <v>2057</v>
      </c>
      <c r="D13" s="2772"/>
      <c r="E13" s="2592"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zoomScale="80" zoomScaleNormal="80" zoomScaleSheetLayoutView="70"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100737.07000000002</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f>C30</f>
        <v>19170</v>
      </c>
      <c r="C2" s="1999" t="s">
        <v>1918</v>
      </c>
      <c r="D2" s="2000" t="s">
        <v>1919</v>
      </c>
      <c r="E2" s="3401" t="s">
        <v>3</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Ⅵ-BDA东</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40">
        <f>ROUND(SUMPRODUCT((B106:B110=R2)*(C105:N105=G2)*(C106:N110)),4)</f>
        <v>1.5019</v>
      </c>
      <c r="T2" s="3340">
        <f t="shared" ref="T2:T16" si="0">ROUND($C$5*$C$22*$C$23*$C$24*S2*$C$28,0)</f>
        <v>3093</v>
      </c>
      <c r="U2" s="1213"/>
      <c r="V2" s="3340">
        <f>ROUND(T2*U2/10000,0)</f>
        <v>0</v>
      </c>
      <c r="W2" s="1216"/>
      <c r="X2" s="1216"/>
      <c r="Y2" s="1216"/>
      <c r="Z2" s="1216"/>
      <c r="AA2" s="1216"/>
      <c r="AB2" s="1216"/>
      <c r="AC2" s="1217"/>
      <c r="AD2" s="1218"/>
      <c r="AE2" s="1218"/>
      <c r="AF2" s="1218"/>
      <c r="AG2" s="1218"/>
      <c r="AH2" s="1218"/>
      <c r="AI2" s="1218"/>
      <c r="AJ2" s="1219"/>
    </row>
    <row r="3" spans="1:36" ht="15.75">
      <c r="A3" s="203" t="s">
        <v>1923</v>
      </c>
      <c r="B3" s="204">
        <f>ROUND(B2*10000/D1,0)</f>
        <v>1903</v>
      </c>
      <c r="C3" s="1999" t="s">
        <v>1924</v>
      </c>
      <c r="D3" s="2000" t="s">
        <v>1925</v>
      </c>
      <c r="E3" s="3399" t="s">
        <v>2466</v>
      </c>
      <c r="F3" s="2004" t="s">
        <v>3428</v>
      </c>
      <c r="G3" s="752">
        <f>IF(F3="宗地容积率",'数据-汇总表'!I4,IF(F3="估价对象容积率",'数据-汇总表'!I6,'数据-汇总表'!I7))</f>
        <v>1.5</v>
      </c>
      <c r="H3" s="170" t="s">
        <v>1926</v>
      </c>
      <c r="I3" s="775"/>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40">
        <f>ROUND(SUMPRODUCT((B106:B110=R3)*(C105:N105=G2)*(C106:N110)),4)</f>
        <v>1.1838</v>
      </c>
      <c r="T3" s="3340">
        <f t="shared" si="0"/>
        <v>2438</v>
      </c>
      <c r="U3" s="1213"/>
      <c r="V3" s="3340">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40">
        <f>ROUND(SUMPRODUCT((B106:B110=R4)*(C105:N105=G2)*(C106:N110)),4)</f>
        <v>1.0004999999999999</v>
      </c>
      <c r="T4" s="3340">
        <f t="shared" si="0"/>
        <v>2061</v>
      </c>
      <c r="U4" s="1213"/>
      <c r="V4" s="334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2050</v>
      </c>
      <c r="D5" s="1339">
        <f>ROUND(C6*C17+C20,0)</f>
        <v>2050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40">
        <f>ROUND(SUMPRODUCT((B106:B110=R5)*(C105:N105=G2)*(C106:N110)),4)</f>
        <v>0.88239999999999996</v>
      </c>
      <c r="T5" s="3340">
        <f t="shared" si="0"/>
        <v>1817</v>
      </c>
      <c r="U5" s="1213"/>
      <c r="V5" s="3340">
        <f t="shared" si="1"/>
        <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2050</v>
      </c>
      <c r="D6" s="2017"/>
      <c r="E6" s="2018"/>
      <c r="F6" s="2018"/>
      <c r="G6" s="2019"/>
      <c r="H6" s="2019"/>
      <c r="I6" s="2019"/>
      <c r="J6" s="2020"/>
      <c r="K6" s="1384"/>
      <c r="L6" s="2003" t="s">
        <v>1934</v>
      </c>
      <c r="M6" s="864">
        <f>SUMPRODUCT((区片价!B127:B189=I2)*(区片价!C3:G3=E2)*(区片价!C127:G189))</f>
        <v>2050</v>
      </c>
      <c r="N6" s="866">
        <f>SUMPRODUCT((因素修正幅度!B127:B189=I2)*(因素修正幅度!C3:G3=E2)*(因素修正幅度!C127:G189))</f>
        <v>0.05</v>
      </c>
      <c r="O6" s="1119"/>
      <c r="P6" s="1119"/>
      <c r="Q6" s="1119"/>
      <c r="R6" s="1212">
        <v>5</v>
      </c>
      <c r="S6" s="3340">
        <f>ROUND(SUMPRODUCT((B106:B110=R6)*(C105:N105=G2)*(C106:N110)),4)</f>
        <v>0.84799999999999998</v>
      </c>
      <c r="T6" s="3340">
        <f t="shared" si="0"/>
        <v>1747</v>
      </c>
      <c r="U6" s="1213"/>
      <c r="V6" s="3340">
        <f t="shared" si="1"/>
        <v>0</v>
      </c>
      <c r="W6" s="1216"/>
      <c r="X6" s="1216"/>
      <c r="Y6" s="1216"/>
      <c r="Z6" s="1216"/>
      <c r="AA6" s="1216"/>
      <c r="AB6" s="1216"/>
      <c r="AC6" s="2011"/>
      <c r="AD6" s="2012"/>
      <c r="AE6" s="2012"/>
      <c r="AF6" s="2012"/>
      <c r="AG6" s="2012"/>
      <c r="AH6" s="2012"/>
      <c r="AI6" s="2012"/>
      <c r="AJ6" s="2013"/>
    </row>
    <row r="7" spans="1:36" ht="24.75" thickBot="1">
      <c r="A7" s="3283" t="s">
        <v>3224</v>
      </c>
      <c r="B7" s="2021" t="s">
        <v>1935</v>
      </c>
      <c r="C7" s="755">
        <f>IF(C8="不临65条商业街",1,ROUND(1+(1.6*E8+1.2*E9+0.8*E10+0.4*E11)*C9,4))</f>
        <v>1</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8"/>
      <c r="T7" s="3340">
        <f t="shared" si="0"/>
        <v>0</v>
      </c>
      <c r="U7" s="1213"/>
      <c r="V7" s="3340">
        <f t="shared" si="1"/>
        <v>0</v>
      </c>
      <c r="W7" s="1358" t="s">
        <v>1938</v>
      </c>
      <c r="X7" s="1214" t="str">
        <f>G2</f>
        <v>六级</v>
      </c>
      <c r="Y7" s="1214" t="s">
        <v>1939</v>
      </c>
      <c r="Z7" s="1215">
        <f>G3</f>
        <v>1.5</v>
      </c>
      <c r="AA7" s="1216"/>
      <c r="AB7" s="1216"/>
      <c r="AC7" s="1217"/>
      <c r="AD7" s="1218"/>
      <c r="AE7" s="1218"/>
      <c r="AF7" s="1218"/>
      <c r="AG7" s="1218"/>
      <c r="AH7" s="1218"/>
      <c r="AI7" s="1218"/>
      <c r="AJ7" s="1219"/>
    </row>
    <row r="8" spans="1:36" ht="25.5">
      <c r="A8" s="3278"/>
      <c r="B8" s="170" t="s">
        <v>1940</v>
      </c>
      <c r="C8" s="2026" t="s">
        <v>3494</v>
      </c>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40">
        <f t="shared" si="0"/>
        <v>0</v>
      </c>
      <c r="U8" s="1213"/>
      <c r="V8" s="3340">
        <f t="shared" si="1"/>
        <v>0</v>
      </c>
      <c r="W8" s="3746" t="s">
        <v>1943</v>
      </c>
      <c r="X8" s="3747"/>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8"/>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40">
        <f t="shared" si="0"/>
        <v>0</v>
      </c>
      <c r="U9" s="1213"/>
      <c r="V9" s="3340">
        <f t="shared" si="1"/>
        <v>0</v>
      </c>
      <c r="W9" s="3748"/>
      <c r="X9" s="3341" t="s">
        <v>3255</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40">
        <f t="shared" si="0"/>
        <v>0</v>
      </c>
      <c r="U10" s="1213"/>
      <c r="V10" s="3340">
        <f t="shared" si="1"/>
        <v>0</v>
      </c>
      <c r="W10" s="3748"/>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40">
        <f t="shared" si="0"/>
        <v>0</v>
      </c>
      <c r="U11" s="1213"/>
      <c r="V11" s="3340">
        <f t="shared" si="1"/>
        <v>0</v>
      </c>
      <c r="W11" s="1216"/>
      <c r="X11" s="1216"/>
      <c r="Y11" s="1216"/>
      <c r="Z11" s="1216"/>
      <c r="AA11" s="1216"/>
      <c r="AB11" s="1216"/>
      <c r="AC11" s="1217"/>
      <c r="AD11" s="2768"/>
      <c r="AE11" s="2768"/>
      <c r="AF11" s="2768"/>
      <c r="AG11" s="2768"/>
      <c r="AH11" s="2768"/>
      <c r="AI11" s="2768"/>
      <c r="AJ11" s="2769"/>
    </row>
    <row r="12" spans="1:36" ht="25.5" thickBot="1">
      <c r="A12" s="3283" t="s">
        <v>3225</v>
      </c>
      <c r="B12" s="3284" t="s">
        <v>3226</v>
      </c>
      <c r="C12" s="3285"/>
      <c r="D12" s="3286" t="s">
        <v>3227</v>
      </c>
      <c r="E12" s="3287" t="s">
        <v>3228</v>
      </c>
      <c r="F12" s="3288"/>
      <c r="G12" s="3289"/>
      <c r="H12" s="3289"/>
      <c r="I12" s="3289"/>
      <c r="J12" s="3290"/>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40">
        <f t="shared" si="0"/>
        <v>0</v>
      </c>
      <c r="U12" s="1213"/>
      <c r="V12" s="3340">
        <f t="shared" si="1"/>
        <v>0</v>
      </c>
      <c r="W12" s="1216"/>
      <c r="X12" s="1216"/>
      <c r="Y12" s="1216"/>
      <c r="Z12" s="1216"/>
      <c r="AA12" s="1216"/>
      <c r="AB12" s="1216"/>
      <c r="AC12" s="1217"/>
      <c r="AD12" s="2768"/>
      <c r="AE12" s="2768"/>
      <c r="AF12" s="2768"/>
      <c r="AG12" s="2768"/>
      <c r="AH12" s="2768"/>
      <c r="AI12" s="2768"/>
      <c r="AJ12" s="2769"/>
    </row>
    <row r="13" spans="1:36" ht="15.75" thickBot="1">
      <c r="A13" s="3283" t="s">
        <v>3229</v>
      </c>
      <c r="B13" s="2034" t="s">
        <v>1965</v>
      </c>
      <c r="C13" s="755">
        <f>ROUND(C16*D16*E16*F16*G16*H16*I16*J16,4)</f>
        <v>0</v>
      </c>
      <c r="D13" s="2035" t="s">
        <v>1966</v>
      </c>
      <c r="E13" s="2036"/>
      <c r="F13" s="2036"/>
      <c r="G13" s="2037"/>
      <c r="H13" s="2037"/>
      <c r="I13" s="2037"/>
      <c r="J13" s="2038"/>
      <c r="K13" s="1119"/>
      <c r="L13" s="3279"/>
      <c r="M13" s="3280"/>
      <c r="N13" s="3281"/>
      <c r="O13" s="1119"/>
      <c r="P13" s="1119"/>
      <c r="Q13" s="1119"/>
      <c r="R13" s="1212">
        <v>12</v>
      </c>
      <c r="S13" s="1213"/>
      <c r="T13" s="3340">
        <f t="shared" si="0"/>
        <v>0</v>
      </c>
      <c r="U13" s="1213"/>
      <c r="V13" s="3340">
        <f t="shared" si="1"/>
        <v>0</v>
      </c>
      <c r="W13" s="1216"/>
      <c r="X13" s="1216"/>
      <c r="Y13" s="1216"/>
      <c r="Z13" s="1216"/>
      <c r="AA13" s="1216"/>
      <c r="AB13" s="1216"/>
      <c r="AC13" s="1217"/>
      <c r="AD13" s="2768"/>
      <c r="AE13" s="2768"/>
      <c r="AF13" s="2768"/>
      <c r="AG13" s="2768"/>
      <c r="AH13" s="2768"/>
      <c r="AI13" s="2768"/>
      <c r="AJ13" s="2769"/>
    </row>
    <row r="14" spans="1:36" ht="15">
      <c r="A14" s="3277"/>
      <c r="B14" s="2040" t="s">
        <v>1968</v>
      </c>
      <c r="C14" s="2041" t="s">
        <v>1969</v>
      </c>
      <c r="D14" s="1350" t="s">
        <v>1970</v>
      </c>
      <c r="E14" s="27" t="s">
        <v>1971</v>
      </c>
      <c r="F14" s="3291" t="s">
        <v>3230</v>
      </c>
      <c r="G14" s="3291" t="s">
        <v>3230</v>
      </c>
      <c r="H14" s="3291" t="s">
        <v>3230</v>
      </c>
      <c r="I14" s="3291" t="s">
        <v>3230</v>
      </c>
      <c r="J14" s="3291" t="s">
        <v>3230</v>
      </c>
      <c r="K14" s="1119"/>
      <c r="L14" s="1119"/>
      <c r="M14" s="1119"/>
      <c r="N14" s="1119"/>
      <c r="O14" s="1119"/>
      <c r="P14" s="1119"/>
      <c r="Q14" s="1119"/>
      <c r="R14" s="1212">
        <v>13</v>
      </c>
      <c r="S14" s="1213"/>
      <c r="T14" s="3340">
        <f t="shared" si="0"/>
        <v>0</v>
      </c>
      <c r="U14" s="1213"/>
      <c r="V14" s="3340">
        <f t="shared" si="1"/>
        <v>0</v>
      </c>
      <c r="W14" s="1216"/>
      <c r="X14" s="1216"/>
      <c r="Y14" s="1216"/>
      <c r="Z14" s="1216"/>
      <c r="AA14" s="1216"/>
      <c r="AB14" s="1216"/>
      <c r="AC14" s="1217"/>
      <c r="AD14" s="2768"/>
      <c r="AE14" s="2768"/>
      <c r="AF14" s="2768"/>
      <c r="AG14" s="2768"/>
      <c r="AH14" s="2768"/>
      <c r="AI14" s="2768"/>
      <c r="AJ14" s="2769"/>
    </row>
    <row r="15" spans="1:36" ht="15">
      <c r="A15" s="3277"/>
      <c r="B15" s="2042"/>
      <c r="C15" s="2043"/>
      <c r="D15" s="2044"/>
      <c r="E15" s="2045"/>
      <c r="F15" s="3292" t="s">
        <v>3231</v>
      </c>
      <c r="G15" s="3293"/>
      <c r="H15" s="3294"/>
      <c r="I15" s="3295"/>
      <c r="J15" s="3296"/>
      <c r="K15" s="1119"/>
      <c r="L15" s="1119"/>
      <c r="M15" s="1119"/>
      <c r="N15" s="1119"/>
      <c r="O15" s="1119"/>
      <c r="P15" s="1119"/>
      <c r="Q15" s="1119"/>
      <c r="R15" s="1212">
        <v>14</v>
      </c>
      <c r="S15" s="1213"/>
      <c r="T15" s="3340">
        <f t="shared" si="0"/>
        <v>0</v>
      </c>
      <c r="U15" s="1213"/>
      <c r="V15" s="3340">
        <f t="shared" si="1"/>
        <v>0</v>
      </c>
      <c r="W15" s="1216"/>
      <c r="X15" s="1216"/>
      <c r="Y15" s="1216"/>
      <c r="Z15" s="1216"/>
      <c r="AA15" s="1216"/>
      <c r="AB15" s="1216"/>
      <c r="AC15" s="1217"/>
      <c r="AD15" s="2768"/>
      <c r="AE15" s="2768"/>
      <c r="AF15" s="2768"/>
      <c r="AG15" s="2768"/>
      <c r="AH15" s="2768"/>
      <c r="AI15" s="2768"/>
      <c r="AJ15" s="2769"/>
    </row>
    <row r="16" spans="1:36" ht="15.75" thickBot="1">
      <c r="A16" s="3277"/>
      <c r="B16" s="3299" t="s">
        <v>1972</v>
      </c>
      <c r="C16" s="3297"/>
      <c r="D16" s="3297"/>
      <c r="E16" s="3297"/>
      <c r="F16" s="3297">
        <v>1</v>
      </c>
      <c r="G16" s="3297">
        <v>1</v>
      </c>
      <c r="H16" s="3297">
        <v>1</v>
      </c>
      <c r="I16" s="3297">
        <v>1</v>
      </c>
      <c r="J16" s="3298">
        <v>1</v>
      </c>
      <c r="K16" s="1119"/>
      <c r="L16" s="1997"/>
      <c r="M16" s="1997"/>
      <c r="N16" s="1997"/>
      <c r="O16" s="1997"/>
      <c r="P16" s="1997"/>
      <c r="Q16" s="1119"/>
      <c r="R16" s="1212">
        <v>15</v>
      </c>
      <c r="S16" s="1213"/>
      <c r="T16" s="3340">
        <f t="shared" si="0"/>
        <v>0</v>
      </c>
      <c r="U16" s="1213"/>
      <c r="V16" s="3340">
        <f t="shared" si="1"/>
        <v>0</v>
      </c>
      <c r="W16" s="1216"/>
      <c r="X16" s="1216"/>
      <c r="Y16" s="1216"/>
      <c r="Z16" s="1216"/>
      <c r="AA16" s="1216"/>
      <c r="AB16" s="1216"/>
      <c r="AC16" s="1217"/>
      <c r="AD16" s="2768"/>
      <c r="AE16" s="2768"/>
      <c r="AF16" s="2768"/>
      <c r="AG16" s="2768"/>
      <c r="AH16" s="2768"/>
      <c r="AI16" s="2768"/>
      <c r="AJ16" s="2769"/>
    </row>
    <row r="17" spans="1:37">
      <c r="A17" s="3309" t="s">
        <v>3232</v>
      </c>
      <c r="B17" s="3300" t="s">
        <v>3233</v>
      </c>
      <c r="C17" s="3310">
        <f>ROUND(IF(OR(E2="工业",E2="公共服务"),1,IF(AND(E18=0,E19=0),1,IF(AND(E18=J24,E19=G19),0.8,IF(E19=0,1+E17*(-0.2),1+E17*G17*(-0.2))))),4)</f>
        <v>1</v>
      </c>
      <c r="D17" s="3301" t="s">
        <v>3234</v>
      </c>
      <c r="E17" s="3310">
        <f>ROUND(G18/I18,2)</f>
        <v>0</v>
      </c>
      <c r="F17" s="3301" t="s">
        <v>3237</v>
      </c>
      <c r="G17" s="3310" t="e">
        <f>ROUND(E19/G19,2)</f>
        <v>#DIV/0!</v>
      </c>
      <c r="H17" s="3310"/>
      <c r="I17" s="3310"/>
      <c r="J17" s="331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2"/>
      <c r="B18" s="2989"/>
      <c r="C18" s="3307"/>
      <c r="D18" s="3302" t="s">
        <v>3235</v>
      </c>
      <c r="E18" s="3308"/>
      <c r="F18" s="3303" t="s">
        <v>3238</v>
      </c>
      <c r="G18" s="3307">
        <f>ROUND(1-(1/(POWER(1+G24,E18))),4)</f>
        <v>0</v>
      </c>
      <c r="H18" s="3303" t="s">
        <v>3240</v>
      </c>
      <c r="I18" s="3307">
        <f>ROUND(1-(1/(POWER(1+G24,J24))),4)</f>
        <v>0.91279999999999994</v>
      </c>
      <c r="J18" s="331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7"/>
    </row>
    <row r="19" spans="1:37" s="2014" customFormat="1" ht="15" thickBot="1">
      <c r="A19" s="3314"/>
      <c r="B19" s="3315"/>
      <c r="C19" s="3316"/>
      <c r="D19" s="3316" t="s">
        <v>3236</v>
      </c>
      <c r="E19" s="3317"/>
      <c r="F19" s="3318" t="s">
        <v>3239</v>
      </c>
      <c r="G19" s="3317"/>
      <c r="H19" s="3316"/>
      <c r="I19" s="3316"/>
      <c r="J19" s="331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70"/>
      <c r="AH19" s="2141"/>
      <c r="AI19" s="2771"/>
      <c r="AJ19" s="2771"/>
      <c r="AK19" s="2057"/>
    </row>
    <row r="20" spans="1:37" s="2014" customFormat="1" ht="14.25">
      <c r="A20" s="3753" t="s">
        <v>3241</v>
      </c>
      <c r="B20" s="167" t="s">
        <v>1977</v>
      </c>
      <c r="C20" s="3304">
        <f>ROUND(IF(F21="与级别开发程度一致",0,(G21-E21)/C21),0)</f>
        <v>0</v>
      </c>
      <c r="D20" s="3320" t="s">
        <v>1981</v>
      </c>
      <c r="E20" s="3321"/>
      <c r="F20" s="3759" t="s">
        <v>1978</v>
      </c>
      <c r="G20" s="3760"/>
      <c r="H20" s="3305" t="s">
        <v>3495</v>
      </c>
      <c r="I20" s="3305" t="s">
        <v>3496</v>
      </c>
      <c r="J20" s="3306" t="s">
        <v>3497</v>
      </c>
      <c r="K20" s="2047" t="s">
        <v>3498</v>
      </c>
      <c r="L20" s="2047" t="s">
        <v>3499</v>
      </c>
      <c r="M20" s="2047" t="s">
        <v>3500</v>
      </c>
      <c r="N20" s="2047" t="s">
        <v>3501</v>
      </c>
      <c r="O20" s="2048" t="s">
        <v>3502</v>
      </c>
      <c r="P20" s="1997"/>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4" customFormat="1" ht="26.25" thickBot="1">
      <c r="A21" s="3754"/>
      <c r="B21" s="2164" t="s">
        <v>1980</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3493</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4" customFormat="1" ht="15.75" thickBot="1">
      <c r="A22" s="2158" t="s">
        <v>363</v>
      </c>
      <c r="B22" s="2159" t="s">
        <v>1983</v>
      </c>
      <c r="C22" s="2160">
        <f>SUMIF(修正!C20:C51,E3,修正!E20:E51)</f>
        <v>1</v>
      </c>
      <c r="D22" s="2161"/>
      <c r="E22" s="2162"/>
      <c r="F22" s="2162"/>
      <c r="G22" s="2162"/>
      <c r="H22" s="2162"/>
      <c r="I22" s="2162"/>
      <c r="J22" s="2163"/>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50" t="s">
        <v>364</v>
      </c>
      <c r="B23" s="2051" t="s">
        <v>1984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1985</v>
      </c>
      <c r="E23" s="761">
        <v>44197</v>
      </c>
      <c r="F23" s="2054" t="s">
        <v>1986</v>
      </c>
      <c r="G23" s="762">
        <f>'数据-取费表'!B2</f>
        <v>45420</v>
      </c>
      <c r="H23" s="3322" t="s">
        <v>3243</v>
      </c>
      <c r="I23" s="3323" t="str">
        <f>IF(H23="季度增幅（自定义）",SUMIF(N25:N28,E2,O25:O28),"")</f>
        <v/>
      </c>
      <c r="J23" s="3425" t="s">
        <v>3242</v>
      </c>
      <c r="K23" s="1125"/>
      <c r="L23" s="2055" t="s">
        <v>1987</v>
      </c>
      <c r="M23" s="1328">
        <f>ROUND(SUMIF(地价!B2:G2,E2,地价!B16:G16),0)</f>
        <v>318</v>
      </c>
      <c r="N23" s="2056" t="s">
        <v>1988</v>
      </c>
      <c r="O23" s="763">
        <f>ROUNDDOWN(DATEDIF(E23,G23,"M")/3,0)</f>
        <v>13</v>
      </c>
      <c r="P23" s="1122"/>
      <c r="Q23" s="276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f>ROUND(POWER(1+G24,J24-I24)*(POWER(1+G24,I24)-1)/(POWER(1+G24,J24)-1),4)</f>
        <v>0.91239999999999999</v>
      </c>
      <c r="D24" s="2060" t="s">
        <v>1990</v>
      </c>
      <c r="E24" s="1335">
        <f>存贷款利率!E24/100</f>
        <v>4.3499999999999997E-2</v>
      </c>
      <c r="F24" s="2060" t="s">
        <v>1982</v>
      </c>
      <c r="G24" s="768">
        <f>SUMIF(M30:Q30,E2,M33:Q33)</f>
        <v>0.05</v>
      </c>
      <c r="H24" s="2060" t="s">
        <v>1991</v>
      </c>
      <c r="I24" s="769">
        <f>SUMIF('数据-取费表'!C6:C15,E2,'数据-取费表'!F6:F15)/COUNTIF('数据-取费表'!C6:C15,E2)</f>
        <v>36.659999999999997</v>
      </c>
      <c r="J24" s="770">
        <f>IF(E2="住宅",70,IF(E2="商业",40,50))</f>
        <v>50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5" t="s">
        <v>366</v>
      </c>
      <c r="B25" s="2066" t="s">
        <v>3322</v>
      </c>
      <c r="C25" s="771">
        <f>IF(B25="容积率修正",IF(G3&lt;10,D26,J26),C27)</f>
        <v>0.92379999999999995</v>
      </c>
      <c r="D25" s="2067"/>
      <c r="E25" s="2067"/>
      <c r="F25" s="2067"/>
      <c r="G25" s="2067"/>
      <c r="H25" s="2067"/>
      <c r="I25" s="2067"/>
      <c r="J25" s="2068"/>
      <c r="K25" s="1125"/>
      <c r="L25" s="2767"/>
      <c r="M25" s="2767"/>
      <c r="N25" s="2069" t="s">
        <v>1996</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24" t="s">
        <v>3244</v>
      </c>
      <c r="D26" s="1352">
        <f>IF(E26=G26,F26,IF(G3&lt;10,ROUND(F26+(H26-F26)*(G3-E26)/(G26-E26),4),"——"))</f>
        <v>0.92379999999999995</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0.92379999999999995</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3324" t="s">
        <v>3245</v>
      </c>
      <c r="J26" s="772" t="str">
        <f>IF(G3&gt;=10,D115,"——")</f>
        <v>——</v>
      </c>
      <c r="K26" s="1125"/>
      <c r="L26" s="2767"/>
      <c r="M26" s="2767"/>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0</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1.0251999999999999</v>
      </c>
      <c r="D28" s="2052"/>
      <c r="E28" s="2077"/>
      <c r="F28" s="2077"/>
      <c r="G28" s="2077"/>
      <c r="H28" s="2077"/>
      <c r="I28" s="2077"/>
      <c r="J28" s="2078"/>
      <c r="K28" s="1125"/>
      <c r="L28" s="2767"/>
      <c r="M28" s="2767"/>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64" t="s">
        <v>2006</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f>IF(B25="容积率修正",E33+SUM(E37:E42),SUM(V2:V16)+SUM(E37:E42))</f>
        <v>19170</v>
      </c>
      <c r="D30" s="2083"/>
      <c r="E30" s="2046"/>
      <c r="F30" s="2084"/>
      <c r="G30" s="2046"/>
      <c r="H30" s="2046"/>
      <c r="I30" s="2046"/>
      <c r="J30" s="2085"/>
      <c r="K30" s="1119"/>
      <c r="L30" s="3330" t="s">
        <v>1919</v>
      </c>
      <c r="M30" s="3331" t="s">
        <v>1973</v>
      </c>
      <c r="N30" s="3331" t="s">
        <v>1974</v>
      </c>
      <c r="O30" s="3331" t="s">
        <v>1975</v>
      </c>
      <c r="P30" s="3331" t="s">
        <v>1976</v>
      </c>
      <c r="Q30" s="3334" t="s">
        <v>3249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f>E34+SUM(I37:I42)</f>
        <v>0</v>
      </c>
      <c r="D31" s="2087"/>
      <c r="E31" s="2088"/>
      <c r="F31" s="2089"/>
      <c r="G31" s="2088"/>
      <c r="H31" s="2088"/>
      <c r="I31" s="2088"/>
      <c r="J31" s="2090"/>
      <c r="K31" s="1119"/>
      <c r="L31" s="3332" t="s">
        <v>1979</v>
      </c>
      <c r="M31" s="2000">
        <v>0.25</v>
      </c>
      <c r="N31" s="2000">
        <v>0.2</v>
      </c>
      <c r="O31" s="2000">
        <v>0.15</v>
      </c>
      <c r="P31" s="2000">
        <v>0.1</v>
      </c>
      <c r="Q31" s="332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33" t="s">
        <v>1982</v>
      </c>
      <c r="M32" s="2550">
        <f>ROUND($E$24*(1+M31),3)</f>
        <v>5.3999999999999999E-2</v>
      </c>
      <c r="N32" s="2550">
        <f>ROUND($E$24*(1+N31),3)</f>
        <v>5.1999999999999998E-2</v>
      </c>
      <c r="O32" s="2550">
        <f>ROUND($E$24*(1+O31),3)</f>
        <v>0.05</v>
      </c>
      <c r="P32" s="2550">
        <f>ROUND($E$24*(1+P31),3)</f>
        <v>4.8000000000000001E-2</v>
      </c>
      <c r="Q32" s="333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f>ROUND(C5*C22*C23*C24*C25*C28,0)</f>
        <v>1903</v>
      </c>
      <c r="D33" s="2098">
        <f>'数据-基础表'!I13</f>
        <v>100737.07000000002</v>
      </c>
      <c r="E33" s="773">
        <f>ROUND(C33*D33/10000,0)</f>
        <v>19170</v>
      </c>
      <c r="F33" s="3325" t="s">
        <v>3247</v>
      </c>
      <c r="G33" s="2099"/>
      <c r="H33" s="2099"/>
      <c r="I33" s="2099"/>
      <c r="J33" s="2100"/>
      <c r="K33" s="1119"/>
      <c r="L33" s="3328" t="s">
        <v>3250</v>
      </c>
      <c r="M33" s="3329">
        <v>5.5E-2</v>
      </c>
      <c r="N33" s="3329">
        <v>5.5E-2</v>
      </c>
      <c r="O33" s="3329">
        <v>0.05</v>
      </c>
      <c r="P33" s="3329">
        <v>0.05</v>
      </c>
      <c r="Q33" s="332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f>ROUND(IF(E2="工业",C33*M42,IF(B25="楼层修正",SUM(V2:V16)*M41*10000/D34,C33*M41)),0)</f>
        <v>285</v>
      </c>
      <c r="D34" s="2103"/>
      <c r="E34" s="773">
        <f>ROUND(IF(B25="楼层修正",SUM(V2:V16)*M40,C34*D34/10000),0)</f>
        <v>0</v>
      </c>
      <c r="F34" s="2104" t="s">
        <v>2015</v>
      </c>
      <c r="G34" s="2105"/>
      <c r="H34" s="2105"/>
      <c r="I34" s="2105"/>
      <c r="J34" s="2106"/>
      <c r="K34" s="1119"/>
      <c r="L34" s="3328" t="s">
        <v>3251</v>
      </c>
      <c r="M34" s="3329">
        <v>6.5000000000000002E-2</v>
      </c>
      <c r="N34" s="3329">
        <v>6.5000000000000002E-2</v>
      </c>
      <c r="O34" s="3329">
        <v>0.06</v>
      </c>
      <c r="P34" s="3329">
        <v>0.06</v>
      </c>
      <c r="Q34" s="332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6" t="s">
        <v>3248</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6" t="s">
        <v>3252</v>
      </c>
      <c r="L36" s="3426">
        <f ca="1">'数据-取费表'!B40</f>
        <v>3.4500000000000003E-2</v>
      </c>
      <c r="M36" s="3337">
        <f ca="1">ROUND($L$36*(1+M31),3)</f>
        <v>4.2999999999999997E-2</v>
      </c>
      <c r="N36" s="3337">
        <f ca="1">ROUND($L$36*(1+N31),3)</f>
        <v>4.1000000000000002E-2</v>
      </c>
      <c r="O36" s="3337">
        <f ca="1">ROUND($L$36*(1+O31),3)</f>
        <v>0.04</v>
      </c>
      <c r="P36" s="3337">
        <f ca="1">ROUND($L$36*(1+P31),3)</f>
        <v>3.7999999999999999E-2</v>
      </c>
      <c r="Q36" s="333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2019</v>
      </c>
      <c r="C37" s="175">
        <f>ROUND(D5*C22*C23*C24*C28*F37,0)</f>
        <v>1236</v>
      </c>
      <c r="D37" s="2098"/>
      <c r="E37" s="171">
        <f>ROUND(C37*D37/10000,0)</f>
        <v>0</v>
      </c>
      <c r="F37" s="171">
        <f>SUMIF(修正!A57:A68,G2,修正!B57:B68)</f>
        <v>0.6</v>
      </c>
      <c r="G37" s="171">
        <f>ROUND(IF(E2="工业",C37*$M$42,C37*$M$41),0)</f>
        <v>185</v>
      </c>
      <c r="H37" s="171">
        <f>D37</f>
        <v>0</v>
      </c>
      <c r="I37" s="171">
        <f>ROUND(G37*H37/10000,0)</f>
        <v>0</v>
      </c>
      <c r="J37" s="2991"/>
      <c r="K37" s="3338" t="s">
        <v>3253</v>
      </c>
      <c r="L37" s="3336">
        <f ca="1">L36+K38</f>
        <v>3.95E-2</v>
      </c>
      <c r="M37" s="3337">
        <f ca="1">ROUND($L$37*(1+M31),3)</f>
        <v>4.9000000000000002E-2</v>
      </c>
      <c r="N37" s="3337">
        <f t="shared" ref="N37:Q37" ca="1" si="3">ROUND($L$37*(1+N31),3)</f>
        <v>4.7E-2</v>
      </c>
      <c r="O37" s="3337">
        <f t="shared" ca="1" si="3"/>
        <v>4.4999999999999998E-2</v>
      </c>
      <c r="P37" s="3337">
        <f t="shared" ca="1" si="3"/>
        <v>4.2999999999999997E-2</v>
      </c>
      <c r="Q37" s="333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2020</v>
      </c>
      <c r="C38" s="175">
        <f>ROUND(D5*C22*C23*C24*C28*F38,0)</f>
        <v>618</v>
      </c>
      <c r="D38" s="2098"/>
      <c r="E38" s="171">
        <f t="shared" ref="E38:E42" si="4">ROUND(C38*D38/10000,0)</f>
        <v>0</v>
      </c>
      <c r="F38" s="171">
        <f>SUMIF(修正!A57:A68,G2,修正!C57:C68)</f>
        <v>0.3</v>
      </c>
      <c r="G38" s="171">
        <f>ROUND(IF(E2="工业",C38*$M$42,C38*$M$41),0)</f>
        <v>93</v>
      </c>
      <c r="H38" s="171">
        <f t="shared" ref="H38:H42" si="5">D38</f>
        <v>0</v>
      </c>
      <c r="I38" s="171">
        <f t="shared" ref="I38:I42" si="6">ROUND(G38*H38/10000,0)</f>
        <v>0</v>
      </c>
      <c r="J38" s="2990"/>
      <c r="K38" s="3336">
        <v>5.0000000000000001E-3</v>
      </c>
      <c r="L38" s="3336"/>
      <c r="M38" s="3336"/>
      <c r="N38" s="3336"/>
      <c r="O38" s="3336"/>
      <c r="P38" s="3336"/>
      <c r="Q38" s="3336"/>
      <c r="R38" s="1119"/>
      <c r="S38" s="1119"/>
      <c r="T38" s="1119"/>
      <c r="U38" s="1119"/>
      <c r="V38" s="1119"/>
      <c r="W38" s="1119"/>
      <c r="X38" s="1119"/>
      <c r="Y38" s="1119"/>
      <c r="Z38" s="1120"/>
      <c r="AA38" s="1120"/>
      <c r="AB38" s="1120"/>
      <c r="AC38" s="1120"/>
      <c r="AD38" s="1120"/>
    </row>
    <row r="39" spans="1:37" ht="13.5" thickBot="1">
      <c r="A39" s="3758"/>
      <c r="B39" s="2041" t="s">
        <v>3246</v>
      </c>
      <c r="C39" s="175">
        <f>ROUND(D5*C22*C23*C24*C28*F39,0)</f>
        <v>515</v>
      </c>
      <c r="D39" s="2098"/>
      <c r="E39" s="171">
        <f t="shared" si="4"/>
        <v>0</v>
      </c>
      <c r="F39" s="171">
        <f>SUMIF(修正!A57:A68,G2,修正!D57:D68)</f>
        <v>0.25</v>
      </c>
      <c r="G39" s="171">
        <f>ROUND(IF(E2="工业",C39*$M$42,C39*$M$41),0)</f>
        <v>77</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f>ROUND(D5*C22*C23*C24*C28*F40,0)</f>
        <v>515</v>
      </c>
      <c r="D40" s="2098"/>
      <c r="E40" s="171">
        <f t="shared" si="4"/>
        <v>0</v>
      </c>
      <c r="F40" s="175">
        <f>SUMIF(修正!A57:A68,G2,修正!E57:E68)</f>
        <v>0.25</v>
      </c>
      <c r="G40" s="171">
        <f>ROUND(IF(E2="工业",C40*$M$42,C40*$M$41),0)</f>
        <v>77</v>
      </c>
      <c r="H40" s="171">
        <f t="shared" si="5"/>
        <v>0</v>
      </c>
      <c r="I40" s="171">
        <f t="shared" si="6"/>
        <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9" t="s">
        <v>3254</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2105</v>
      </c>
      <c r="C44" s="342">
        <f>ROUND(POWER(1+E44,H44-G44)*(POWER(1+E44,G44)-1)/(POWER(1+E44,H44)-1),4)</f>
        <v>0</v>
      </c>
      <c r="D44" s="171" t="s">
        <v>1982</v>
      </c>
      <c r="E44" s="2153">
        <f>G24</f>
        <v>0.05</v>
      </c>
      <c r="F44" s="171" t="s">
        <v>1991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38.25">
      <c r="A50" s="2130" t="s">
        <v>2035</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4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2036</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4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8" t="s">
        <v>3256</v>
      </c>
      <c r="B52" s="2134">
        <f>估价对象房地状况!C19</f>
        <v>0</v>
      </c>
      <c r="C52" s="2044"/>
      <c r="D52" s="1065">
        <f t="shared" si="7"/>
        <v>0</v>
      </c>
      <c r="E52" s="745"/>
      <c r="F52" s="1814"/>
      <c r="G52" s="1063"/>
      <c r="H52" s="1066" t="str">
        <f t="shared" si="8"/>
        <v>——</v>
      </c>
      <c r="I52" s="334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2037</v>
      </c>
      <c r="B53" s="2135" t="s">
        <v>2038</v>
      </c>
      <c r="C53" s="2044"/>
      <c r="D53" s="1065">
        <f t="shared" si="7"/>
        <v>0</v>
      </c>
      <c r="E53" s="745"/>
      <c r="F53" s="1814"/>
      <c r="G53" s="1063"/>
      <c r="H53" s="1066" t="str">
        <f t="shared" si="8"/>
        <v>——</v>
      </c>
      <c r="I53" s="334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2039</v>
      </c>
      <c r="B54" s="2134">
        <f>估价对象房地状况!C24</f>
        <v>0</v>
      </c>
      <c r="C54" s="2044"/>
      <c r="D54" s="1065">
        <f t="shared" si="7"/>
        <v>0</v>
      </c>
      <c r="E54" s="745"/>
      <c r="F54" s="1814"/>
      <c r="G54" s="1063"/>
      <c r="H54" s="1066" t="str">
        <f t="shared" si="8"/>
        <v>——</v>
      </c>
      <c r="I54" s="334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2040</v>
      </c>
      <c r="B55" s="2136" t="s">
        <v>2041</v>
      </c>
      <c r="C55" s="2044"/>
      <c r="D55" s="1065">
        <f t="shared" si="7"/>
        <v>0</v>
      </c>
      <c r="E55" s="745"/>
      <c r="F55" s="1814"/>
      <c r="G55" s="1063"/>
      <c r="H55" s="1066" t="str">
        <f t="shared" si="8"/>
        <v>——</v>
      </c>
      <c r="I55" s="334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2042</v>
      </c>
      <c r="B56" s="1326" t="str">
        <f>估价对象房地状况!C21</f>
        <v>估价对象所在区域公共配套设施齐备情况</v>
      </c>
      <c r="C56" s="2044"/>
      <c r="D56" s="1065">
        <f t="shared" si="7"/>
        <v>0</v>
      </c>
      <c r="E56" s="745"/>
      <c r="F56" s="1814"/>
      <c r="G56" s="1063"/>
      <c r="H56" s="1066" t="str">
        <f t="shared" si="8"/>
        <v>——</v>
      </c>
      <c r="I56" s="334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2043</v>
      </c>
      <c r="B57" s="2134" t="str">
        <f>估价对象房地状况!C22</f>
        <v>估价对象所在区域基础设施水平</v>
      </c>
      <c r="C57" s="2044"/>
      <c r="D57" s="1065">
        <f t="shared" si="7"/>
        <v>0</v>
      </c>
      <c r="E57" s="745"/>
      <c r="F57" s="1814"/>
      <c r="G57" s="1063"/>
      <c r="H57" s="1066" t="str">
        <f t="shared" si="8"/>
        <v>——</v>
      </c>
      <c r="I57" s="334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2044</v>
      </c>
      <c r="B58" s="2139" t="str">
        <f>估价对象房地状况!C20</f>
        <v>区域自然环境：；人文环境；综合评价环境状况一般</v>
      </c>
      <c r="C58" s="2044"/>
      <c r="D58" s="1065">
        <f t="shared" si="7"/>
        <v>0</v>
      </c>
      <c r="E58" s="746"/>
      <c r="F58" s="1814"/>
      <c r="G58" s="1063"/>
      <c r="H58" s="1066" t="str">
        <f t="shared" si="8"/>
        <v>——</v>
      </c>
      <c r="I58" s="334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38.25">
      <c r="A61" s="2130" t="s">
        <v>2047</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4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2036</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4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8" t="s">
        <v>3256</v>
      </c>
      <c r="B63" s="2134">
        <f>估价对象房地状况!C19</f>
        <v>0</v>
      </c>
      <c r="C63" s="2044"/>
      <c r="D63" s="1065">
        <f t="shared" si="12"/>
        <v>0</v>
      </c>
      <c r="E63" s="745"/>
      <c r="F63" s="1814"/>
      <c r="G63" s="1063"/>
      <c r="H63" s="1066" t="str">
        <f t="shared" si="13"/>
        <v>——</v>
      </c>
      <c r="I63" s="334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2037</v>
      </c>
      <c r="B64" s="2135" t="s">
        <v>2038</v>
      </c>
      <c r="C64" s="2044"/>
      <c r="D64" s="1065">
        <f t="shared" si="12"/>
        <v>0</v>
      </c>
      <c r="E64" s="745"/>
      <c r="F64" s="1814"/>
      <c r="G64" s="1063"/>
      <c r="H64" s="1066" t="str">
        <f t="shared" si="13"/>
        <v>——</v>
      </c>
      <c r="I64" s="334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2039</v>
      </c>
      <c r="B65" s="2134">
        <f>估价对象房地状况!C24</f>
        <v>0</v>
      </c>
      <c r="C65" s="2044"/>
      <c r="D65" s="1065">
        <f t="shared" si="12"/>
        <v>0</v>
      </c>
      <c r="E65" s="745"/>
      <c r="F65" s="1814"/>
      <c r="G65" s="1063"/>
      <c r="H65" s="1066" t="str">
        <f t="shared" si="13"/>
        <v>——</v>
      </c>
      <c r="I65" s="334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2040</v>
      </c>
      <c r="B66" s="2136" t="s">
        <v>2041</v>
      </c>
      <c r="C66" s="2044"/>
      <c r="D66" s="1065">
        <f t="shared" si="12"/>
        <v>0</v>
      </c>
      <c r="E66" s="745"/>
      <c r="F66" s="1814"/>
      <c r="G66" s="1063"/>
      <c r="H66" s="1066" t="str">
        <f t="shared" si="13"/>
        <v>——</v>
      </c>
      <c r="I66" s="334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2042</v>
      </c>
      <c r="B67" s="1326" t="str">
        <f>估价对象房地状况!C21</f>
        <v>估价对象所在区域公共配套设施齐备情况</v>
      </c>
      <c r="C67" s="2044"/>
      <c r="D67" s="1065">
        <f t="shared" si="12"/>
        <v>0</v>
      </c>
      <c r="E67" s="745"/>
      <c r="F67" s="1814"/>
      <c r="G67" s="1063"/>
      <c r="H67" s="1066" t="str">
        <f t="shared" si="13"/>
        <v>——</v>
      </c>
      <c r="I67" s="334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2043</v>
      </c>
      <c r="B68" s="1326" t="str">
        <f>估价对象房地状况!C22</f>
        <v>估价对象所在区域基础设施水平</v>
      </c>
      <c r="C68" s="2044"/>
      <c r="D68" s="1065">
        <f t="shared" si="12"/>
        <v>0</v>
      </c>
      <c r="E68" s="745"/>
      <c r="F68" s="1814"/>
      <c r="G68" s="1063"/>
      <c r="H68" s="1066" t="str">
        <f t="shared" si="13"/>
        <v>——</v>
      </c>
      <c r="I68" s="334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2044</v>
      </c>
      <c r="B69" s="2140" t="str">
        <f>估价对象房地状况!C20</f>
        <v>区域自然环境：；人文环境；综合评价环境状况一般</v>
      </c>
      <c r="C69" s="2044"/>
      <c r="D69" s="1065">
        <f t="shared" si="12"/>
        <v>0</v>
      </c>
      <c r="E69" s="746"/>
      <c r="F69" s="1814"/>
      <c r="G69" s="1063"/>
      <c r="H69" s="1066" t="str">
        <f t="shared" si="13"/>
        <v>——</v>
      </c>
      <c r="I69" s="334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51">
      <c r="A72" s="2130" t="s">
        <v>2049</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4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2036</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4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8" t="s">
        <v>3256</v>
      </c>
      <c r="B74" s="2134">
        <f>估价对象房地状况!C19</f>
        <v>0</v>
      </c>
      <c r="C74" s="2044"/>
      <c r="D74" s="1065">
        <f t="shared" si="17"/>
        <v>0</v>
      </c>
      <c r="E74" s="747"/>
      <c r="F74" s="1814"/>
      <c r="G74" s="1063"/>
      <c r="H74" s="1066" t="str">
        <f t="shared" si="18"/>
        <v>——</v>
      </c>
      <c r="I74" s="334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2050</v>
      </c>
      <c r="B75" s="2134">
        <f>估价对象房地状况!C24</f>
        <v>0</v>
      </c>
      <c r="C75" s="2044"/>
      <c r="D75" s="1065">
        <f t="shared" si="17"/>
        <v>0</v>
      </c>
      <c r="E75" s="747"/>
      <c r="F75" s="1814"/>
      <c r="G75" s="1063"/>
      <c r="H75" s="1066" t="str">
        <f t="shared" si="18"/>
        <v>——</v>
      </c>
      <c r="I75" s="334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2042</v>
      </c>
      <c r="B76" s="1326" t="str">
        <f>估价对象房地状况!C21</f>
        <v>估价对象所在区域公共配套设施齐备情况</v>
      </c>
      <c r="C76" s="2044"/>
      <c r="D76" s="1065">
        <f t="shared" si="17"/>
        <v>0</v>
      </c>
      <c r="E76" s="747"/>
      <c r="F76" s="1814"/>
      <c r="G76" s="1063"/>
      <c r="H76" s="1066" t="str">
        <f t="shared" si="18"/>
        <v>——</v>
      </c>
      <c r="I76" s="334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2043</v>
      </c>
      <c r="B77" s="1326" t="str">
        <f>估价对象房地状况!C22</f>
        <v>估价对象所在区域基础设施水平</v>
      </c>
      <c r="C77" s="2044"/>
      <c r="D77" s="1065">
        <f t="shared" si="17"/>
        <v>0</v>
      </c>
      <c r="E77" s="747"/>
      <c r="F77" s="1814"/>
      <c r="G77" s="1063"/>
      <c r="H77" s="1066" t="str">
        <f t="shared" si="18"/>
        <v>——</v>
      </c>
      <c r="I77" s="334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2040</v>
      </c>
      <c r="B78" s="2136" t="s">
        <v>2041</v>
      </c>
      <c r="C78" s="2044"/>
      <c r="D78" s="1065">
        <f t="shared" si="17"/>
        <v>0</v>
      </c>
      <c r="E78" s="747"/>
      <c r="F78" s="1814"/>
      <c r="G78" s="1063"/>
      <c r="H78" s="1066" t="str">
        <f t="shared" si="18"/>
        <v>——</v>
      </c>
      <c r="I78" s="334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2044</v>
      </c>
      <c r="B79" s="2133" t="str">
        <f>估价对象房地状况!C20</f>
        <v>区域自然环境：；人文环境；综合评价环境状况一般</v>
      </c>
      <c r="C79" s="2044"/>
      <c r="D79" s="1065">
        <f t="shared" si="17"/>
        <v>0</v>
      </c>
      <c r="E79" s="747"/>
      <c r="F79" s="1814"/>
      <c r="G79" s="1063"/>
      <c r="H79" s="1066" t="str">
        <f t="shared" si="18"/>
        <v>——</v>
      </c>
      <c r="I79" s="3346">
        <v>0.12</v>
      </c>
      <c r="J79" s="1064">
        <f t="shared" si="19"/>
        <v>0</v>
      </c>
      <c r="K79" s="1064">
        <f t="shared" si="20"/>
        <v>0</v>
      </c>
      <c r="L79" s="1064">
        <v>0</v>
      </c>
      <c r="M79" s="1064">
        <f t="shared" si="21"/>
        <v>0</v>
      </c>
      <c r="N79" s="1064">
        <f t="shared" si="21"/>
        <v>0</v>
      </c>
      <c r="Z79" s="1998"/>
      <c r="AA79" s="2053"/>
      <c r="AG79" s="1121"/>
      <c r="AK79" s="2053"/>
    </row>
    <row r="80" spans="1:37" ht="24.75" thickBot="1">
      <c r="A80" s="2138" t="s">
        <v>2051</v>
      </c>
      <c r="B80" s="2142"/>
      <c r="C80" s="2044"/>
      <c r="D80" s="1065">
        <f t="shared" si="17"/>
        <v>0</v>
      </c>
      <c r="E80" s="748"/>
      <c r="F80" s="1814"/>
      <c r="G80" s="1063"/>
      <c r="H80" s="1066" t="str">
        <f t="shared" si="18"/>
        <v>——</v>
      </c>
      <c r="I80" s="3347">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1.0251999999999999</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38.25">
      <c r="A83" s="2130" t="s">
        <v>2053</v>
      </c>
      <c r="B83" s="2134" t="str">
        <f>估价对象房地状况!G15</f>
        <v>估价对象位于XX开发区，园区建设成熟度XX，产业集聚程度XX</v>
      </c>
      <c r="C83" s="2044" t="s">
        <v>3503</v>
      </c>
      <c r="D83" s="1065">
        <f t="shared" ref="D83:D90" si="22">SUMIF($J$82:$N$82,C83,J83:N83)</f>
        <v>6.4999999999999997E-3</v>
      </c>
      <c r="E83" s="744">
        <f>ROUND(SUM(D83:D90),4)</f>
        <v>2.52E-2</v>
      </c>
      <c r="F83" s="1814">
        <f>IF(E2="工业",SUMIF(L1:L12,G2,N1:N12),"——")</f>
        <v>0.05</v>
      </c>
      <c r="G83" s="1063">
        <v>6.4999999999999997E-3</v>
      </c>
      <c r="H83" s="1066">
        <f t="shared" ref="H83:H90" si="23">IFERROR(ROUNDDOWN($F$83*I83/2,4),"——")</f>
        <v>6.4999999999999997E-3</v>
      </c>
      <c r="I83" s="334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2036</v>
      </c>
      <c r="B84" s="2134" t="str">
        <f>估价对象房地状况!G16</f>
        <v>估价对象周边道路状况、公共交通通达情况、停车便捷程度，综合评价交通便捷度较好</v>
      </c>
      <c r="C84" s="2044" t="s">
        <v>3503</v>
      </c>
      <c r="D84" s="1065">
        <f t="shared" si="22"/>
        <v>7.4999999999999997E-3</v>
      </c>
      <c r="E84" s="747"/>
      <c r="F84" s="1814"/>
      <c r="G84" s="1063">
        <v>7.4999999999999997E-3</v>
      </c>
      <c r="H84" s="1066">
        <f t="shared" si="23"/>
        <v>7.4999999999999997E-3</v>
      </c>
      <c r="I84" s="334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48" t="s">
        <v>3257</v>
      </c>
      <c r="B85" s="2134">
        <f>估价对象房地状况!G17</f>
        <v>0</v>
      </c>
      <c r="C85" s="2044" t="s">
        <v>3503</v>
      </c>
      <c r="D85" s="1065">
        <f t="shared" si="22"/>
        <v>2.5000000000000001E-3</v>
      </c>
      <c r="E85" s="747"/>
      <c r="F85" s="1814"/>
      <c r="G85" s="1063">
        <v>2.5000000000000001E-3</v>
      </c>
      <c r="H85" s="1066">
        <f t="shared" si="23"/>
        <v>2.5000000000000001E-3</v>
      </c>
      <c r="I85" s="334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2050</v>
      </c>
      <c r="B86" s="2134">
        <f>估价对象房地状况!G22</f>
        <v>0</v>
      </c>
      <c r="C86" s="2044" t="s">
        <v>3504</v>
      </c>
      <c r="D86" s="1065">
        <f t="shared" si="22"/>
        <v>0</v>
      </c>
      <c r="E86" s="747"/>
      <c r="F86" s="1814"/>
      <c r="G86" s="1063">
        <v>1.1999999999999999E-3</v>
      </c>
      <c r="H86" s="1066">
        <f t="shared" si="23"/>
        <v>1.1999999999999999E-3</v>
      </c>
      <c r="I86" s="334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2042</v>
      </c>
      <c r="B87" s="1326" t="str">
        <f>估价对象房地状况!G19</f>
        <v>估价对象所在区域公共配套设施齐备情况</v>
      </c>
      <c r="C87" s="2044" t="s">
        <v>3504</v>
      </c>
      <c r="D87" s="1065">
        <f t="shared" si="22"/>
        <v>0</v>
      </c>
      <c r="E87" s="747"/>
      <c r="F87" s="1814"/>
      <c r="G87" s="1063">
        <v>1.5E-3</v>
      </c>
      <c r="H87" s="1066">
        <f t="shared" si="23"/>
        <v>1.5E-3</v>
      </c>
      <c r="I87" s="3346">
        <v>0.06</v>
      </c>
      <c r="J87" s="1064">
        <f t="shared" si="24"/>
        <v>3.0000000000000001E-3</v>
      </c>
      <c r="K87" s="1064">
        <f t="shared" si="25"/>
        <v>1.5E-3</v>
      </c>
      <c r="L87" s="1064">
        <v>0</v>
      </c>
      <c r="M87" s="1064">
        <f t="shared" si="26"/>
        <v>-1.5E-3</v>
      </c>
      <c r="N87" s="1064">
        <f t="shared" si="26"/>
        <v>-3.0000000000000001E-3</v>
      </c>
    </row>
    <row r="88" spans="1:37" ht="25.5">
      <c r="A88" s="2130" t="s">
        <v>2043</v>
      </c>
      <c r="B88" s="1326" t="str">
        <f>估价对象房地状况!G20</f>
        <v>估价对象所在区域基础设施水平</v>
      </c>
      <c r="C88" s="2044" t="s">
        <v>3505</v>
      </c>
      <c r="D88" s="1065">
        <f t="shared" si="22"/>
        <v>6.0000000000000001E-3</v>
      </c>
      <c r="E88" s="747"/>
      <c r="F88" s="1814"/>
      <c r="G88" s="1063">
        <v>3.0000000000000001E-3</v>
      </c>
      <c r="H88" s="1066">
        <f t="shared" si="23"/>
        <v>3.0000000000000001E-3</v>
      </c>
      <c r="I88" s="334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2040</v>
      </c>
      <c r="B89" s="2136" t="s">
        <v>2054</v>
      </c>
      <c r="C89" s="2044" t="s">
        <v>3503</v>
      </c>
      <c r="D89" s="1065">
        <f t="shared" si="22"/>
        <v>1.5E-3</v>
      </c>
      <c r="E89" s="747"/>
      <c r="F89" s="1814"/>
      <c r="G89" s="1063">
        <v>1.5E-3</v>
      </c>
      <c r="H89" s="1066">
        <f t="shared" si="23"/>
        <v>1.5E-3</v>
      </c>
      <c r="I89" s="3346">
        <v>0.06</v>
      </c>
      <c r="J89" s="1064">
        <f t="shared" si="24"/>
        <v>3.0000000000000001E-3</v>
      </c>
      <c r="K89" s="1064">
        <f t="shared" si="25"/>
        <v>1.5E-3</v>
      </c>
      <c r="L89" s="1064">
        <v>0</v>
      </c>
      <c r="M89" s="1064">
        <f t="shared" si="26"/>
        <v>-1.5E-3</v>
      </c>
      <c r="N89" s="1064">
        <f t="shared" si="26"/>
        <v>-3.0000000000000001E-3</v>
      </c>
    </row>
    <row r="90" spans="1:37" ht="39" thickBot="1">
      <c r="A90" s="2138" t="s">
        <v>2055</v>
      </c>
      <c r="B90" s="2143" t="str">
        <f>估价对象房地状况!G18</f>
        <v>该园区内是否有污染型企业，绿化情况，卫生条件，整体环境状况判断</v>
      </c>
      <c r="C90" s="2044" t="s">
        <v>3503</v>
      </c>
      <c r="D90" s="1065">
        <f t="shared" si="22"/>
        <v>1.1999999999999999E-3</v>
      </c>
      <c r="E90" s="748"/>
      <c r="F90" s="1814"/>
      <c r="G90" s="1063">
        <v>1.1999999999999999E-3</v>
      </c>
      <c r="H90" s="1066">
        <f t="shared" si="23"/>
        <v>1.1999999999999999E-3</v>
      </c>
      <c r="I90" s="3347">
        <v>0.05</v>
      </c>
      <c r="J90" s="1064">
        <f t="shared" si="24"/>
        <v>2.3999999999999998E-3</v>
      </c>
      <c r="K90" s="1064">
        <f t="shared" si="25"/>
        <v>1.1999999999999999E-3</v>
      </c>
      <c r="L90" s="1064">
        <v>0</v>
      </c>
      <c r="M90" s="1064">
        <f t="shared" si="26"/>
        <v>-1.1999999999999999E-3</v>
      </c>
      <c r="N90" s="1064">
        <f t="shared" si="26"/>
        <v>-2.3999999999999998E-3</v>
      </c>
    </row>
    <row r="91" spans="1:37" ht="15">
      <c r="A91" s="3356" t="s">
        <v>2599</v>
      </c>
      <c r="B91" s="3357">
        <f>1+E93</f>
        <v>1</v>
      </c>
      <c r="C91" s="3350"/>
      <c r="D91" s="3351"/>
      <c r="E91" s="1814"/>
      <c r="F91" s="1814"/>
      <c r="G91" s="3352"/>
      <c r="H91" s="3353"/>
      <c r="I91" s="3354"/>
      <c r="J91" s="3355"/>
      <c r="K91" s="3355"/>
      <c r="L91" s="3355"/>
      <c r="M91" s="3355"/>
      <c r="N91" s="3355"/>
    </row>
    <row r="92" spans="1:37" ht="24.75">
      <c r="A92" s="3358" t="s">
        <v>3258</v>
      </c>
      <c r="B92" s="3345"/>
      <c r="C92" s="3345" t="s">
        <v>3267</v>
      </c>
      <c r="D92" s="3345" t="s">
        <v>3268</v>
      </c>
      <c r="E92" s="3327" t="s">
        <v>3269</v>
      </c>
      <c r="F92" s="3360" t="s">
        <v>3270</v>
      </c>
      <c r="G92" s="3345" t="s">
        <v>3271</v>
      </c>
      <c r="H92" s="3367" t="s">
        <v>3274</v>
      </c>
      <c r="I92" s="3345" t="s">
        <v>3275</v>
      </c>
      <c r="J92" s="3368" t="s">
        <v>3276</v>
      </c>
      <c r="K92" s="3368" t="s">
        <v>3277</v>
      </c>
      <c r="L92" s="3368" t="s">
        <v>3278</v>
      </c>
      <c r="M92" s="3368" t="s">
        <v>3279</v>
      </c>
      <c r="N92" s="3368" t="s">
        <v>3280</v>
      </c>
    </row>
    <row r="93" spans="1:37" ht="24">
      <c r="A93" s="3348" t="s">
        <v>3259</v>
      </c>
      <c r="B93" s="1306"/>
      <c r="C93" s="2044"/>
      <c r="D93" s="3345">
        <f>SUMIF($J$92:$N$92,C93,J93:N93)</f>
        <v>0</v>
      </c>
      <c r="E93" s="3361">
        <f>ROUND(SUM(D93:D101),4)</f>
        <v>0</v>
      </c>
      <c r="F93" s="1814" t="str">
        <f>IF(E2="公共服务",SUMIF(L1:L12,G2,N1:N12),"——")</f>
        <v>——</v>
      </c>
      <c r="G93" s="3352"/>
      <c r="H93" s="3400" t="str">
        <f>IFERROR(ROUNDDOWN($F$93*I93/2,4),"——")</f>
        <v>——</v>
      </c>
      <c r="I93" s="3346">
        <v>0.25</v>
      </c>
      <c r="J93" s="3324">
        <f t="shared" ref="J93:J101" si="27">K93+$G93</f>
        <v>0</v>
      </c>
      <c r="K93" s="3324">
        <f t="shared" ref="K93:K101" si="28">$L93+$G93</f>
        <v>0</v>
      </c>
      <c r="L93" s="3324">
        <v>0</v>
      </c>
      <c r="M93" s="3324">
        <f t="shared" ref="M93:N101" si="29">L93-$G93</f>
        <v>0</v>
      </c>
      <c r="N93" s="3324">
        <f t="shared" si="29"/>
        <v>0</v>
      </c>
    </row>
    <row r="94" spans="1:37" ht="38.25">
      <c r="A94" s="3358" t="s">
        <v>3260</v>
      </c>
      <c r="B94" s="3349" t="str">
        <f>估价对象房地状况!C18</f>
        <v>估价对象周边道路状况、公共交通通达情况、停车便捷程度，综合评价交通便捷度较好</v>
      </c>
      <c r="C94" s="2044"/>
      <c r="D94" s="3345">
        <f t="shared" ref="D94:D101" si="30">SUMIF($J$60:$N$60,C94,J94:N94)</f>
        <v>0</v>
      </c>
      <c r="E94" s="3362"/>
      <c r="F94" s="1814"/>
      <c r="G94" s="3352"/>
      <c r="H94" s="3400" t="str">
        <f>IFERROR(ROUNDDOWN($F$93*I94/2,4),"——")</f>
        <v>——</v>
      </c>
      <c r="I94" s="3346">
        <v>0.26</v>
      </c>
      <c r="J94" s="3324">
        <f t="shared" si="27"/>
        <v>0</v>
      </c>
      <c r="K94" s="3324">
        <f t="shared" si="28"/>
        <v>0</v>
      </c>
      <c r="L94" s="3324">
        <v>0</v>
      </c>
      <c r="M94" s="3324">
        <f t="shared" si="29"/>
        <v>0</v>
      </c>
      <c r="N94" s="3324">
        <f t="shared" si="29"/>
        <v>0</v>
      </c>
    </row>
    <row r="95" spans="1:37" ht="36">
      <c r="A95" s="3348" t="s">
        <v>3256</v>
      </c>
      <c r="B95" s="3349">
        <f>估价对象房地状况!C19</f>
        <v>0</v>
      </c>
      <c r="C95" s="2044"/>
      <c r="D95" s="3345">
        <f t="shared" si="30"/>
        <v>0</v>
      </c>
      <c r="E95" s="3362"/>
      <c r="F95" s="1814"/>
      <c r="G95" s="3352"/>
      <c r="H95" s="3400" t="str">
        <f t="shared" ref="H95:H101" si="31">IFERROR(ROUNDDOWN($F$93*I95/2,4),"——")</f>
        <v>——</v>
      </c>
      <c r="I95" s="3346">
        <v>0.11</v>
      </c>
      <c r="J95" s="3324">
        <f t="shared" si="27"/>
        <v>0</v>
      </c>
      <c r="K95" s="3324">
        <f t="shared" si="28"/>
        <v>0</v>
      </c>
      <c r="L95" s="3324">
        <v>0</v>
      </c>
      <c r="M95" s="3324">
        <f t="shared" si="29"/>
        <v>0</v>
      </c>
      <c r="N95" s="3324">
        <f t="shared" si="29"/>
        <v>0</v>
      </c>
    </row>
    <row r="96" spans="1:37" ht="36.75">
      <c r="A96" s="3358" t="s">
        <v>3261</v>
      </c>
      <c r="B96" s="3364" t="s">
        <v>3272</v>
      </c>
      <c r="C96" s="2044"/>
      <c r="D96" s="3345">
        <f t="shared" si="30"/>
        <v>0</v>
      </c>
      <c r="E96" s="3362"/>
      <c r="F96" s="1814"/>
      <c r="G96" s="3352"/>
      <c r="H96" s="3400" t="str">
        <f t="shared" si="31"/>
        <v>——</v>
      </c>
      <c r="I96" s="3346">
        <v>0.05</v>
      </c>
      <c r="J96" s="3324">
        <f t="shared" si="27"/>
        <v>0</v>
      </c>
      <c r="K96" s="3324">
        <f t="shared" si="28"/>
        <v>0</v>
      </c>
      <c r="L96" s="3324">
        <v>0</v>
      </c>
      <c r="M96" s="3324">
        <f t="shared" si="29"/>
        <v>0</v>
      </c>
      <c r="N96" s="3324">
        <f t="shared" si="29"/>
        <v>0</v>
      </c>
    </row>
    <row r="97" spans="1:14" ht="24">
      <c r="A97" s="3358" t="s">
        <v>3262</v>
      </c>
      <c r="B97" s="3349">
        <f>估价对象房地状况!C24</f>
        <v>0</v>
      </c>
      <c r="C97" s="2044"/>
      <c r="D97" s="3345">
        <f t="shared" si="30"/>
        <v>0</v>
      </c>
      <c r="E97" s="3362"/>
      <c r="F97" s="1814"/>
      <c r="G97" s="3352"/>
      <c r="H97" s="3400" t="str">
        <f t="shared" si="31"/>
        <v>——</v>
      </c>
      <c r="I97" s="3346">
        <v>0.05</v>
      </c>
      <c r="J97" s="3324">
        <f t="shared" si="27"/>
        <v>0</v>
      </c>
      <c r="K97" s="3324">
        <f t="shared" si="28"/>
        <v>0</v>
      </c>
      <c r="L97" s="3324">
        <v>0</v>
      </c>
      <c r="M97" s="3324">
        <f t="shared" si="29"/>
        <v>0</v>
      </c>
      <c r="N97" s="3324">
        <f t="shared" si="29"/>
        <v>0</v>
      </c>
    </row>
    <row r="98" spans="1:14" ht="24">
      <c r="A98" s="3358" t="s">
        <v>3263</v>
      </c>
      <c r="B98" s="3365" t="s">
        <v>3273</v>
      </c>
      <c r="C98" s="2044"/>
      <c r="D98" s="3345">
        <f t="shared" si="30"/>
        <v>0</v>
      </c>
      <c r="E98" s="3362"/>
      <c r="F98" s="1814"/>
      <c r="G98" s="3352"/>
      <c r="H98" s="3400" t="str">
        <f t="shared" si="31"/>
        <v>——</v>
      </c>
      <c r="I98" s="3346">
        <v>0.06</v>
      </c>
      <c r="J98" s="3324">
        <f t="shared" si="27"/>
        <v>0</v>
      </c>
      <c r="K98" s="3324">
        <f t="shared" si="28"/>
        <v>0</v>
      </c>
      <c r="L98" s="3324">
        <v>0</v>
      </c>
      <c r="M98" s="3324">
        <f t="shared" si="29"/>
        <v>0</v>
      </c>
      <c r="N98" s="3324">
        <f t="shared" si="29"/>
        <v>0</v>
      </c>
    </row>
    <row r="99" spans="1:14" ht="25.5">
      <c r="A99" s="3358" t="s">
        <v>3264</v>
      </c>
      <c r="B99" s="3349" t="str">
        <f>估价对象房地状况!C21</f>
        <v>估价对象所在区域公共配套设施齐备情况</v>
      </c>
      <c r="C99" s="2044"/>
      <c r="D99" s="3345">
        <f t="shared" si="30"/>
        <v>0</v>
      </c>
      <c r="E99" s="3362"/>
      <c r="F99" s="1814"/>
      <c r="G99" s="3352"/>
      <c r="H99" s="3400" t="str">
        <f t="shared" si="31"/>
        <v>——</v>
      </c>
      <c r="I99" s="3346">
        <v>0.06</v>
      </c>
      <c r="J99" s="3324">
        <f t="shared" si="27"/>
        <v>0</v>
      </c>
      <c r="K99" s="3324">
        <f t="shared" si="28"/>
        <v>0</v>
      </c>
      <c r="L99" s="3324">
        <v>0</v>
      </c>
      <c r="M99" s="3324">
        <f t="shared" si="29"/>
        <v>0</v>
      </c>
      <c r="N99" s="3324">
        <f t="shared" si="29"/>
        <v>0</v>
      </c>
    </row>
    <row r="100" spans="1:14" ht="25.5">
      <c r="A100" s="3358" t="s">
        <v>3265</v>
      </c>
      <c r="B100" s="3349" t="str">
        <f>估价对象房地状况!C22</f>
        <v>估价对象所在区域基础设施水平</v>
      </c>
      <c r="C100" s="2044"/>
      <c r="D100" s="3345">
        <f t="shared" si="30"/>
        <v>0</v>
      </c>
      <c r="E100" s="3362"/>
      <c r="F100" s="1814"/>
      <c r="G100" s="3352"/>
      <c r="H100" s="3400" t="str">
        <f t="shared" si="31"/>
        <v>——</v>
      </c>
      <c r="I100" s="3346">
        <v>0.09</v>
      </c>
      <c r="J100" s="3324">
        <f t="shared" si="27"/>
        <v>0</v>
      </c>
      <c r="K100" s="3324">
        <f t="shared" si="28"/>
        <v>0</v>
      </c>
      <c r="L100" s="3324">
        <v>0</v>
      </c>
      <c r="M100" s="3324">
        <f t="shared" si="29"/>
        <v>0</v>
      </c>
      <c r="N100" s="3324">
        <f t="shared" si="29"/>
        <v>0</v>
      </c>
    </row>
    <row r="101" spans="1:14" ht="26.25" thickBot="1">
      <c r="A101" s="3359" t="s">
        <v>3266</v>
      </c>
      <c r="B101" s="3366" t="str">
        <f>估价对象房地状况!C20</f>
        <v>区域自然环境：；人文环境；综合评价环境状况一般</v>
      </c>
      <c r="C101" s="2044"/>
      <c r="D101" s="3345">
        <f t="shared" si="30"/>
        <v>0</v>
      </c>
      <c r="E101" s="3363"/>
      <c r="F101" s="1814"/>
      <c r="G101" s="3352"/>
      <c r="H101" s="3400" t="str">
        <f t="shared" si="31"/>
        <v>——</v>
      </c>
      <c r="I101" s="3347">
        <v>7.0000000000000007E-2</v>
      </c>
      <c r="J101" s="3324">
        <f t="shared" si="27"/>
        <v>0</v>
      </c>
      <c r="K101" s="3324">
        <f t="shared" si="28"/>
        <v>0</v>
      </c>
      <c r="L101" s="3324">
        <v>0</v>
      </c>
      <c r="M101" s="3324">
        <f t="shared" si="29"/>
        <v>0</v>
      </c>
      <c r="N101" s="3324">
        <f t="shared" si="29"/>
        <v>0</v>
      </c>
    </row>
    <row r="103" spans="1:14">
      <c r="A103" s="3755" t="s">
        <v>3281</v>
      </c>
      <c r="B103" s="3755"/>
      <c r="C103" s="3755"/>
      <c r="D103" s="3755"/>
      <c r="E103" s="3755"/>
      <c r="F103" s="3755"/>
      <c r="G103" s="3755"/>
      <c r="H103" s="3755"/>
      <c r="I103" s="3755"/>
      <c r="J103" s="3755"/>
      <c r="K103" s="3369"/>
      <c r="L103" s="3369"/>
      <c r="M103" s="3369"/>
      <c r="N103" s="3369"/>
    </row>
    <row r="104" spans="1:14">
      <c r="A104" s="3756" t="s">
        <v>3282</v>
      </c>
      <c r="B104" s="3756" t="s">
        <v>3283</v>
      </c>
      <c r="C104" s="3370" t="s">
        <v>3284</v>
      </c>
      <c r="D104" s="3371"/>
      <c r="E104" s="3371"/>
      <c r="F104" s="3371"/>
      <c r="G104" s="3371"/>
      <c r="H104" s="3371"/>
      <c r="I104" s="3371"/>
      <c r="J104" s="3372"/>
      <c r="K104" s="3373"/>
      <c r="L104" s="3373"/>
      <c r="M104" s="3373"/>
      <c r="N104" s="3373"/>
    </row>
    <row r="105" spans="1:14">
      <c r="A105" s="3756"/>
      <c r="B105" s="3756"/>
      <c r="C105" s="3374" t="s">
        <v>3285</v>
      </c>
      <c r="D105" s="3374" t="s">
        <v>3286</v>
      </c>
      <c r="E105" s="3374" t="s">
        <v>3287</v>
      </c>
      <c r="F105" s="3374" t="s">
        <v>3288</v>
      </c>
      <c r="G105" s="3374" t="s">
        <v>3289</v>
      </c>
      <c r="H105" s="3374" t="s">
        <v>3290</v>
      </c>
      <c r="I105" s="3374" t="s">
        <v>3291</v>
      </c>
      <c r="J105" s="3374" t="s">
        <v>3292</v>
      </c>
      <c r="K105" s="3374" t="s">
        <v>3293</v>
      </c>
      <c r="L105" s="3374" t="s">
        <v>3294</v>
      </c>
      <c r="M105" s="3374" t="s">
        <v>3295</v>
      </c>
      <c r="N105" s="3374" t="s">
        <v>3296</v>
      </c>
    </row>
    <row r="106" spans="1:14">
      <c r="A106" s="3742" t="s">
        <v>3297</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743"/>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743"/>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743"/>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743"/>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743"/>
      <c r="B111" s="3374" t="s">
        <v>3255</v>
      </c>
      <c r="C111" s="3375">
        <f>$I$3</f>
        <v>0</v>
      </c>
      <c r="D111" s="3375">
        <f t="shared" ref="D111:M111" si="32">$I$3</f>
        <v>0</v>
      </c>
      <c r="E111" s="3375">
        <f t="shared" si="32"/>
        <v>0</v>
      </c>
      <c r="F111" s="3375">
        <f t="shared" si="32"/>
        <v>0</v>
      </c>
      <c r="G111" s="3375">
        <f t="shared" si="32"/>
        <v>0</v>
      </c>
      <c r="H111" s="3375">
        <f t="shared" si="32"/>
        <v>0</v>
      </c>
      <c r="I111" s="3375">
        <f t="shared" si="32"/>
        <v>0</v>
      </c>
      <c r="J111" s="3375">
        <f t="shared" si="32"/>
        <v>0</v>
      </c>
      <c r="K111" s="3375">
        <f t="shared" si="32"/>
        <v>0</v>
      </c>
      <c r="L111" s="3375">
        <f t="shared" si="32"/>
        <v>0</v>
      </c>
      <c r="M111" s="3375">
        <f t="shared" si="32"/>
        <v>0</v>
      </c>
      <c r="N111" s="3375">
        <f>$I$3</f>
        <v>0</v>
      </c>
    </row>
    <row r="112" spans="1:14">
      <c r="A112" s="3744"/>
      <c r="B112" s="3374">
        <v>6</v>
      </c>
      <c r="C112" s="3367">
        <f>(-0.5556*(C111^2)-0.2719*C111+8944)*(10^(-4))</f>
        <v>0.89440000000000008</v>
      </c>
      <c r="D112" s="3367">
        <f>(-0.5556*(D111^2)-0.2719*D111+8944)*(10^(-4))</f>
        <v>0.89440000000000008</v>
      </c>
      <c r="E112" s="3367">
        <f>(-0.7912*(E111^2)-11.3794*E111+8482)*(10^(-4))</f>
        <v>0.84820000000000007</v>
      </c>
      <c r="F112" s="3367">
        <f t="shared" ref="F112:I112" si="33">(-0.7912*(F111^2)-11.3794*F111+8482)*(10^(-4))</f>
        <v>0.84820000000000007</v>
      </c>
      <c r="G112" s="3367">
        <f t="shared" si="33"/>
        <v>0.84820000000000007</v>
      </c>
      <c r="H112" s="3367">
        <f t="shared" si="33"/>
        <v>0.84820000000000007</v>
      </c>
      <c r="I112" s="3367">
        <f t="shared" si="33"/>
        <v>0.84820000000000007</v>
      </c>
      <c r="J112" s="3367">
        <f>(-0.989*(J111^2)-63.78*J111+7771)*(10^(-4))</f>
        <v>0.77710000000000001</v>
      </c>
      <c r="K112" s="3367">
        <f t="shared" ref="K112:N112" si="34">(-0.989*(K111^2)-63.78*K111+7771)*(10^(-4))</f>
        <v>0.77710000000000001</v>
      </c>
      <c r="L112" s="3367">
        <f t="shared" si="34"/>
        <v>0.77710000000000001</v>
      </c>
      <c r="M112" s="3367">
        <f t="shared" si="34"/>
        <v>0.77710000000000001</v>
      </c>
      <c r="N112" s="3367">
        <f t="shared" si="34"/>
        <v>0.77710000000000001</v>
      </c>
    </row>
    <row r="113" spans="1:14">
      <c r="A113" s="3745" t="s">
        <v>3298</v>
      </c>
      <c r="B113" s="3745"/>
      <c r="C113" s="3745"/>
      <c r="D113" s="3745"/>
      <c r="E113" s="3745"/>
      <c r="F113" s="3745"/>
      <c r="G113" s="3745"/>
      <c r="H113" s="3745"/>
      <c r="I113" s="3745"/>
      <c r="J113" s="3745"/>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3299</v>
      </c>
      <c r="B116" s="3395">
        <f>G3</f>
        <v>1.5</v>
      </c>
      <c r="C116" s="3379" t="s">
        <v>3300</v>
      </c>
      <c r="D116" s="3380">
        <f>SUMPRODUCT((A118:A122=F116)*(B117:M117=H116)*B118:M122)</f>
        <v>0.63419999999999999</v>
      </c>
      <c r="E116" s="2000" t="s">
        <v>3301</v>
      </c>
      <c r="F116" s="3381" t="str">
        <f>E2</f>
        <v>工业</v>
      </c>
      <c r="G116" s="2000" t="s">
        <v>3302</v>
      </c>
      <c r="H116" s="3381" t="str">
        <f>G2</f>
        <v>六级</v>
      </c>
      <c r="I116" s="2000"/>
      <c r="J116" s="3382"/>
      <c r="K116" s="3382"/>
      <c r="L116" s="3382"/>
      <c r="M116" s="3382"/>
      <c r="N116" s="3377"/>
    </row>
    <row r="117" spans="1:14">
      <c r="A117" s="3383"/>
      <c r="B117" s="3384" t="s">
        <v>3303</v>
      </c>
      <c r="C117" s="3384" t="s">
        <v>3304</v>
      </c>
      <c r="D117" s="3384" t="s">
        <v>3305</v>
      </c>
      <c r="E117" s="3385" t="s">
        <v>3306</v>
      </c>
      <c r="F117" s="3385" t="s">
        <v>3307</v>
      </c>
      <c r="G117" s="3385" t="s">
        <v>3308</v>
      </c>
      <c r="H117" s="3386" t="s">
        <v>3309</v>
      </c>
      <c r="I117" s="3386" t="s">
        <v>3310</v>
      </c>
      <c r="J117" s="3387" t="s">
        <v>3311</v>
      </c>
      <c r="K117" s="3387" t="s">
        <v>3312</v>
      </c>
      <c r="L117" s="3387" t="s">
        <v>3313</v>
      </c>
      <c r="M117" s="3388" t="s">
        <v>3314</v>
      </c>
      <c r="N117" s="3377"/>
    </row>
    <row r="118" spans="1:14">
      <c r="A118" s="3389" t="s">
        <v>3315</v>
      </c>
      <c r="B118" s="3367">
        <f>ROUND(0.9968-0.011*B116,4)</f>
        <v>0.98029999999999995</v>
      </c>
      <c r="C118" s="3367">
        <f>B118</f>
        <v>0.98029999999999995</v>
      </c>
      <c r="D118" s="3367">
        <f>ROUND(0.949-0.014*B116,4)</f>
        <v>0.92800000000000005</v>
      </c>
      <c r="E118" s="3367">
        <f>D118</f>
        <v>0.92800000000000005</v>
      </c>
      <c r="F118" s="3367">
        <f>E118</f>
        <v>0.92800000000000005</v>
      </c>
      <c r="G118" s="3367">
        <f>F118</f>
        <v>0.92800000000000005</v>
      </c>
      <c r="H118" s="3367">
        <f>G118</f>
        <v>0.92800000000000005</v>
      </c>
      <c r="I118" s="3367">
        <f>ROUND(0.8486-0.018*B116,4)</f>
        <v>0.8216</v>
      </c>
      <c r="J118" s="3367">
        <f t="shared" ref="J118:M122" si="35">I118</f>
        <v>0.8216</v>
      </c>
      <c r="K118" s="3367">
        <f t="shared" si="35"/>
        <v>0.8216</v>
      </c>
      <c r="L118" s="3367">
        <f t="shared" si="35"/>
        <v>0.8216</v>
      </c>
      <c r="M118" s="3390">
        <f t="shared" si="35"/>
        <v>0.8216</v>
      </c>
      <c r="N118" s="3377"/>
    </row>
    <row r="119" spans="1:14">
      <c r="A119" s="3389" t="s">
        <v>3316</v>
      </c>
      <c r="B119" s="3367">
        <f>ROUND(0.993-0.0112*B116,4)</f>
        <v>0.97619999999999996</v>
      </c>
      <c r="C119" s="3367">
        <f>B119</f>
        <v>0.97619999999999996</v>
      </c>
      <c r="D119" s="3367">
        <f>ROUND(0.9415-0.0142*B116,4)</f>
        <v>0.92020000000000002</v>
      </c>
      <c r="E119" s="3367">
        <f t="shared" ref="E119:H120" si="36">D119</f>
        <v>0.92020000000000002</v>
      </c>
      <c r="F119" s="3367">
        <f t="shared" si="36"/>
        <v>0.92020000000000002</v>
      </c>
      <c r="G119" s="3367">
        <f t="shared" si="36"/>
        <v>0.92020000000000002</v>
      </c>
      <c r="H119" s="3367">
        <f t="shared" si="36"/>
        <v>0.92020000000000002</v>
      </c>
      <c r="I119" s="3367">
        <f>ROUND(0.838-0.0182*B116,4)</f>
        <v>0.81069999999999998</v>
      </c>
      <c r="J119" s="3367">
        <f t="shared" si="35"/>
        <v>0.81069999999999998</v>
      </c>
      <c r="K119" s="3367">
        <f t="shared" si="35"/>
        <v>0.81069999999999998</v>
      </c>
      <c r="L119" s="3367">
        <f t="shared" si="35"/>
        <v>0.81069999999999998</v>
      </c>
      <c r="M119" s="3390">
        <f t="shared" si="35"/>
        <v>0.81069999999999998</v>
      </c>
      <c r="N119" s="3377"/>
    </row>
    <row r="120" spans="1:14">
      <c r="A120" s="3389" t="s">
        <v>3317</v>
      </c>
      <c r="B120" s="3367">
        <f>ROUND(0.9448-0.0115*B116,4)</f>
        <v>0.92759999999999998</v>
      </c>
      <c r="C120" s="3367">
        <f>B120</f>
        <v>0.92759999999999998</v>
      </c>
      <c r="D120" s="3367">
        <f>ROUND(0.937-0.0145*B116,4)</f>
        <v>0.9153</v>
      </c>
      <c r="E120" s="3367">
        <f t="shared" si="36"/>
        <v>0.9153</v>
      </c>
      <c r="F120" s="3367">
        <f t="shared" si="36"/>
        <v>0.9153</v>
      </c>
      <c r="G120" s="3367">
        <f t="shared" si="36"/>
        <v>0.9153</v>
      </c>
      <c r="H120" s="3367">
        <f t="shared" si="36"/>
        <v>0.9153</v>
      </c>
      <c r="I120" s="3367">
        <f>ROUND(0.7965-0.0185*B116,4)</f>
        <v>0.76880000000000004</v>
      </c>
      <c r="J120" s="3367">
        <f t="shared" si="35"/>
        <v>0.76880000000000004</v>
      </c>
      <c r="K120" s="3367">
        <f t="shared" si="35"/>
        <v>0.76880000000000004</v>
      </c>
      <c r="L120" s="3367">
        <f t="shared" si="35"/>
        <v>0.76880000000000004</v>
      </c>
      <c r="M120" s="3390">
        <f t="shared" si="35"/>
        <v>0.76880000000000004</v>
      </c>
      <c r="N120" s="3377"/>
    </row>
    <row r="121" spans="1:14" ht="13.5" thickBot="1">
      <c r="A121" s="3391" t="s">
        <v>3318</v>
      </c>
      <c r="B121" s="3392">
        <f>ROUND(0.7836-0.012*B116,4)</f>
        <v>0.76559999999999995</v>
      </c>
      <c r="C121" s="3392">
        <f>B121</f>
        <v>0.76559999999999995</v>
      </c>
      <c r="D121" s="3392">
        <f>ROUND(0.753-0.015*B116,4)</f>
        <v>0.73050000000000004</v>
      </c>
      <c r="E121" s="3392">
        <f>D121</f>
        <v>0.73050000000000004</v>
      </c>
      <c r="F121" s="3392">
        <f>E121</f>
        <v>0.73050000000000004</v>
      </c>
      <c r="G121" s="3392">
        <f>ROUND(0.6612-0.018*B116,4)</f>
        <v>0.63419999999999999</v>
      </c>
      <c r="H121" s="3392">
        <f>G121</f>
        <v>0.63419999999999999</v>
      </c>
      <c r="I121" s="3392">
        <f>ROUND(0.5905-0.019*B116,4)</f>
        <v>0.56200000000000006</v>
      </c>
      <c r="J121" s="3392">
        <f t="shared" si="35"/>
        <v>0.56200000000000006</v>
      </c>
      <c r="K121" s="3392">
        <f t="shared" si="35"/>
        <v>0.56200000000000006</v>
      </c>
      <c r="L121" s="3392">
        <f t="shared" si="35"/>
        <v>0.56200000000000006</v>
      </c>
      <c r="M121" s="3393">
        <f t="shared" si="35"/>
        <v>0.56200000000000006</v>
      </c>
      <c r="N121" s="3377"/>
    </row>
    <row r="122" spans="1:14">
      <c r="A122" s="3394" t="s">
        <v>2599</v>
      </c>
      <c r="B122" s="3367">
        <f>ROUND(0.9404-0.0106*B116,4)</f>
        <v>0.92449999999999999</v>
      </c>
      <c r="C122" s="3367">
        <f>B122</f>
        <v>0.92449999999999999</v>
      </c>
      <c r="D122" s="3367">
        <f>ROUND(0.8955-0.0135*B116,4)</f>
        <v>0.87529999999999997</v>
      </c>
      <c r="E122" s="3367">
        <f t="shared" ref="E122:H122" si="37">D122</f>
        <v>0.87529999999999997</v>
      </c>
      <c r="F122" s="3367">
        <f t="shared" si="37"/>
        <v>0.87529999999999997</v>
      </c>
      <c r="G122" s="3367">
        <f t="shared" si="37"/>
        <v>0.87529999999999997</v>
      </c>
      <c r="H122" s="3367">
        <f t="shared" si="37"/>
        <v>0.87529999999999997</v>
      </c>
      <c r="I122" s="3367">
        <f>ROUND(0.7632-0.0166*B116,4)</f>
        <v>0.73829999999999996</v>
      </c>
      <c r="J122" s="3367">
        <f t="shared" si="35"/>
        <v>0.73829999999999996</v>
      </c>
      <c r="K122" s="3367">
        <f t="shared" si="35"/>
        <v>0.73829999999999996</v>
      </c>
      <c r="L122" s="3367">
        <f t="shared" si="35"/>
        <v>0.73829999999999996</v>
      </c>
      <c r="M122" s="3390">
        <f t="shared" si="35"/>
        <v>0.73829999999999996</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2581</v>
      </c>
      <c r="B1" s="3051" t="s">
        <v>2582</v>
      </c>
      <c r="C1" s="3051" t="s">
        <v>2583</v>
      </c>
      <c r="D1" s="3051" t="s">
        <v>2584</v>
      </c>
      <c r="E1" s="3051" t="s">
        <v>2585</v>
      </c>
      <c r="F1" s="3051" t="s">
        <v>2586</v>
      </c>
      <c r="G1" s="3051" t="s">
        <v>2587</v>
      </c>
      <c r="H1" s="3051" t="s">
        <v>2588</v>
      </c>
      <c r="I1" s="3051" t="s">
        <v>2589</v>
      </c>
      <c r="J1" s="3051" t="s">
        <v>2590</v>
      </c>
      <c r="K1" s="3051" t="s">
        <v>2591</v>
      </c>
      <c r="L1" s="3051" t="s">
        <v>2592</v>
      </c>
      <c r="M1" s="3052" t="s">
        <v>2593</v>
      </c>
    </row>
    <row r="2" spans="1:13" ht="19.5" customHeight="1">
      <c r="A2" s="3054" t="s">
        <v>2594</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2595</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2596</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2597</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2598</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2599</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2600</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2601</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2602</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2603</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2604</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2605</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2606</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2607</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2608</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2609</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2610</v>
      </c>
      <c r="B18" s="3076"/>
      <c r="C18" s="3077"/>
      <c r="D18" s="3077"/>
      <c r="E18" s="3076"/>
      <c r="F18" s="3077"/>
      <c r="G18" s="3077"/>
    </row>
    <row r="19" spans="1:13" ht="19.5" customHeight="1" thickBot="1">
      <c r="A19" s="3074" t="s">
        <v>2611</v>
      </c>
      <c r="B19" s="3079" t="s">
        <v>2612</v>
      </c>
      <c r="C19" s="3079" t="s">
        <v>2613</v>
      </c>
      <c r="D19" s="3080"/>
      <c r="E19" s="3074" t="s">
        <v>2614</v>
      </c>
      <c r="F19" s="3081"/>
      <c r="G19" s="3081"/>
    </row>
    <row r="20" spans="1:13" ht="19.5" customHeight="1">
      <c r="A20" s="3768" t="s">
        <v>2594</v>
      </c>
      <c r="B20" s="3761" t="s">
        <v>2615</v>
      </c>
      <c r="C20" s="3082" t="s">
        <v>2426</v>
      </c>
      <c r="D20" s="3083"/>
      <c r="E20" s="3084">
        <v>1</v>
      </c>
      <c r="F20" s="3085" t="s">
        <v>2427</v>
      </c>
      <c r="G20" s="3085"/>
    </row>
    <row r="21" spans="1:13" ht="19.5" customHeight="1">
      <c r="A21" s="3769"/>
      <c r="B21" s="3762"/>
      <c r="C21" s="3086" t="s">
        <v>2428</v>
      </c>
      <c r="D21" s="3087"/>
      <c r="E21" s="3088">
        <v>1</v>
      </c>
      <c r="F21" s="3085" t="s">
        <v>2429</v>
      </c>
      <c r="G21" s="3085"/>
    </row>
    <row r="22" spans="1:13" ht="19.5" customHeight="1">
      <c r="A22" s="3769"/>
      <c r="B22" s="3762"/>
      <c r="C22" s="3086" t="s">
        <v>2430</v>
      </c>
      <c r="D22" s="3087"/>
      <c r="E22" s="3088">
        <v>0.9</v>
      </c>
      <c r="F22" s="3085" t="s">
        <v>2431</v>
      </c>
      <c r="G22" s="3085"/>
    </row>
    <row r="23" spans="1:13" ht="19.5" customHeight="1">
      <c r="A23" s="3769"/>
      <c r="B23" s="3762"/>
      <c r="C23" s="3086" t="s">
        <v>2432</v>
      </c>
      <c r="D23" s="3087"/>
      <c r="E23" s="3088">
        <v>0.9</v>
      </c>
      <c r="F23" s="3085" t="s">
        <v>2433</v>
      </c>
      <c r="G23" s="3085"/>
    </row>
    <row r="24" spans="1:13" ht="19.5" customHeight="1">
      <c r="A24" s="3769"/>
      <c r="B24" s="3762"/>
      <c r="C24" s="3086" t="s">
        <v>2434</v>
      </c>
      <c r="D24" s="3087"/>
      <c r="E24" s="3088">
        <v>0.8</v>
      </c>
      <c r="F24" s="3085" t="s">
        <v>2435</v>
      </c>
      <c r="G24" s="3085"/>
    </row>
    <row r="25" spans="1:13" ht="19.5" customHeight="1" thickBot="1">
      <c r="A25" s="3770"/>
      <c r="B25" s="3763"/>
      <c r="C25" s="3089" t="s">
        <v>2436</v>
      </c>
      <c r="D25" s="3090"/>
      <c r="E25" s="3091">
        <v>0.8</v>
      </c>
      <c r="F25" s="3085" t="s">
        <v>2437</v>
      </c>
      <c r="G25" s="3085"/>
    </row>
    <row r="26" spans="1:13" ht="19.5" customHeight="1" thickBot="1">
      <c r="A26" s="3092" t="s">
        <v>2616</v>
      </c>
      <c r="B26" s="3093" t="s">
        <v>2615</v>
      </c>
      <c r="C26" s="3094" t="s">
        <v>2617</v>
      </c>
      <c r="D26" s="3095"/>
      <c r="E26" s="3096">
        <v>1</v>
      </c>
      <c r="F26" s="3085" t="s">
        <v>2438</v>
      </c>
      <c r="G26" s="3085"/>
    </row>
    <row r="27" spans="1:13" ht="19.5" customHeight="1">
      <c r="A27" s="3764" t="s">
        <v>2618</v>
      </c>
      <c r="B27" s="3761" t="s">
        <v>2599</v>
      </c>
      <c r="C27" s="3082" t="s">
        <v>2439</v>
      </c>
      <c r="D27" s="3083"/>
      <c r="E27" s="3084">
        <v>1</v>
      </c>
      <c r="F27" s="3085" t="s">
        <v>2440</v>
      </c>
      <c r="G27" s="3085"/>
    </row>
    <row r="28" spans="1:13" ht="19.5" customHeight="1">
      <c r="A28" s="3765"/>
      <c r="B28" s="3762"/>
      <c r="C28" s="3086" t="s">
        <v>2441</v>
      </c>
      <c r="D28" s="3087"/>
      <c r="E28" s="3088">
        <v>1</v>
      </c>
      <c r="F28" s="3085" t="s">
        <v>2442</v>
      </c>
      <c r="G28" s="3085"/>
    </row>
    <row r="29" spans="1:13" ht="19.5" customHeight="1">
      <c r="A29" s="3765"/>
      <c r="B29" s="3762"/>
      <c r="C29" s="3086" t="s">
        <v>2443</v>
      </c>
      <c r="D29" s="3087"/>
      <c r="E29" s="3088">
        <v>0.8</v>
      </c>
      <c r="F29" s="3085" t="s">
        <v>2444</v>
      </c>
      <c r="G29" s="3085"/>
    </row>
    <row r="30" spans="1:13" ht="19.5" customHeight="1">
      <c r="A30" s="3765"/>
      <c r="B30" s="3762"/>
      <c r="C30" s="3086" t="s">
        <v>2445</v>
      </c>
      <c r="D30" s="3087"/>
      <c r="E30" s="3088">
        <v>0.8</v>
      </c>
      <c r="F30" s="3085" t="s">
        <v>2446</v>
      </c>
      <c r="G30" s="3085"/>
    </row>
    <row r="31" spans="1:13" ht="19.5" customHeight="1">
      <c r="A31" s="3765"/>
      <c r="B31" s="3762"/>
      <c r="C31" s="3086" t="s">
        <v>2447</v>
      </c>
      <c r="D31" s="3087"/>
      <c r="E31" s="3088">
        <v>0.8</v>
      </c>
      <c r="F31" s="3085" t="s">
        <v>2448</v>
      </c>
      <c r="G31" s="3085"/>
    </row>
    <row r="32" spans="1:13" ht="19.5" customHeight="1">
      <c r="A32" s="3765"/>
      <c r="B32" s="3762"/>
      <c r="C32" s="3086" t="s">
        <v>2449</v>
      </c>
      <c r="D32" s="3087"/>
      <c r="E32" s="3088">
        <v>0.7</v>
      </c>
      <c r="F32" s="3085" t="s">
        <v>2450</v>
      </c>
      <c r="G32" s="3085"/>
    </row>
    <row r="33" spans="1:7" ht="19.5" customHeight="1">
      <c r="A33" s="3765"/>
      <c r="B33" s="3762"/>
      <c r="C33" s="3086" t="s">
        <v>2451</v>
      </c>
      <c r="D33" s="3087"/>
      <c r="E33" s="3088">
        <v>0.8</v>
      </c>
      <c r="F33" s="3085" t="s">
        <v>2452</v>
      </c>
      <c r="G33" s="3085"/>
    </row>
    <row r="34" spans="1:7" ht="19.5" customHeight="1">
      <c r="A34" s="3765"/>
      <c r="B34" s="3762"/>
      <c r="C34" s="3086" t="s">
        <v>2453</v>
      </c>
      <c r="D34" s="3087"/>
      <c r="E34" s="3088">
        <v>0.6</v>
      </c>
      <c r="F34" s="3085" t="s">
        <v>2454</v>
      </c>
      <c r="G34" s="3085"/>
    </row>
    <row r="35" spans="1:7" ht="19.5" customHeight="1">
      <c r="A35" s="3765"/>
      <c r="B35" s="3762"/>
      <c r="C35" s="3086" t="s">
        <v>2455</v>
      </c>
      <c r="D35" s="3087"/>
      <c r="E35" s="3088">
        <v>0.2</v>
      </c>
      <c r="F35" s="3085" t="s">
        <v>2456</v>
      </c>
      <c r="G35" s="3085"/>
    </row>
    <row r="36" spans="1:7" ht="19.5" customHeight="1">
      <c r="A36" s="3765"/>
      <c r="B36" s="3762"/>
      <c r="C36" s="3086" t="s">
        <v>2457</v>
      </c>
      <c r="D36" s="3087"/>
      <c r="E36" s="3088">
        <v>0.2</v>
      </c>
      <c r="F36" s="3085" t="s">
        <v>2458</v>
      </c>
      <c r="G36" s="3085"/>
    </row>
    <row r="37" spans="1:7" ht="19.5" customHeight="1">
      <c r="A37" s="3765"/>
      <c r="B37" s="3767" t="s">
        <v>2619</v>
      </c>
      <c r="C37" s="3086" t="s">
        <v>2459</v>
      </c>
      <c r="D37" s="3087"/>
      <c r="E37" s="3088">
        <v>0.6</v>
      </c>
      <c r="F37" s="3085" t="s">
        <v>2460</v>
      </c>
      <c r="G37" s="3085"/>
    </row>
    <row r="38" spans="1:7" ht="19.5" customHeight="1">
      <c r="A38" s="3765"/>
      <c r="B38" s="3762"/>
      <c r="C38" s="3086" t="s">
        <v>2461</v>
      </c>
      <c r="D38" s="3087"/>
      <c r="E38" s="3088">
        <v>0.6</v>
      </c>
      <c r="F38" s="3085" t="s">
        <v>2462</v>
      </c>
      <c r="G38" s="3085"/>
    </row>
    <row r="39" spans="1:7" ht="19.5" customHeight="1" thickBot="1">
      <c r="A39" s="3766"/>
      <c r="B39" s="3763"/>
      <c r="C39" s="3089" t="s">
        <v>2463</v>
      </c>
      <c r="D39" s="3090"/>
      <c r="E39" s="3091">
        <v>0.6</v>
      </c>
      <c r="F39" s="3085" t="s">
        <v>2464</v>
      </c>
      <c r="G39" s="3085"/>
    </row>
    <row r="40" spans="1:7" ht="19.5" customHeight="1" thickBot="1">
      <c r="A40" s="3092" t="s">
        <v>2596</v>
      </c>
      <c r="B40" s="3093" t="s">
        <v>2596</v>
      </c>
      <c r="C40" s="3094" t="s">
        <v>2620</v>
      </c>
      <c r="D40" s="3095"/>
      <c r="E40" s="3096">
        <v>1</v>
      </c>
      <c r="F40" s="3085" t="s">
        <v>2465</v>
      </c>
      <c r="G40" s="3085"/>
    </row>
    <row r="41" spans="1:7" ht="19.5" customHeight="1">
      <c r="A41" s="3768" t="s">
        <v>2597</v>
      </c>
      <c r="B41" s="3761" t="s">
        <v>2621</v>
      </c>
      <c r="C41" s="3082" t="s">
        <v>2466</v>
      </c>
      <c r="D41" s="3083"/>
      <c r="E41" s="3084">
        <v>1</v>
      </c>
      <c r="F41" s="3085" t="s">
        <v>2467</v>
      </c>
      <c r="G41" s="3085"/>
    </row>
    <row r="42" spans="1:7" ht="19.5" customHeight="1">
      <c r="A42" s="3769"/>
      <c r="B42" s="3762"/>
      <c r="C42" s="3086" t="s">
        <v>2468</v>
      </c>
      <c r="D42" s="3087"/>
      <c r="E42" s="3088">
        <v>1</v>
      </c>
      <c r="F42" s="3085" t="s">
        <v>2469</v>
      </c>
      <c r="G42" s="3085"/>
    </row>
    <row r="43" spans="1:7" ht="19.5" customHeight="1">
      <c r="A43" s="3769"/>
      <c r="B43" s="3771"/>
      <c r="C43" s="3086" t="s">
        <v>2470</v>
      </c>
      <c r="D43" s="3087"/>
      <c r="E43" s="3088">
        <v>1.5</v>
      </c>
      <c r="F43" s="3085" t="s">
        <v>2471</v>
      </c>
      <c r="G43" s="3085"/>
    </row>
    <row r="44" spans="1:7" ht="19.5" customHeight="1">
      <c r="A44" s="3769"/>
      <c r="B44" s="3097" t="s">
        <v>2622</v>
      </c>
      <c r="C44" s="3086" t="s">
        <v>2623</v>
      </c>
      <c r="D44" s="3087"/>
      <c r="E44" s="3088">
        <v>2</v>
      </c>
      <c r="F44" s="3085" t="s">
        <v>2472</v>
      </c>
      <c r="G44" s="3085"/>
    </row>
    <row r="45" spans="1:7" ht="19.5" customHeight="1">
      <c r="A45" s="3769"/>
      <c r="B45" s="3767" t="s">
        <v>2624</v>
      </c>
      <c r="C45" s="3086" t="s">
        <v>2473</v>
      </c>
      <c r="D45" s="3087"/>
      <c r="E45" s="3088">
        <v>1</v>
      </c>
      <c r="F45" s="3085" t="s">
        <v>2474</v>
      </c>
      <c r="G45" s="3085"/>
    </row>
    <row r="46" spans="1:7" ht="19.5" customHeight="1">
      <c r="A46" s="3769"/>
      <c r="B46" s="3762"/>
      <c r="C46" s="3086" t="s">
        <v>2475</v>
      </c>
      <c r="D46" s="3087"/>
      <c r="E46" s="3088">
        <v>1</v>
      </c>
      <c r="F46" s="3085" t="s">
        <v>2476</v>
      </c>
      <c r="G46" s="3085"/>
    </row>
    <row r="47" spans="1:7" ht="19.5" customHeight="1">
      <c r="A47" s="3769"/>
      <c r="B47" s="3762"/>
      <c r="C47" s="3086" t="s">
        <v>2477</v>
      </c>
      <c r="D47" s="3087"/>
      <c r="E47" s="3088">
        <v>1</v>
      </c>
      <c r="F47" s="3085" t="s">
        <v>2478</v>
      </c>
      <c r="G47" s="3085"/>
    </row>
    <row r="48" spans="1:7" ht="19.5" customHeight="1">
      <c r="A48" s="3769"/>
      <c r="B48" s="3762"/>
      <c r="C48" s="3086" t="s">
        <v>2479</v>
      </c>
      <c r="D48" s="3087"/>
      <c r="E48" s="3088">
        <v>1</v>
      </c>
      <c r="F48" s="3085" t="s">
        <v>2480</v>
      </c>
      <c r="G48" s="3085"/>
    </row>
    <row r="49" spans="1:7" ht="19.5" customHeight="1">
      <c r="A49" s="3769"/>
      <c r="B49" s="3762"/>
      <c r="C49" s="3086" t="s">
        <v>2481</v>
      </c>
      <c r="D49" s="3087"/>
      <c r="E49" s="3088">
        <v>1</v>
      </c>
      <c r="F49" s="3085" t="s">
        <v>2482</v>
      </c>
      <c r="G49" s="3085"/>
    </row>
    <row r="50" spans="1:7" ht="19.5" customHeight="1">
      <c r="A50" s="3769"/>
      <c r="B50" s="3762"/>
      <c r="C50" s="3086" t="s">
        <v>2483</v>
      </c>
      <c r="D50" s="3087"/>
      <c r="E50" s="3088">
        <v>1</v>
      </c>
      <c r="F50" s="3085" t="s">
        <v>2484</v>
      </c>
      <c r="G50" s="3085"/>
    </row>
    <row r="51" spans="1:7" ht="19.5" customHeight="1" thickBot="1">
      <c r="A51" s="3770"/>
      <c r="B51" s="3763"/>
      <c r="C51" s="3089" t="s">
        <v>2485</v>
      </c>
      <c r="D51" s="3090"/>
      <c r="E51" s="3091">
        <v>1</v>
      </c>
      <c r="F51" s="3085" t="s">
        <v>2486</v>
      </c>
      <c r="G51" s="3085"/>
    </row>
    <row r="52" spans="1:7" ht="19.5" customHeight="1">
      <c r="A52" s="3098"/>
      <c r="B52" s="3098"/>
      <c r="C52" s="3098"/>
      <c r="D52" s="3098"/>
      <c r="E52" s="3098"/>
      <c r="F52" s="3098"/>
      <c r="G52" s="3098"/>
    </row>
    <row r="54" spans="1:7" ht="19.5" customHeight="1">
      <c r="A54" s="3099"/>
      <c r="B54" s="3071" t="s">
        <v>2625</v>
      </c>
      <c r="C54" s="3071" t="s">
        <v>2625</v>
      </c>
      <c r="D54" s="3071" t="s">
        <v>2625</v>
      </c>
      <c r="E54" s="3074" t="s">
        <v>2625</v>
      </c>
      <c r="F54" s="3074" t="s">
        <v>2626</v>
      </c>
      <c r="G54" s="3074" t="s">
        <v>2627</v>
      </c>
    </row>
    <row r="55" spans="1:7" ht="19.5" customHeight="1">
      <c r="A55" s="3100"/>
      <c r="B55" s="3074" t="s">
        <v>2594</v>
      </c>
      <c r="C55" s="3074" t="s">
        <v>2594</v>
      </c>
      <c r="D55" s="3074" t="s">
        <v>2594</v>
      </c>
      <c r="E55" s="3071" t="s">
        <v>2595</v>
      </c>
      <c r="F55" s="3071" t="s">
        <v>2597</v>
      </c>
      <c r="G55" s="3071" t="s">
        <v>2628</v>
      </c>
    </row>
    <row r="56" spans="1:7" ht="19.5" customHeight="1">
      <c r="A56" s="3101"/>
      <c r="B56" s="3071">
        <v>1</v>
      </c>
      <c r="C56" s="3071">
        <v>2</v>
      </c>
      <c r="D56" s="3071">
        <v>3</v>
      </c>
      <c r="E56" s="3102" t="s">
        <v>2629</v>
      </c>
      <c r="F56" s="3102" t="s">
        <v>2629</v>
      </c>
      <c r="G56" s="3102" t="s">
        <v>2629</v>
      </c>
    </row>
    <row r="57" spans="1:7" ht="19.5" customHeight="1">
      <c r="A57" s="3103" t="s">
        <v>2582</v>
      </c>
      <c r="B57" s="3071">
        <v>0.7</v>
      </c>
      <c r="C57" s="3071">
        <v>0.4</v>
      </c>
      <c r="D57" s="3071">
        <v>0.3</v>
      </c>
      <c r="E57" s="3102">
        <v>0.3</v>
      </c>
      <c r="F57" s="3071">
        <v>0.3</v>
      </c>
      <c r="G57" s="3071">
        <v>0.2</v>
      </c>
    </row>
    <row r="58" spans="1:7" ht="19.5" customHeight="1">
      <c r="A58" s="3103" t="s">
        <v>2583</v>
      </c>
      <c r="B58" s="3071">
        <v>0.7</v>
      </c>
      <c r="C58" s="3071">
        <v>0.4</v>
      </c>
      <c r="D58" s="3071">
        <v>0.3</v>
      </c>
      <c r="E58" s="3071">
        <v>0.3</v>
      </c>
      <c r="F58" s="3071">
        <v>0.3</v>
      </c>
      <c r="G58" s="3071">
        <v>0.2</v>
      </c>
    </row>
    <row r="59" spans="1:7" ht="19.5" customHeight="1">
      <c r="A59" s="3103" t="s">
        <v>2584</v>
      </c>
      <c r="B59" s="3071">
        <v>0.6</v>
      </c>
      <c r="C59" s="3071">
        <v>0.3</v>
      </c>
      <c r="D59" s="3071">
        <v>0.25</v>
      </c>
      <c r="E59" s="3071">
        <v>0.25</v>
      </c>
      <c r="F59" s="3071">
        <v>0.25</v>
      </c>
      <c r="G59" s="3071">
        <v>0.15</v>
      </c>
    </row>
    <row r="60" spans="1:7" ht="19.5" customHeight="1">
      <c r="A60" s="3103" t="s">
        <v>2585</v>
      </c>
      <c r="B60" s="3071">
        <v>0.6</v>
      </c>
      <c r="C60" s="3071">
        <v>0.3</v>
      </c>
      <c r="D60" s="3071">
        <v>0.25</v>
      </c>
      <c r="E60" s="3071">
        <v>0.25</v>
      </c>
      <c r="F60" s="3071">
        <v>0.25</v>
      </c>
      <c r="G60" s="3071">
        <v>0.15</v>
      </c>
    </row>
    <row r="61" spans="1:7" ht="19.5" customHeight="1">
      <c r="A61" s="3103" t="s">
        <v>2586</v>
      </c>
      <c r="B61" s="3071">
        <v>0.6</v>
      </c>
      <c r="C61" s="3071">
        <v>0.3</v>
      </c>
      <c r="D61" s="3071">
        <v>0.25</v>
      </c>
      <c r="E61" s="3071">
        <v>0.25</v>
      </c>
      <c r="F61" s="3071">
        <v>0.25</v>
      </c>
      <c r="G61" s="3071">
        <v>0.15</v>
      </c>
    </row>
    <row r="62" spans="1:7" ht="19.5" customHeight="1">
      <c r="A62" s="3103" t="s">
        <v>2587</v>
      </c>
      <c r="B62" s="3071">
        <v>0.6</v>
      </c>
      <c r="C62" s="3071">
        <v>0.3</v>
      </c>
      <c r="D62" s="3071">
        <v>0.25</v>
      </c>
      <c r="E62" s="3071">
        <v>0.25</v>
      </c>
      <c r="F62" s="3071">
        <v>0.25</v>
      </c>
      <c r="G62" s="3071">
        <v>0.15</v>
      </c>
    </row>
    <row r="63" spans="1:7" ht="19.5" customHeight="1">
      <c r="A63" s="3103" t="s">
        <v>2588</v>
      </c>
      <c r="B63" s="3071">
        <v>0.6</v>
      </c>
      <c r="C63" s="3071">
        <v>0.3</v>
      </c>
      <c r="D63" s="3071">
        <v>0.25</v>
      </c>
      <c r="E63" s="3071">
        <v>0.25</v>
      </c>
      <c r="F63" s="3071">
        <v>0.25</v>
      </c>
      <c r="G63" s="3071">
        <v>0.15</v>
      </c>
    </row>
    <row r="64" spans="1:7" ht="19.5" customHeight="1">
      <c r="A64" s="3103" t="s">
        <v>2589</v>
      </c>
      <c r="B64" s="3071">
        <v>0.5</v>
      </c>
      <c r="C64" s="3071">
        <v>0.2</v>
      </c>
      <c r="D64" s="3071">
        <v>0.2</v>
      </c>
      <c r="E64" s="3071">
        <v>0.2</v>
      </c>
      <c r="F64" s="3071">
        <v>0.2</v>
      </c>
      <c r="G64" s="3071">
        <v>0.1</v>
      </c>
    </row>
    <row r="65" spans="1:7" ht="19.5" customHeight="1">
      <c r="A65" s="3103" t="s">
        <v>2590</v>
      </c>
      <c r="B65" s="3071">
        <v>0.5</v>
      </c>
      <c r="C65" s="3071">
        <v>0.2</v>
      </c>
      <c r="D65" s="3071">
        <v>0.2</v>
      </c>
      <c r="E65" s="3071">
        <v>0.2</v>
      </c>
      <c r="F65" s="3071">
        <v>0.2</v>
      </c>
      <c r="G65" s="3071">
        <v>0.1</v>
      </c>
    </row>
    <row r="66" spans="1:7" ht="19.5" customHeight="1">
      <c r="A66" s="3103" t="s">
        <v>2591</v>
      </c>
      <c r="B66" s="3071">
        <v>0.5</v>
      </c>
      <c r="C66" s="3071">
        <v>0.2</v>
      </c>
      <c r="D66" s="3071">
        <v>0.2</v>
      </c>
      <c r="E66" s="3071">
        <v>0.2</v>
      </c>
      <c r="F66" s="3071">
        <v>0.2</v>
      </c>
      <c r="G66" s="3071">
        <v>0.1</v>
      </c>
    </row>
    <row r="67" spans="1:7" ht="19.5" customHeight="1">
      <c r="A67" s="3103" t="s">
        <v>2592</v>
      </c>
      <c r="B67" s="3071">
        <v>0.5</v>
      </c>
      <c r="C67" s="3071">
        <v>0.2</v>
      </c>
      <c r="D67" s="3071">
        <v>0.2</v>
      </c>
      <c r="E67" s="3071">
        <v>0.2</v>
      </c>
      <c r="F67" s="3071">
        <v>0.2</v>
      </c>
      <c r="G67" s="3071">
        <v>0.1</v>
      </c>
    </row>
    <row r="68" spans="1:7" ht="19.5" customHeight="1">
      <c r="A68" s="3103" t="s">
        <v>2593</v>
      </c>
      <c r="B68" s="3071">
        <v>0.5</v>
      </c>
      <c r="C68" s="3071">
        <v>0.2</v>
      </c>
      <c r="D68" s="3071">
        <v>0.2</v>
      </c>
      <c r="E68" s="3071">
        <v>0.2</v>
      </c>
      <c r="F68" s="3071">
        <v>0.2</v>
      </c>
      <c r="G68" s="3071">
        <v>0.1</v>
      </c>
    </row>
    <row r="70" spans="1:7" ht="19.5" customHeight="1">
      <c r="A70" s="3104"/>
      <c r="B70" s="3105"/>
      <c r="C70" s="3105"/>
      <c r="D70" s="3105" t="s">
        <v>2630</v>
      </c>
      <c r="E70" s="3105"/>
      <c r="F70" s="3105"/>
    </row>
    <row r="71" spans="1:7" ht="19.5" customHeight="1">
      <c r="A71" s="3097" t="s">
        <v>2631</v>
      </c>
      <c r="B71" s="3097" t="s">
        <v>2632</v>
      </c>
      <c r="C71" s="3097" t="s">
        <v>2633</v>
      </c>
      <c r="D71" s="3097" t="s">
        <v>2634</v>
      </c>
      <c r="E71" s="3097" t="s">
        <v>2635</v>
      </c>
      <c r="F71" s="3097" t="s">
        <v>2636</v>
      </c>
    </row>
    <row r="72" spans="1:7" ht="13.5">
      <c r="A72" s="3097"/>
      <c r="B72" s="3097"/>
      <c r="C72" s="3097" t="s">
        <v>2637</v>
      </c>
      <c r="D72" s="3097"/>
      <c r="E72" s="3097" t="s">
        <v>2608</v>
      </c>
      <c r="F72" s="3097" t="s">
        <v>2608</v>
      </c>
    </row>
    <row r="73" spans="1:7" ht="13.5">
      <c r="A73" s="3097">
        <v>1</v>
      </c>
      <c r="B73" s="3767" t="s">
        <v>2638</v>
      </c>
      <c r="C73" s="3071" t="s">
        <v>2639</v>
      </c>
      <c r="D73" s="3071" t="s">
        <v>2640</v>
      </c>
      <c r="E73" s="3097">
        <v>0.2</v>
      </c>
      <c r="F73" s="3097">
        <v>25</v>
      </c>
    </row>
    <row r="74" spans="1:7" ht="24">
      <c r="A74" s="3097">
        <v>2</v>
      </c>
      <c r="B74" s="3762"/>
      <c r="C74" s="3071" t="s">
        <v>2641</v>
      </c>
      <c r="D74" s="3071" t="s">
        <v>2642</v>
      </c>
      <c r="E74" s="3097">
        <v>0.2</v>
      </c>
      <c r="F74" s="3097">
        <v>25</v>
      </c>
    </row>
    <row r="75" spans="1:7" ht="24">
      <c r="A75" s="3097">
        <v>3</v>
      </c>
      <c r="B75" s="3762"/>
      <c r="C75" s="3071" t="s">
        <v>2643</v>
      </c>
      <c r="D75" s="3071" t="s">
        <v>2644</v>
      </c>
      <c r="E75" s="3097">
        <v>0.2</v>
      </c>
      <c r="F75" s="3097">
        <v>25</v>
      </c>
    </row>
    <row r="76" spans="1:7" ht="13.5">
      <c r="A76" s="3097">
        <v>4</v>
      </c>
      <c r="B76" s="3762"/>
      <c r="C76" s="3071" t="s">
        <v>2645</v>
      </c>
      <c r="D76" s="3071" t="s">
        <v>2646</v>
      </c>
      <c r="E76" s="3097">
        <v>0.15</v>
      </c>
      <c r="F76" s="3097">
        <v>20</v>
      </c>
    </row>
    <row r="77" spans="1:7" ht="24">
      <c r="A77" s="3097">
        <v>5</v>
      </c>
      <c r="B77" s="3762"/>
      <c r="C77" s="3071" t="s">
        <v>2647</v>
      </c>
      <c r="D77" s="3071" t="s">
        <v>2648</v>
      </c>
      <c r="E77" s="3097">
        <v>0.15</v>
      </c>
      <c r="F77" s="3097">
        <v>20</v>
      </c>
    </row>
    <row r="78" spans="1:7" ht="24">
      <c r="A78" s="3097">
        <v>6</v>
      </c>
      <c r="B78" s="3762"/>
      <c r="C78" s="3071" t="s">
        <v>2649</v>
      </c>
      <c r="D78" s="3071" t="s">
        <v>2650</v>
      </c>
      <c r="E78" s="3097">
        <v>0.15</v>
      </c>
      <c r="F78" s="3097">
        <v>20</v>
      </c>
    </row>
    <row r="79" spans="1:7" ht="24">
      <c r="A79" s="3097">
        <v>7</v>
      </c>
      <c r="B79" s="3762"/>
      <c r="C79" s="3071" t="s">
        <v>2651</v>
      </c>
      <c r="D79" s="3071" t="s">
        <v>2652</v>
      </c>
      <c r="E79" s="3097">
        <v>0.15</v>
      </c>
      <c r="F79" s="3097">
        <v>20</v>
      </c>
    </row>
    <row r="80" spans="1:7" ht="24">
      <c r="A80" s="3097">
        <v>8</v>
      </c>
      <c r="B80" s="3762"/>
      <c r="C80" s="3071" t="s">
        <v>2653</v>
      </c>
      <c r="D80" s="3071" t="s">
        <v>2654</v>
      </c>
      <c r="E80" s="3097">
        <v>0.1</v>
      </c>
      <c r="F80" s="3097">
        <v>15</v>
      </c>
    </row>
    <row r="81" spans="1:6" ht="24">
      <c r="A81" s="3097">
        <v>9</v>
      </c>
      <c r="B81" s="3762"/>
      <c r="C81" s="3071" t="s">
        <v>2655</v>
      </c>
      <c r="D81" s="3071" t="s">
        <v>2656</v>
      </c>
      <c r="E81" s="3097">
        <v>0.1</v>
      </c>
      <c r="F81" s="3097">
        <v>15</v>
      </c>
    </row>
    <row r="82" spans="1:6" ht="24">
      <c r="A82" s="3097">
        <v>10</v>
      </c>
      <c r="B82" s="3762"/>
      <c r="C82" s="3071" t="s">
        <v>2657</v>
      </c>
      <c r="D82" s="3071" t="s">
        <v>2658</v>
      </c>
      <c r="E82" s="3097">
        <v>0.1</v>
      </c>
      <c r="F82" s="3097">
        <v>15</v>
      </c>
    </row>
    <row r="83" spans="1:6" ht="24">
      <c r="A83" s="3097">
        <v>11</v>
      </c>
      <c r="B83" s="3762"/>
      <c r="C83" s="3071" t="s">
        <v>2659</v>
      </c>
      <c r="D83" s="3071" t="s">
        <v>2660</v>
      </c>
      <c r="E83" s="3097">
        <v>0.1</v>
      </c>
      <c r="F83" s="3097">
        <v>15</v>
      </c>
    </row>
    <row r="84" spans="1:6" ht="24">
      <c r="A84" s="3097">
        <v>12</v>
      </c>
      <c r="B84" s="3762"/>
      <c r="C84" s="3071" t="s">
        <v>2661</v>
      </c>
      <c r="D84" s="3071" t="s">
        <v>2662</v>
      </c>
      <c r="E84" s="3097">
        <v>0.1</v>
      </c>
      <c r="F84" s="3097">
        <v>15</v>
      </c>
    </row>
    <row r="85" spans="1:6" ht="13.5">
      <c r="A85" s="3097">
        <v>13</v>
      </c>
      <c r="B85" s="3762"/>
      <c r="C85" s="3071" t="s">
        <v>2663</v>
      </c>
      <c r="D85" s="3071" t="s">
        <v>2664</v>
      </c>
      <c r="E85" s="3097">
        <v>0.1</v>
      </c>
      <c r="F85" s="3097">
        <v>15</v>
      </c>
    </row>
    <row r="86" spans="1:6" ht="13.5">
      <c r="A86" s="3097">
        <v>14</v>
      </c>
      <c r="B86" s="3762"/>
      <c r="C86" s="3071" t="s">
        <v>2665</v>
      </c>
      <c r="D86" s="3071" t="s">
        <v>2666</v>
      </c>
      <c r="E86" s="3097">
        <v>0.1</v>
      </c>
      <c r="F86" s="3097">
        <v>15</v>
      </c>
    </row>
    <row r="87" spans="1:6" ht="13.5">
      <c r="A87" s="3097">
        <v>15</v>
      </c>
      <c r="B87" s="3762"/>
      <c r="C87" s="3071" t="s">
        <v>2667</v>
      </c>
      <c r="D87" s="3071" t="s">
        <v>2668</v>
      </c>
      <c r="E87" s="3097">
        <v>0.1</v>
      </c>
      <c r="F87" s="3097">
        <v>15</v>
      </c>
    </row>
    <row r="88" spans="1:6" ht="24">
      <c r="A88" s="3097">
        <v>16</v>
      </c>
      <c r="B88" s="3762"/>
      <c r="C88" s="3071" t="s">
        <v>2669</v>
      </c>
      <c r="D88" s="3071" t="s">
        <v>2670</v>
      </c>
      <c r="E88" s="3097">
        <v>0.1</v>
      </c>
      <c r="F88" s="3097">
        <v>15</v>
      </c>
    </row>
    <row r="89" spans="1:6" ht="24">
      <c r="A89" s="3097">
        <v>17</v>
      </c>
      <c r="B89" s="3771"/>
      <c r="C89" s="3071" t="s">
        <v>2671</v>
      </c>
      <c r="D89" s="3071" t="s">
        <v>2672</v>
      </c>
      <c r="E89" s="3097">
        <v>0.1</v>
      </c>
      <c r="F89" s="3097">
        <v>15</v>
      </c>
    </row>
    <row r="90" spans="1:6" ht="13.5">
      <c r="A90" s="3097">
        <v>18</v>
      </c>
      <c r="B90" s="3767" t="s">
        <v>2673</v>
      </c>
      <c r="C90" s="3071" t="s">
        <v>2674</v>
      </c>
      <c r="D90" s="3071" t="s">
        <v>2675</v>
      </c>
      <c r="E90" s="3097">
        <v>0.2</v>
      </c>
      <c r="F90" s="3097">
        <v>25</v>
      </c>
    </row>
    <row r="91" spans="1:6" ht="24">
      <c r="A91" s="3097">
        <v>19</v>
      </c>
      <c r="B91" s="3762"/>
      <c r="C91" s="3071" t="s">
        <v>2676</v>
      </c>
      <c r="D91" s="3071" t="s">
        <v>2677</v>
      </c>
      <c r="E91" s="3097">
        <v>0.2</v>
      </c>
      <c r="F91" s="3097">
        <v>25</v>
      </c>
    </row>
    <row r="92" spans="1:6" ht="13.5">
      <c r="A92" s="3097">
        <v>20</v>
      </c>
      <c r="B92" s="3762"/>
      <c r="C92" s="3071" t="s">
        <v>2678</v>
      </c>
      <c r="D92" s="3071" t="s">
        <v>2679</v>
      </c>
      <c r="E92" s="3097">
        <v>0.15</v>
      </c>
      <c r="F92" s="3097">
        <v>20</v>
      </c>
    </row>
    <row r="93" spans="1:6" ht="13.5">
      <c r="A93" s="3097">
        <v>21</v>
      </c>
      <c r="B93" s="3762"/>
      <c r="C93" s="3071" t="s">
        <v>2680</v>
      </c>
      <c r="D93" s="3071" t="s">
        <v>2681</v>
      </c>
      <c r="E93" s="3097">
        <v>0.15</v>
      </c>
      <c r="F93" s="3097">
        <v>20</v>
      </c>
    </row>
    <row r="94" spans="1:6" ht="13.5">
      <c r="A94" s="3097">
        <v>22</v>
      </c>
      <c r="B94" s="3762"/>
      <c r="C94" s="3071" t="s">
        <v>2682</v>
      </c>
      <c r="D94" s="3071" t="s">
        <v>2683</v>
      </c>
      <c r="E94" s="3097">
        <v>0.15</v>
      </c>
      <c r="F94" s="3097">
        <v>20</v>
      </c>
    </row>
    <row r="95" spans="1:6" ht="36">
      <c r="A95" s="3097">
        <v>23</v>
      </c>
      <c r="B95" s="3762"/>
      <c r="C95" s="3071" t="s">
        <v>2684</v>
      </c>
      <c r="D95" s="3071" t="s">
        <v>2685</v>
      </c>
      <c r="E95" s="3097">
        <v>0.15</v>
      </c>
      <c r="F95" s="3097">
        <v>20</v>
      </c>
    </row>
    <row r="96" spans="1:6" ht="13.5">
      <c r="A96" s="3097">
        <v>24</v>
      </c>
      <c r="B96" s="3762"/>
      <c r="C96" s="3071" t="s">
        <v>2686</v>
      </c>
      <c r="D96" s="3071" t="s">
        <v>2687</v>
      </c>
      <c r="E96" s="3097">
        <v>0.1</v>
      </c>
      <c r="F96" s="3097">
        <v>15</v>
      </c>
    </row>
    <row r="97" spans="1:6" ht="13.5">
      <c r="A97" s="3097">
        <v>25</v>
      </c>
      <c r="B97" s="3762"/>
      <c r="C97" s="3071" t="s">
        <v>2688</v>
      </c>
      <c r="D97" s="3071" t="s">
        <v>2689</v>
      </c>
      <c r="E97" s="3097">
        <v>0.1</v>
      </c>
      <c r="F97" s="3097">
        <v>15</v>
      </c>
    </row>
    <row r="98" spans="1:6" ht="24">
      <c r="A98" s="3097">
        <v>26</v>
      </c>
      <c r="B98" s="3762"/>
      <c r="C98" s="3071" t="s">
        <v>2690</v>
      </c>
      <c r="D98" s="3071" t="s">
        <v>2691</v>
      </c>
      <c r="E98" s="3097">
        <v>0.1</v>
      </c>
      <c r="F98" s="3097">
        <v>15</v>
      </c>
    </row>
    <row r="99" spans="1:6" ht="24">
      <c r="A99" s="3097">
        <v>27</v>
      </c>
      <c r="B99" s="3762"/>
      <c r="C99" s="3071" t="s">
        <v>2692</v>
      </c>
      <c r="D99" s="3071" t="s">
        <v>2693</v>
      </c>
      <c r="E99" s="3097">
        <v>0.1</v>
      </c>
      <c r="F99" s="3097">
        <v>15</v>
      </c>
    </row>
    <row r="100" spans="1:6" ht="13.5">
      <c r="A100" s="3097">
        <v>28</v>
      </c>
      <c r="B100" s="3762"/>
      <c r="C100" s="3071" t="s">
        <v>2694</v>
      </c>
      <c r="D100" s="3071" t="s">
        <v>2695</v>
      </c>
      <c r="E100" s="3097">
        <v>0.1</v>
      </c>
      <c r="F100" s="3097">
        <v>15</v>
      </c>
    </row>
    <row r="101" spans="1:6" ht="13.5">
      <c r="A101" s="3097">
        <v>29</v>
      </c>
      <c r="B101" s="3762"/>
      <c r="C101" s="3071" t="s">
        <v>2696</v>
      </c>
      <c r="D101" s="3071" t="s">
        <v>2697</v>
      </c>
      <c r="E101" s="3097">
        <v>0.1</v>
      </c>
      <c r="F101" s="3097">
        <v>15</v>
      </c>
    </row>
    <row r="102" spans="1:6" ht="13.5">
      <c r="A102" s="3097">
        <v>30</v>
      </c>
      <c r="B102" s="3762"/>
      <c r="C102" s="3071" t="s">
        <v>2698</v>
      </c>
      <c r="D102" s="3071" t="s">
        <v>2699</v>
      </c>
      <c r="E102" s="3097">
        <v>0.1</v>
      </c>
      <c r="F102" s="3097">
        <v>15</v>
      </c>
    </row>
    <row r="103" spans="1:6" ht="24">
      <c r="A103" s="3097">
        <v>31</v>
      </c>
      <c r="B103" s="3762"/>
      <c r="C103" s="3071" t="s">
        <v>2700</v>
      </c>
      <c r="D103" s="3071" t="s">
        <v>2701</v>
      </c>
      <c r="E103" s="3097">
        <v>0.1</v>
      </c>
      <c r="F103" s="3097">
        <v>15</v>
      </c>
    </row>
    <row r="104" spans="1:6" ht="24">
      <c r="A104" s="3097">
        <v>32</v>
      </c>
      <c r="B104" s="3762"/>
      <c r="C104" s="3071" t="s">
        <v>2702</v>
      </c>
      <c r="D104" s="3071" t="s">
        <v>2703</v>
      </c>
      <c r="E104" s="3097">
        <v>0.1</v>
      </c>
      <c r="F104" s="3097">
        <v>15</v>
      </c>
    </row>
    <row r="105" spans="1:6" ht="24">
      <c r="A105" s="3097">
        <v>33</v>
      </c>
      <c r="B105" s="3762"/>
      <c r="C105" s="3071" t="s">
        <v>2704</v>
      </c>
      <c r="D105" s="3071" t="s">
        <v>2705</v>
      </c>
      <c r="E105" s="3097">
        <v>0.1</v>
      </c>
      <c r="F105" s="3097">
        <v>15</v>
      </c>
    </row>
    <row r="106" spans="1:6" ht="24">
      <c r="A106" s="3097">
        <v>34</v>
      </c>
      <c r="B106" s="3771"/>
      <c r="C106" s="3071" t="s">
        <v>2706</v>
      </c>
      <c r="D106" s="3071" t="s">
        <v>2707</v>
      </c>
      <c r="E106" s="3097">
        <v>0.1</v>
      </c>
      <c r="F106" s="3097">
        <v>15</v>
      </c>
    </row>
    <row r="107" spans="1:6" ht="24">
      <c r="A107" s="3097">
        <v>35</v>
      </c>
      <c r="B107" s="3767" t="s">
        <v>2708</v>
      </c>
      <c r="C107" s="3097" t="s">
        <v>2709</v>
      </c>
      <c r="D107" s="3071" t="s">
        <v>2710</v>
      </c>
      <c r="E107" s="3097">
        <v>0.15</v>
      </c>
      <c r="F107" s="3097">
        <v>20</v>
      </c>
    </row>
    <row r="108" spans="1:6" ht="13.5">
      <c r="A108" s="3097">
        <v>36</v>
      </c>
      <c r="B108" s="3762"/>
      <c r="C108" s="3097" t="s">
        <v>2711</v>
      </c>
      <c r="D108" s="3071" t="s">
        <v>2712</v>
      </c>
      <c r="E108" s="3097">
        <v>0.15</v>
      </c>
      <c r="F108" s="3097">
        <v>20</v>
      </c>
    </row>
    <row r="109" spans="1:6" ht="13.5">
      <c r="A109" s="3097">
        <v>37</v>
      </c>
      <c r="B109" s="3762"/>
      <c r="C109" s="3097" t="s">
        <v>2713</v>
      </c>
      <c r="D109" s="3071" t="s">
        <v>2714</v>
      </c>
      <c r="E109" s="3097">
        <v>0.15</v>
      </c>
      <c r="F109" s="3097">
        <v>20</v>
      </c>
    </row>
    <row r="110" spans="1:6" ht="13.5">
      <c r="A110" s="3097">
        <v>38</v>
      </c>
      <c r="B110" s="3762"/>
      <c r="C110" s="3097" t="s">
        <v>2715</v>
      </c>
      <c r="D110" s="3071" t="s">
        <v>2716</v>
      </c>
      <c r="E110" s="3097">
        <v>0.1</v>
      </c>
      <c r="F110" s="3097">
        <v>15</v>
      </c>
    </row>
    <row r="111" spans="1:6" ht="24">
      <c r="A111" s="3097">
        <v>39</v>
      </c>
      <c r="B111" s="3762"/>
      <c r="C111" s="3097" t="s">
        <v>2717</v>
      </c>
      <c r="D111" s="3071" t="s">
        <v>2718</v>
      </c>
      <c r="E111" s="3097">
        <v>0.1</v>
      </c>
      <c r="F111" s="3097">
        <v>15</v>
      </c>
    </row>
    <row r="112" spans="1:6" ht="24">
      <c r="A112" s="3097">
        <v>40</v>
      </c>
      <c r="B112" s="3771"/>
      <c r="C112" s="3097" t="s">
        <v>2719</v>
      </c>
      <c r="D112" s="3071" t="s">
        <v>2720</v>
      </c>
      <c r="E112" s="3097">
        <v>0.1</v>
      </c>
      <c r="F112" s="3097">
        <v>15</v>
      </c>
    </row>
    <row r="113" spans="1:6" ht="13.5">
      <c r="A113" s="3097">
        <v>41</v>
      </c>
      <c r="B113" s="3772" t="s">
        <v>2721</v>
      </c>
      <c r="C113" s="3097" t="s">
        <v>2722</v>
      </c>
      <c r="D113" s="3071" t="s">
        <v>2723</v>
      </c>
      <c r="E113" s="3097">
        <v>0.1</v>
      </c>
      <c r="F113" s="3097">
        <v>15</v>
      </c>
    </row>
    <row r="114" spans="1:6" ht="13.5">
      <c r="A114" s="3097">
        <v>42</v>
      </c>
      <c r="B114" s="3772"/>
      <c r="C114" s="3097" t="s">
        <v>2724</v>
      </c>
      <c r="D114" s="3071" t="s">
        <v>2725</v>
      </c>
      <c r="E114" s="3097">
        <v>0.1</v>
      </c>
      <c r="F114" s="3097">
        <v>15</v>
      </c>
    </row>
    <row r="115" spans="1:6" ht="24">
      <c r="A115" s="3097">
        <v>43</v>
      </c>
      <c r="B115" s="3772"/>
      <c r="C115" s="3097" t="s">
        <v>2726</v>
      </c>
      <c r="D115" s="3071" t="s">
        <v>2727</v>
      </c>
      <c r="E115" s="3097">
        <v>0.1</v>
      </c>
      <c r="F115" s="3097">
        <v>15</v>
      </c>
    </row>
    <row r="116" spans="1:6" ht="13.5">
      <c r="A116" s="3097">
        <v>44</v>
      </c>
      <c r="B116" s="3767" t="s">
        <v>2728</v>
      </c>
      <c r="C116" s="3097" t="s">
        <v>2729</v>
      </c>
      <c r="D116" s="3071" t="s">
        <v>2730</v>
      </c>
      <c r="E116" s="3097">
        <v>0.1</v>
      </c>
      <c r="F116" s="3097">
        <v>15</v>
      </c>
    </row>
    <row r="117" spans="1:6" ht="24">
      <c r="A117" s="3097">
        <v>45</v>
      </c>
      <c r="B117" s="3771"/>
      <c r="C117" s="3071" t="s">
        <v>2731</v>
      </c>
      <c r="D117" s="3071" t="s">
        <v>2732</v>
      </c>
      <c r="E117" s="3097">
        <v>0.1</v>
      </c>
      <c r="F117" s="3097">
        <v>15</v>
      </c>
    </row>
    <row r="118" spans="1:6" ht="24">
      <c r="A118" s="3097">
        <v>46</v>
      </c>
      <c r="B118" s="3767" t="s">
        <v>2733</v>
      </c>
      <c r="C118" s="3097" t="s">
        <v>2734</v>
      </c>
      <c r="D118" s="3071" t="s">
        <v>2735</v>
      </c>
      <c r="E118" s="3097">
        <v>0.1</v>
      </c>
      <c r="F118" s="3097">
        <v>15</v>
      </c>
    </row>
    <row r="119" spans="1:6" ht="24">
      <c r="A119" s="3097">
        <v>47</v>
      </c>
      <c r="B119" s="3771"/>
      <c r="C119" s="3097" t="s">
        <v>2736</v>
      </c>
      <c r="D119" s="3071" t="s">
        <v>2737</v>
      </c>
      <c r="E119" s="3097">
        <v>0.1</v>
      </c>
      <c r="F119" s="3097">
        <v>15</v>
      </c>
    </row>
    <row r="120" spans="1:6" ht="13.5">
      <c r="A120" s="3097">
        <v>48</v>
      </c>
      <c r="B120" s="3767" t="s">
        <v>2738</v>
      </c>
      <c r="C120" s="3097" t="s">
        <v>2739</v>
      </c>
      <c r="D120" s="3071" t="s">
        <v>2740</v>
      </c>
      <c r="E120" s="3097">
        <v>0.1</v>
      </c>
      <c r="F120" s="3097">
        <v>15</v>
      </c>
    </row>
    <row r="121" spans="1:6" ht="13.5">
      <c r="A121" s="3097">
        <v>49</v>
      </c>
      <c r="B121" s="3771"/>
      <c r="C121" s="3097" t="s">
        <v>2741</v>
      </c>
      <c r="D121" s="3071" t="s">
        <v>2742</v>
      </c>
      <c r="E121" s="3097">
        <v>0.1</v>
      </c>
      <c r="F121" s="3097">
        <v>15</v>
      </c>
    </row>
    <row r="122" spans="1:6" ht="24">
      <c r="A122" s="3097">
        <v>50</v>
      </c>
      <c r="B122" s="3772" t="s">
        <v>2743</v>
      </c>
      <c r="C122" s="3097" t="s">
        <v>2744</v>
      </c>
      <c r="D122" s="3071" t="s">
        <v>2745</v>
      </c>
      <c r="E122" s="3097">
        <v>0.1</v>
      </c>
      <c r="F122" s="3097">
        <v>15</v>
      </c>
    </row>
    <row r="123" spans="1:6" ht="24">
      <c r="A123" s="3097">
        <v>51</v>
      </c>
      <c r="B123" s="3772"/>
      <c r="C123" s="3097" t="s">
        <v>2746</v>
      </c>
      <c r="D123" s="3071" t="s">
        <v>2747</v>
      </c>
      <c r="E123" s="3097">
        <v>0.1</v>
      </c>
      <c r="F123" s="3097">
        <v>15</v>
      </c>
    </row>
    <row r="124" spans="1:6" ht="24">
      <c r="A124" s="3097">
        <v>52</v>
      </c>
      <c r="B124" s="3772" t="s">
        <v>2748</v>
      </c>
      <c r="C124" s="3097" t="s">
        <v>2749</v>
      </c>
      <c r="D124" s="3071" t="s">
        <v>2750</v>
      </c>
      <c r="E124" s="3097">
        <v>0.1</v>
      </c>
      <c r="F124" s="3097">
        <v>15</v>
      </c>
    </row>
    <row r="125" spans="1:6" ht="24">
      <c r="A125" s="3097">
        <v>53</v>
      </c>
      <c r="B125" s="3772"/>
      <c r="C125" s="3097" t="s">
        <v>2751</v>
      </c>
      <c r="D125" s="3071" t="s">
        <v>2752</v>
      </c>
      <c r="E125" s="3097">
        <v>0.1</v>
      </c>
      <c r="F125" s="3097">
        <v>15</v>
      </c>
    </row>
    <row r="126" spans="1:6" ht="13.5">
      <c r="A126" s="3097">
        <v>54</v>
      </c>
      <c r="B126" s="3097" t="s">
        <v>2753</v>
      </c>
      <c r="C126" s="3097" t="s">
        <v>2754</v>
      </c>
      <c r="D126" s="3071" t="s">
        <v>2755</v>
      </c>
      <c r="E126" s="3097">
        <v>0.1</v>
      </c>
      <c r="F126" s="3097">
        <v>15</v>
      </c>
    </row>
    <row r="127" spans="1:6" ht="13.5">
      <c r="A127" s="3097">
        <v>55</v>
      </c>
      <c r="B127" s="3772" t="s">
        <v>2756</v>
      </c>
      <c r="C127" s="3097" t="s">
        <v>2757</v>
      </c>
      <c r="D127" s="3071" t="s">
        <v>2758</v>
      </c>
      <c r="E127" s="3097">
        <v>0.1</v>
      </c>
      <c r="F127" s="3097">
        <v>15</v>
      </c>
    </row>
    <row r="128" spans="1:6" ht="13.5">
      <c r="A128" s="3097">
        <v>56</v>
      </c>
      <c r="B128" s="3772"/>
      <c r="C128" s="3097" t="s">
        <v>2759</v>
      </c>
      <c r="D128" s="3071" t="s">
        <v>2760</v>
      </c>
      <c r="E128" s="3097">
        <v>0.1</v>
      </c>
      <c r="F128" s="3097">
        <v>15</v>
      </c>
    </row>
    <row r="129" spans="1:6" ht="24">
      <c r="A129" s="3097">
        <v>57</v>
      </c>
      <c r="B129" s="3772"/>
      <c r="C129" s="3097" t="s">
        <v>2761</v>
      </c>
      <c r="D129" s="3071" t="s">
        <v>2762</v>
      </c>
      <c r="E129" s="3097">
        <v>0.1</v>
      </c>
      <c r="F129" s="3097">
        <v>15</v>
      </c>
    </row>
    <row r="130" spans="1:6" ht="24">
      <c r="A130" s="3097">
        <v>58</v>
      </c>
      <c r="B130" s="3772" t="s">
        <v>2763</v>
      </c>
      <c r="C130" s="3097" t="s">
        <v>2764</v>
      </c>
      <c r="D130" s="3071" t="s">
        <v>2765</v>
      </c>
      <c r="E130" s="3097">
        <v>0.1</v>
      </c>
      <c r="F130" s="3097">
        <v>15</v>
      </c>
    </row>
    <row r="131" spans="1:6" ht="13.5">
      <c r="A131" s="3097">
        <v>59</v>
      </c>
      <c r="B131" s="3772"/>
      <c r="C131" s="3097" t="s">
        <v>2766</v>
      </c>
      <c r="D131" s="3071" t="s">
        <v>2767</v>
      </c>
      <c r="E131" s="3097">
        <v>0.1</v>
      </c>
      <c r="F131" s="3097">
        <v>15</v>
      </c>
    </row>
    <row r="132" spans="1:6" ht="13.5">
      <c r="A132" s="3097">
        <v>60</v>
      </c>
      <c r="B132" s="3767" t="s">
        <v>2768</v>
      </c>
      <c r="C132" s="3097" t="s">
        <v>2769</v>
      </c>
      <c r="D132" s="3071" t="s">
        <v>2770</v>
      </c>
      <c r="E132" s="3097">
        <v>0.1</v>
      </c>
      <c r="F132" s="3097">
        <v>15</v>
      </c>
    </row>
    <row r="133" spans="1:6" ht="13.5">
      <c r="A133" s="3097">
        <v>61</v>
      </c>
      <c r="B133" s="3771"/>
      <c r="C133" s="3097" t="s">
        <v>2771</v>
      </c>
      <c r="D133" s="3071" t="s">
        <v>2772</v>
      </c>
      <c r="E133" s="3097">
        <v>0.1</v>
      </c>
      <c r="F133" s="3097">
        <v>15</v>
      </c>
    </row>
    <row r="134" spans="1:6" ht="24">
      <c r="A134" s="3097">
        <v>62</v>
      </c>
      <c r="B134" s="3097" t="s">
        <v>2773</v>
      </c>
      <c r="C134" s="3097" t="s">
        <v>2774</v>
      </c>
      <c r="D134" s="3071" t="s">
        <v>2775</v>
      </c>
      <c r="E134" s="3097">
        <v>0.1</v>
      </c>
      <c r="F134" s="3097">
        <v>15</v>
      </c>
    </row>
    <row r="135" spans="1:6" ht="13.5">
      <c r="A135" s="3097">
        <v>63</v>
      </c>
      <c r="B135" s="3772" t="s">
        <v>2776</v>
      </c>
      <c r="C135" s="3097" t="s">
        <v>2777</v>
      </c>
      <c r="D135" s="3071" t="s">
        <v>2778</v>
      </c>
      <c r="E135" s="3097">
        <v>0.1</v>
      </c>
      <c r="F135" s="3097">
        <v>15</v>
      </c>
    </row>
    <row r="136" spans="1:6" ht="13.5">
      <c r="A136" s="3097">
        <v>64</v>
      </c>
      <c r="B136" s="3772"/>
      <c r="C136" s="3097" t="s">
        <v>2779</v>
      </c>
      <c r="D136" s="3071" t="s">
        <v>2780</v>
      </c>
      <c r="E136" s="3097">
        <v>0.1</v>
      </c>
      <c r="F136" s="3097">
        <v>15</v>
      </c>
    </row>
    <row r="137" spans="1:6" ht="13.5">
      <c r="A137" s="3097">
        <v>65</v>
      </c>
      <c r="B137" s="3097" t="s">
        <v>2781</v>
      </c>
      <c r="C137" s="3097" t="s">
        <v>2782</v>
      </c>
      <c r="D137" s="3071" t="s">
        <v>2783</v>
      </c>
      <c r="E137" s="3097">
        <v>0.1</v>
      </c>
      <c r="F137" s="3097">
        <v>15</v>
      </c>
    </row>
    <row r="138" spans="1:6" ht="13.5">
      <c r="A138" s="3097"/>
      <c r="B138" s="3097"/>
      <c r="C138" s="3097"/>
      <c r="D138" s="3097"/>
      <c r="E138" s="3097" t="s">
        <v>2784</v>
      </c>
      <c r="F138" s="3097" t="s">
        <v>2784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2785</v>
      </c>
      <c r="B1" s="3106"/>
      <c r="C1" s="3106"/>
      <c r="D1" s="3106"/>
      <c r="E1" s="3106"/>
      <c r="F1" s="3106"/>
      <c r="G1" s="3106"/>
      <c r="H1" s="3106"/>
      <c r="I1" s="3106"/>
      <c r="J1" s="3106"/>
      <c r="K1" s="3106"/>
      <c r="L1" s="3106"/>
      <c r="M1" s="3106"/>
      <c r="N1" s="749"/>
    </row>
    <row r="2" spans="1:20">
      <c r="A2" s="3107" t="s">
        <v>2786</v>
      </c>
      <c r="B2" s="3108" t="s">
        <v>2582</v>
      </c>
      <c r="C2" s="3108" t="s">
        <v>2583</v>
      </c>
      <c r="D2" s="3108" t="s">
        <v>2584</v>
      </c>
      <c r="E2" s="3108" t="s">
        <v>2585</v>
      </c>
      <c r="F2" s="3108" t="s">
        <v>2586</v>
      </c>
      <c r="G2" s="3108" t="s">
        <v>2587</v>
      </c>
      <c r="H2" s="3109" t="s">
        <v>2588</v>
      </c>
      <c r="I2" s="3109" t="s">
        <v>2589</v>
      </c>
      <c r="J2" s="3110" t="s">
        <v>2590</v>
      </c>
      <c r="K2" s="3110" t="s">
        <v>2591</v>
      </c>
      <c r="L2" s="3110" t="s">
        <v>2592</v>
      </c>
      <c r="M2" s="3111" t="s">
        <v>2593</v>
      </c>
      <c r="Q2" s="3121" t="s">
        <v>2791</v>
      </c>
      <c r="R2" s="3121" t="s">
        <v>2792</v>
      </c>
      <c r="S2" s="3121" t="s">
        <v>2793</v>
      </c>
      <c r="T2" s="3121" t="s">
        <v>2794</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2787</v>
      </c>
      <c r="B93" s="3106"/>
      <c r="C93" s="3106"/>
      <c r="D93" s="3106"/>
      <c r="E93" s="3106"/>
      <c r="F93" s="3106"/>
      <c r="G93" s="3106"/>
      <c r="H93" s="3106"/>
      <c r="I93" s="3106"/>
      <c r="J93" s="3106"/>
      <c r="K93" s="3106"/>
      <c r="L93" s="3106"/>
      <c r="M93" s="3106"/>
    </row>
    <row r="94" spans="1:20">
      <c r="A94" s="3107" t="s">
        <v>2786</v>
      </c>
      <c r="B94" s="3108" t="s">
        <v>2582</v>
      </c>
      <c r="C94" s="3108" t="s">
        <v>2583</v>
      </c>
      <c r="D94" s="3108" t="s">
        <v>2584</v>
      </c>
      <c r="E94" s="3108" t="s">
        <v>2585</v>
      </c>
      <c r="F94" s="3108" t="s">
        <v>2586</v>
      </c>
      <c r="G94" s="3108" t="s">
        <v>2587</v>
      </c>
      <c r="H94" s="3109" t="s">
        <v>2588</v>
      </c>
      <c r="I94" s="3109" t="s">
        <v>2589</v>
      </c>
      <c r="J94" s="3110" t="s">
        <v>2590</v>
      </c>
      <c r="K94" s="3110" t="s">
        <v>2591</v>
      </c>
      <c r="L94" s="3110" t="s">
        <v>2592</v>
      </c>
      <c r="M94" s="3111" t="s">
        <v>2593</v>
      </c>
      <c r="N94" s="750">
        <f>SUMPRODUCT((A95:A184=ROUNDDOWN(基准地价修正!G3,1))*(B94:M94=基准地价修正!G2)*(B95:M184))</f>
        <v>1.1214999999999999</v>
      </c>
      <c r="Q94" s="3121" t="s">
        <v>2791</v>
      </c>
      <c r="R94" s="3121" t="s">
        <v>2792</v>
      </c>
      <c r="S94" s="3121" t="s">
        <v>2793</v>
      </c>
      <c r="T94" s="3121" t="s">
        <v>2794</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2788</v>
      </c>
      <c r="B185" s="3106"/>
      <c r="C185" s="3106"/>
      <c r="D185" s="3106"/>
      <c r="E185" s="3106"/>
      <c r="F185" s="3106"/>
      <c r="G185" s="3106"/>
      <c r="H185" s="3106"/>
      <c r="I185" s="3106"/>
      <c r="J185" s="3106"/>
      <c r="K185" s="3106"/>
      <c r="L185" s="3106"/>
      <c r="M185" s="3106"/>
    </row>
    <row r="186" spans="1:20">
      <c r="A186" s="3107" t="s">
        <v>2786</v>
      </c>
      <c r="B186" s="3108" t="s">
        <v>2582</v>
      </c>
      <c r="C186" s="3108" t="s">
        <v>2583</v>
      </c>
      <c r="D186" s="3108" t="s">
        <v>2584</v>
      </c>
      <c r="E186" s="3108" t="s">
        <v>2585</v>
      </c>
      <c r="F186" s="3108" t="s">
        <v>2586</v>
      </c>
      <c r="G186" s="3108" t="s">
        <v>2587</v>
      </c>
      <c r="H186" s="3109" t="s">
        <v>2588</v>
      </c>
      <c r="I186" s="3109" t="s">
        <v>2589</v>
      </c>
      <c r="J186" s="3110" t="s">
        <v>2590</v>
      </c>
      <c r="K186" s="3110" t="s">
        <v>2591</v>
      </c>
      <c r="L186" s="3110" t="s">
        <v>2592</v>
      </c>
      <c r="M186" s="3111" t="s">
        <v>2593</v>
      </c>
      <c r="Q186" s="3121" t="s">
        <v>2791</v>
      </c>
      <c r="R186" s="3121" t="s">
        <v>2792</v>
      </c>
      <c r="S186" s="3121" t="s">
        <v>2793</v>
      </c>
      <c r="T186" s="3121" t="s">
        <v>2794</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2789</v>
      </c>
      <c r="B277" s="3106"/>
      <c r="C277" s="3106"/>
      <c r="D277" s="3106"/>
      <c r="E277" s="3106"/>
      <c r="F277" s="3106"/>
      <c r="G277" s="3106"/>
      <c r="H277" s="3106"/>
      <c r="I277" s="3106"/>
      <c r="J277" s="3106"/>
      <c r="K277" s="3106"/>
      <c r="L277" s="3106"/>
      <c r="M277" s="3106"/>
    </row>
    <row r="278" spans="1:21">
      <c r="A278" s="3107" t="s">
        <v>2786</v>
      </c>
      <c r="B278" s="3108" t="s">
        <v>2582</v>
      </c>
      <c r="C278" s="3108" t="s">
        <v>2583</v>
      </c>
      <c r="D278" s="3108" t="s">
        <v>2584</v>
      </c>
      <c r="E278" s="3108" t="s">
        <v>2585</v>
      </c>
      <c r="F278" s="3108" t="s">
        <v>2586</v>
      </c>
      <c r="G278" s="3108" t="s">
        <v>2587</v>
      </c>
      <c r="H278" s="3109" t="s">
        <v>2588</v>
      </c>
      <c r="I278" s="3109" t="s">
        <v>2589</v>
      </c>
      <c r="J278" s="3110" t="s">
        <v>2590</v>
      </c>
      <c r="K278" s="3110" t="s">
        <v>2591</v>
      </c>
      <c r="L278" s="3110" t="s">
        <v>2592</v>
      </c>
      <c r="M278" s="3111" t="s">
        <v>2593</v>
      </c>
      <c r="Q278" s="3121" t="s">
        <v>2791</v>
      </c>
      <c r="R278" s="3121" t="s">
        <v>2792</v>
      </c>
      <c r="S278" s="3121" t="s">
        <v>2795</v>
      </c>
      <c r="T278" s="3121" t="s">
        <v>2796</v>
      </c>
      <c r="U278" s="3121" t="s">
        <v>2794</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2790</v>
      </c>
      <c r="B369" s="3119"/>
      <c r="C369" s="3119"/>
      <c r="D369" s="3119"/>
      <c r="E369" s="3119"/>
      <c r="F369" s="3119"/>
      <c r="G369" s="3119"/>
      <c r="H369" s="3119"/>
      <c r="I369" s="3119"/>
      <c r="J369" s="3119"/>
      <c r="K369" s="3119"/>
      <c r="L369" s="3119"/>
      <c r="M369" s="3119"/>
    </row>
    <row r="370" spans="1:20">
      <c r="A370" s="3107" t="s">
        <v>2786</v>
      </c>
      <c r="B370" s="3108" t="s">
        <v>2582</v>
      </c>
      <c r="C370" s="3108" t="s">
        <v>2583</v>
      </c>
      <c r="D370" s="3108" t="s">
        <v>2584</v>
      </c>
      <c r="E370" s="3108" t="s">
        <v>2585</v>
      </c>
      <c r="F370" s="3108" t="s">
        <v>2586</v>
      </c>
      <c r="G370" s="3108" t="s">
        <v>2587</v>
      </c>
      <c r="H370" s="3109" t="s">
        <v>2588</v>
      </c>
      <c r="I370" s="3109" t="s">
        <v>2589</v>
      </c>
      <c r="J370" s="3110" t="s">
        <v>2590</v>
      </c>
      <c r="K370" s="3110" t="s">
        <v>2591</v>
      </c>
      <c r="L370" s="3110" t="s">
        <v>2592</v>
      </c>
      <c r="M370" s="3111" t="s">
        <v>2593</v>
      </c>
      <c r="N370" s="750">
        <f>SUMPRODUCT((A371:A460=ROUNDDOWN(基准地价修正!G3,1))*(B370:M370=基准地价修正!G2)*(B371:M460))</f>
        <v>1.0668</v>
      </c>
      <c r="Q370" s="3121" t="s">
        <v>2791</v>
      </c>
      <c r="R370" s="3121" t="s">
        <v>2792</v>
      </c>
      <c r="S370" s="3121" t="s">
        <v>2793</v>
      </c>
      <c r="T370" s="3121" t="s">
        <v>2794</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113520</v>
      </c>
      <c r="E5" s="1491"/>
    </row>
    <row r="6" spans="1:5" ht="15.75">
      <c r="A6" s="1491"/>
      <c r="B6" s="3456"/>
      <c r="C6" s="1494" t="s">
        <v>911</v>
      </c>
      <c r="D6" s="850" t="str">
        <f ca="1">NUMBERSTRING(INT(D5*10000),2)&amp;"元整"</f>
        <v>壹拾壹亿叁仟伍佰贰拾万元整</v>
      </c>
      <c r="E6" s="1491"/>
    </row>
    <row r="7" spans="1:5" ht="15.75">
      <c r="A7" s="1491"/>
      <c r="B7" s="3461"/>
      <c r="C7" s="1495" t="s">
        <v>912</v>
      </c>
      <c r="D7" s="851">
        <f ca="1">结果表!H102</f>
        <v>10498</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113520</v>
      </c>
      <c r="E13" s="1491"/>
    </row>
    <row r="14" spans="1:5" ht="15.75">
      <c r="A14" s="1491"/>
      <c r="B14" s="3456"/>
      <c r="C14" s="1494" t="s">
        <v>911</v>
      </c>
      <c r="D14" s="850" t="str">
        <f ca="1">NUMBERSTRING(INT(D13*10000),2)&amp;"元整"</f>
        <v>壹拾壹亿叁仟伍佰贰拾万元整</v>
      </c>
      <c r="E14" s="1491"/>
    </row>
    <row r="15" spans="1:5" ht="15">
      <c r="A15" s="1491"/>
      <c r="B15" s="3461"/>
      <c r="C15" s="1495" t="s">
        <v>921</v>
      </c>
      <c r="D15" s="859">
        <f ca="1">结果表!H108</f>
        <v>10498</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43157</v>
      </c>
      <c r="E19" s="1491"/>
    </row>
    <row r="20" spans="1:5" ht="15.75">
      <c r="A20" s="1491"/>
      <c r="B20" s="3456"/>
      <c r="C20" s="1494" t="s">
        <v>923</v>
      </c>
      <c r="D20" s="850" t="str">
        <f ca="1">NUMBERSTRING(INT(D19*10000),2)&amp;"元整"</f>
        <v>肆亿叁仟壹佰伍拾柒万元整</v>
      </c>
      <c r="E20" s="1491"/>
    </row>
    <row r="21" spans="1:5" ht="15.75" thickBot="1">
      <c r="A21" s="1491"/>
      <c r="B21" s="3457"/>
      <c r="C21" s="1501" t="s">
        <v>921</v>
      </c>
      <c r="D21" s="860">
        <f ca="1">结果表!H112</f>
        <v>3991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86000</v>
      </c>
      <c r="C2" s="2" t="s">
        <v>106</v>
      </c>
      <c r="D2" s="199"/>
      <c r="E2" s="199"/>
      <c r="F2" s="199"/>
      <c r="G2" s="199"/>
    </row>
    <row r="3" spans="1:7" s="200" customFormat="1" ht="18" customHeight="1" thickBot="1">
      <c r="A3" s="203" t="s">
        <v>58</v>
      </c>
      <c r="B3" s="204">
        <f ca="1">ROUND(B2*10000/'数据-汇总表'!E3,0)</f>
        <v>7953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2055</v>
      </c>
      <c r="D10" s="845">
        <f>'数据-汇总表'!E6</f>
        <v>108132.23000000003</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2163</v>
      </c>
      <c r="D19" s="849">
        <f>'数据-汇总表'!E3</f>
        <v>108132.23000000003</v>
      </c>
      <c r="E19" s="211">
        <f>'数据-取费表'!B31</f>
        <v>200</v>
      </c>
      <c r="F19" s="231"/>
      <c r="G19" s="1" t="s">
        <v>436</v>
      </c>
    </row>
    <row r="20" spans="1:7" s="214" customFormat="1" ht="13.5" customHeight="1">
      <c r="A20" s="777" t="s">
        <v>419</v>
      </c>
      <c r="B20" s="210" t="s">
        <v>77</v>
      </c>
      <c r="C20" s="232">
        <f>ROUND((C5+C19)*F20,0)</f>
        <v>455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2035</v>
      </c>
      <c r="D22" s="235">
        <f ca="1">C26</f>
        <v>8.9999999999999998E-4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1824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191</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2323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2323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54229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48660</v>
      </c>
      <c r="D34" s="217"/>
      <c r="E34" s="220"/>
      <c r="F34" s="257">
        <f>IF('数据-取费表'!B24=0,1,'数据-取费表'!N16)</f>
        <v>1</v>
      </c>
      <c r="G34" s="219" t="s">
        <v>89</v>
      </c>
    </row>
    <row r="35" spans="1:7" ht="13.5" customHeight="1">
      <c r="A35" s="780" t="s">
        <v>351</v>
      </c>
      <c r="B35" s="215" t="s">
        <v>33</v>
      </c>
      <c r="C35" s="220">
        <f>ROUND(C34*F35,0)</f>
        <v>2433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2163</v>
      </c>
      <c r="D37" s="217">
        <f>'数据-汇总表'!E3</f>
        <v>108132.23000000003</v>
      </c>
      <c r="E37" s="249">
        <f>'数据-取费表'!B35</f>
        <v>200</v>
      </c>
      <c r="F37" s="259"/>
      <c r="G37" s="261" t="s">
        <v>92</v>
      </c>
    </row>
    <row r="38" spans="1:7" ht="13.5" customHeight="1">
      <c r="A38" s="780" t="s">
        <v>354</v>
      </c>
      <c r="B38" s="215" t="s">
        <v>36</v>
      </c>
      <c r="C38" s="220">
        <f>ROUND(C34*F38,0)</f>
        <v>973</v>
      </c>
      <c r="D38" s="220"/>
      <c r="E38" s="220"/>
      <c r="F38" s="259">
        <f>'数据-取费表'!B36</f>
        <v>0.02</v>
      </c>
      <c r="G38" s="219" t="s">
        <v>90</v>
      </c>
    </row>
    <row r="39" spans="1:7" s="214" customFormat="1" ht="13.5" customHeight="1">
      <c r="A39" s="777" t="s">
        <v>338</v>
      </c>
      <c r="B39" s="210" t="s">
        <v>77</v>
      </c>
      <c r="C39" s="232">
        <f>ROUND(C33*F20,0)</f>
        <v>1085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2396</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2349</v>
      </c>
      <c r="D42" s="238"/>
      <c r="E42" s="238"/>
      <c r="F42" s="239"/>
      <c r="G42" s="3637" t="s">
        <v>94</v>
      </c>
    </row>
    <row r="43" spans="1:7" ht="13.5" customHeight="1">
      <c r="A43" s="780" t="s">
        <v>347</v>
      </c>
      <c r="B43" s="215" t="s">
        <v>426</v>
      </c>
      <c r="C43" s="238">
        <f ca="1">ROUND(IF('数据-取费表'!B22&lt;=1,C39*F22*'数据-取费表'!B21/2,C39*(POWER((1+F22),'数据-取费表'!B21/2)-1)),0)</f>
        <v>47</v>
      </c>
      <c r="D43" s="238"/>
      <c r="E43" s="238"/>
      <c r="F43" s="239"/>
      <c r="G43" s="3638"/>
    </row>
    <row r="44" spans="1:7" ht="13.5" customHeight="1">
      <c r="A44" s="780" t="s">
        <v>348</v>
      </c>
      <c r="B44" s="215" t="s">
        <v>428</v>
      </c>
      <c r="C44" s="238">
        <f ca="1">ROUND(IF('数据-取费表'!B22&lt;=1,C40*F22*'数据-取费表'!B21/2,C40*(POWER((1+F22),'数据-取费表'!B21/2)-1)),4)</f>
        <v>8.9999999999999998E-4</v>
      </c>
      <c r="D44" s="238"/>
      <c r="E44" s="238"/>
      <c r="F44" s="239"/>
      <c r="G44" s="3639"/>
    </row>
    <row r="45" spans="1:7" s="214" customFormat="1" ht="13.5" customHeight="1">
      <c r="A45" s="777" t="s">
        <v>341</v>
      </c>
      <c r="B45" s="244" t="s">
        <v>85</v>
      </c>
      <c r="C45" s="245">
        <f>C46</f>
        <v>5531</v>
      </c>
      <c r="D45" s="235">
        <f>C47</f>
        <v>2E-3</v>
      </c>
      <c r="E45" s="236" t="s">
        <v>102</v>
      </c>
      <c r="F45" s="246"/>
      <c r="G45" s="247" t="s">
        <v>434</v>
      </c>
    </row>
    <row r="46" spans="1:7" s="214" customFormat="1" ht="13.5" customHeight="1">
      <c r="A46" s="780" t="s">
        <v>349</v>
      </c>
      <c r="B46" s="248" t="s">
        <v>427</v>
      </c>
      <c r="C46" s="249">
        <f>ROUND((C33+C39)*F27,0)</f>
        <v>5531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68460</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56137</v>
      </c>
      <c r="D51" s="232"/>
      <c r="E51" s="232"/>
      <c r="F51" s="264"/>
      <c r="G51" s="234" t="s">
        <v>37</v>
      </c>
    </row>
    <row r="52" spans="1:7" s="208" customFormat="1" ht="16.5" thickBot="1">
      <c r="A52" s="265" t="s">
        <v>38</v>
      </c>
      <c r="B52" s="266"/>
      <c r="C52" s="267">
        <f ca="1">C31+C51</f>
        <v>86000</v>
      </c>
      <c r="D52" s="266"/>
      <c r="E52" s="266"/>
      <c r="F52" s="266"/>
      <c r="G52" s="268"/>
    </row>
    <row r="55" spans="1:7" ht="15">
      <c r="B55" s="270" t="s">
        <v>39</v>
      </c>
      <c r="C55" s="271"/>
    </row>
    <row r="56" spans="1:7">
      <c r="B56" s="273" t="s">
        <v>40</v>
      </c>
      <c r="C56" s="274">
        <f ca="1">ROUND(C51/C52,3)</f>
        <v>0.65300000000000002</v>
      </c>
    </row>
    <row r="57" spans="1:7">
      <c r="B57" s="273" t="s">
        <v>41</v>
      </c>
      <c r="C57" s="275">
        <f ca="1">1-C56</f>
        <v>0.34699999999999998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775" t="s">
        <v>2826</v>
      </c>
      <c r="B1" s="3775"/>
      <c r="C1" s="3775"/>
      <c r="D1" s="3775"/>
      <c r="E1" s="3775"/>
      <c r="F1" s="3775"/>
      <c r="G1" s="3776"/>
      <c r="I1" s="3202" t="s">
        <v>2827</v>
      </c>
      <c r="J1" s="3203" t="s">
        <v>2828</v>
      </c>
      <c r="K1" s="3203" t="s">
        <v>2829</v>
      </c>
      <c r="L1" s="3203" t="s">
        <v>2830</v>
      </c>
      <c r="M1" s="3203" t="s">
        <v>2831</v>
      </c>
      <c r="N1" s="3203" t="s">
        <v>2832</v>
      </c>
      <c r="O1" s="3203" t="s">
        <v>2833</v>
      </c>
      <c r="P1" s="3203" t="s">
        <v>2834</v>
      </c>
      <c r="Q1" s="3203" t="s">
        <v>2835</v>
      </c>
      <c r="R1" s="3203" t="s">
        <v>2836</v>
      </c>
      <c r="S1" s="3203" t="s">
        <v>2837</v>
      </c>
      <c r="T1" s="3204" t="s">
        <v>2838</v>
      </c>
    </row>
    <row r="2" spans="1:20" ht="12" thickBot="1">
      <c r="A2" s="3206" t="s">
        <v>2839</v>
      </c>
      <c r="B2" s="3206"/>
      <c r="C2" s="3206"/>
      <c r="D2" s="3206"/>
      <c r="E2" s="3206"/>
      <c r="F2" s="3206"/>
      <c r="G2" s="3207" t="s">
        <v>2840</v>
      </c>
      <c r="I2" s="3208" t="s">
        <v>2841</v>
      </c>
      <c r="J2" s="3208" t="s">
        <v>2842</v>
      </c>
      <c r="K2" s="3208" t="s">
        <v>2843</v>
      </c>
      <c r="L2" s="3208" t="s">
        <v>2844</v>
      </c>
      <c r="M2" s="3208" t="s">
        <v>2845</v>
      </c>
      <c r="N2" s="3208" t="s">
        <v>2846</v>
      </c>
      <c r="O2" s="3208" t="s">
        <v>2847</v>
      </c>
      <c r="P2" s="3208" t="s">
        <v>2848</v>
      </c>
      <c r="Q2" s="3208" t="s">
        <v>2849</v>
      </c>
      <c r="R2" s="3208" t="s">
        <v>2850</v>
      </c>
      <c r="S2" s="3208" t="s">
        <v>2851</v>
      </c>
      <c r="T2" s="3208" t="s">
        <v>2852</v>
      </c>
    </row>
    <row r="3" spans="1:20" s="3214" customFormat="1">
      <c r="A3" s="3773" t="s">
        <v>2853</v>
      </c>
      <c r="B3" s="3209"/>
      <c r="C3" s="3210" t="s">
        <v>2798</v>
      </c>
      <c r="D3" s="3210" t="s">
        <v>2854</v>
      </c>
      <c r="E3" s="3210" t="s">
        <v>2800</v>
      </c>
      <c r="F3" s="3210" t="s">
        <v>2855</v>
      </c>
      <c r="G3" s="3210" t="s">
        <v>2618</v>
      </c>
      <c r="H3" s="3211"/>
      <c r="I3" s="3212" t="s">
        <v>2856</v>
      </c>
      <c r="J3" s="3213" t="s">
        <v>128</v>
      </c>
      <c r="K3" s="3213" t="s">
        <v>129</v>
      </c>
      <c r="L3" s="3212" t="s">
        <v>130</v>
      </c>
      <c r="M3" s="3212" t="s">
        <v>131</v>
      </c>
      <c r="N3" s="3212" t="s">
        <v>132</v>
      </c>
      <c r="O3" s="3212" t="s">
        <v>133</v>
      </c>
      <c r="P3" s="3212" t="s">
        <v>134</v>
      </c>
      <c r="Q3" s="3212" t="s">
        <v>135</v>
      </c>
      <c r="R3" s="3212" t="s">
        <v>136</v>
      </c>
      <c r="S3" s="3212" t="s">
        <v>2857</v>
      </c>
      <c r="T3" s="3212" t="s">
        <v>2858</v>
      </c>
    </row>
    <row r="4" spans="1:20" s="3214" customFormat="1" ht="12" thickBot="1">
      <c r="A4" s="3774"/>
      <c r="B4" s="3215" t="s">
        <v>2859</v>
      </c>
      <c r="C4" s="3215" t="s">
        <v>2860</v>
      </c>
      <c r="D4" s="3215" t="s">
        <v>2860</v>
      </c>
      <c r="E4" s="3215" t="s">
        <v>2860</v>
      </c>
      <c r="F4" s="3216" t="s">
        <v>2860</v>
      </c>
      <c r="G4" s="3216" t="s">
        <v>2860</v>
      </c>
      <c r="H4" s="3211"/>
      <c r="I4" s="3213" t="s">
        <v>137</v>
      </c>
      <c r="J4" s="3213" t="s">
        <v>111</v>
      </c>
      <c r="K4" s="3213" t="s">
        <v>138</v>
      </c>
      <c r="L4" s="3212" t="s">
        <v>139</v>
      </c>
      <c r="M4" s="3212" t="s">
        <v>140</v>
      </c>
      <c r="N4" s="3212" t="s">
        <v>141</v>
      </c>
      <c r="O4" s="3212" t="s">
        <v>142</v>
      </c>
      <c r="P4" s="3212" t="s">
        <v>143</v>
      </c>
      <c r="Q4" s="3212" t="s">
        <v>2861</v>
      </c>
      <c r="R4" s="3212" t="s">
        <v>2862</v>
      </c>
      <c r="S4" s="3212" t="s">
        <v>2863</v>
      </c>
      <c r="T4" s="3212" t="s">
        <v>2864</v>
      </c>
    </row>
    <row r="5" spans="1:20">
      <c r="A5" s="3217" t="s">
        <v>2827</v>
      </c>
      <c r="B5" s="3208" t="s">
        <v>2841</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2865</v>
      </c>
      <c r="R5" s="3212" t="s">
        <v>2866</v>
      </c>
      <c r="S5" s="3212" t="s">
        <v>153</v>
      </c>
      <c r="T5" s="3212" t="s">
        <v>2867</v>
      </c>
    </row>
    <row r="6" spans="1:20" ht="12" thickBot="1">
      <c r="A6" s="3212" t="s">
        <v>144</v>
      </c>
      <c r="B6" s="3212" t="s">
        <v>2856</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2868</v>
      </c>
      <c r="Q6" s="3212" t="s">
        <v>2869</v>
      </c>
      <c r="R6" s="3212" t="s">
        <v>161</v>
      </c>
      <c r="S6" s="3212" t="s">
        <v>2870</v>
      </c>
      <c r="T6" s="3212" t="s">
        <v>2871</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2872</v>
      </c>
      <c r="Q7" s="3212" t="s">
        <v>2873</v>
      </c>
      <c r="R7" s="3212" t="s">
        <v>2874</v>
      </c>
      <c r="S7" s="3212" t="s">
        <v>2875</v>
      </c>
      <c r="T7" s="3212" t="s">
        <v>2876</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2877</v>
      </c>
      <c r="Q8" s="3212" t="s">
        <v>174</v>
      </c>
      <c r="R8" s="3212" t="s">
        <v>2878</v>
      </c>
      <c r="S8" s="3212" t="s">
        <v>2879</v>
      </c>
      <c r="T8" s="3219" t="s">
        <v>2880</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2881</v>
      </c>
      <c r="Q9" s="3212" t="s">
        <v>182</v>
      </c>
      <c r="R9" s="3212" t="s">
        <v>183</v>
      </c>
      <c r="S9" s="3212" t="s">
        <v>200</v>
      </c>
    </row>
    <row r="10" spans="1:20">
      <c r="A10" s="3217" t="s">
        <v>184</v>
      </c>
      <c r="B10" s="3208" t="s">
        <v>2842</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2882</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2883</v>
      </c>
      <c r="P11" s="3212" t="s">
        <v>191</v>
      </c>
      <c r="Q11" s="3212" t="s">
        <v>199</v>
      </c>
      <c r="R11" s="3212" t="s">
        <v>2884</v>
      </c>
      <c r="S11" s="3212" t="s">
        <v>2885</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2886</v>
      </c>
      <c r="P12" s="3212" t="s">
        <v>2887</v>
      </c>
      <c r="Q12" s="3212" t="s">
        <v>2888</v>
      </c>
      <c r="R12" s="3212" t="s">
        <v>2889</v>
      </c>
      <c r="S12" s="3212" t="s">
        <v>2890</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2891</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2892</v>
      </c>
      <c r="K14" s="3213" t="s">
        <v>215</v>
      </c>
      <c r="L14" s="3212" t="s">
        <v>216</v>
      </c>
      <c r="M14" s="3212" t="s">
        <v>217</v>
      </c>
      <c r="N14" s="3212" t="s">
        <v>218</v>
      </c>
      <c r="O14" s="3212" t="s">
        <v>240</v>
      </c>
      <c r="P14" s="3212" t="s">
        <v>213</v>
      </c>
      <c r="Q14" s="3212" t="s">
        <v>2893</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2894</v>
      </c>
      <c r="P15" s="3212" t="s">
        <v>2895</v>
      </c>
      <c r="Q15" s="3212" t="s">
        <v>242</v>
      </c>
      <c r="R15" s="3212" t="s">
        <v>2896</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2897</v>
      </c>
      <c r="P16" s="3212" t="s">
        <v>227</v>
      </c>
      <c r="Q16" s="3212" t="s">
        <v>250</v>
      </c>
      <c r="R16" s="3212" t="s">
        <v>207</v>
      </c>
      <c r="S16" s="3212" t="s">
        <v>2898</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2899</v>
      </c>
      <c r="P17" s="3212" t="s">
        <v>2900</v>
      </c>
      <c r="Q17" s="3212" t="s">
        <v>256</v>
      </c>
      <c r="R17" s="3212" t="s">
        <v>2901</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2902</v>
      </c>
      <c r="P18" s="3212" t="s">
        <v>241</v>
      </c>
      <c r="Q18" s="3212" t="s">
        <v>2903</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2904</v>
      </c>
      <c r="P19" s="3212" t="s">
        <v>249</v>
      </c>
      <c r="Q19" s="3212" t="s">
        <v>2905</v>
      </c>
      <c r="R19" s="3212" t="s">
        <v>265</v>
      </c>
      <c r="S19" s="3212" t="s">
        <v>2906</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2907</v>
      </c>
      <c r="P20" s="3212" t="s">
        <v>2908</v>
      </c>
      <c r="Q20" s="3212" t="s">
        <v>290</v>
      </c>
      <c r="R20" s="3212" t="s">
        <v>2909</v>
      </c>
      <c r="S20" s="3212" t="s">
        <v>277</v>
      </c>
    </row>
    <row r="21" spans="1:19" ht="14.25" customHeight="1" thickBot="1">
      <c r="A21" s="3212" t="s">
        <v>184</v>
      </c>
      <c r="B21" s="3213" t="s">
        <v>208</v>
      </c>
      <c r="C21" s="3212">
        <v>32370</v>
      </c>
      <c r="D21" s="3212">
        <v>26730</v>
      </c>
      <c r="E21" s="3212">
        <v>26640</v>
      </c>
      <c r="F21" s="3212"/>
      <c r="G21" s="3212">
        <v>19440</v>
      </c>
      <c r="J21" s="3219" t="s">
        <v>2910</v>
      </c>
      <c r="K21" s="3213" t="s">
        <v>267</v>
      </c>
      <c r="L21" s="3212" t="s">
        <v>268</v>
      </c>
      <c r="M21" s="3212" t="s">
        <v>269</v>
      </c>
      <c r="N21" s="3212" t="s">
        <v>270</v>
      </c>
      <c r="O21" s="3212" t="s">
        <v>264</v>
      </c>
      <c r="P21" s="3212" t="s">
        <v>283</v>
      </c>
      <c r="Q21" s="3212" t="s">
        <v>293</v>
      </c>
      <c r="R21" s="3212" t="s">
        <v>2911</v>
      </c>
      <c r="S21" s="3219" t="s">
        <v>2912</v>
      </c>
    </row>
    <row r="22" spans="1:19" ht="14.25" customHeight="1">
      <c r="A22" s="3212" t="s">
        <v>184</v>
      </c>
      <c r="B22" s="3213" t="s">
        <v>2892</v>
      </c>
      <c r="C22" s="3212">
        <v>29830</v>
      </c>
      <c r="D22" s="3212">
        <v>27600</v>
      </c>
      <c r="E22" s="3212">
        <v>28150</v>
      </c>
      <c r="F22" s="3212"/>
      <c r="G22" s="3212">
        <v>20080</v>
      </c>
      <c r="K22" s="3213" t="s">
        <v>2913</v>
      </c>
      <c r="L22" s="3212" t="s">
        <v>272</v>
      </c>
      <c r="M22" s="3212" t="s">
        <v>273</v>
      </c>
      <c r="N22" s="3212" t="s">
        <v>274</v>
      </c>
      <c r="O22" s="3212" t="s">
        <v>2914</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2915</v>
      </c>
      <c r="L23" s="3212" t="s">
        <v>278</v>
      </c>
      <c r="M23" s="3212" t="s">
        <v>279</v>
      </c>
      <c r="N23" s="3212" t="s">
        <v>2916</v>
      </c>
      <c r="O23" s="3212" t="s">
        <v>2917</v>
      </c>
      <c r="P23" s="3212" t="s">
        <v>289</v>
      </c>
      <c r="Q23" s="3212" t="s">
        <v>298</v>
      </c>
      <c r="R23" s="3212" t="s">
        <v>2918</v>
      </c>
    </row>
    <row r="24" spans="1:19" ht="14.25" customHeight="1">
      <c r="A24" s="3212" t="s">
        <v>184</v>
      </c>
      <c r="B24" s="3213" t="s">
        <v>230</v>
      </c>
      <c r="C24" s="3212">
        <v>27930</v>
      </c>
      <c r="D24" s="3212">
        <v>32260</v>
      </c>
      <c r="E24" s="3212">
        <v>32120</v>
      </c>
      <c r="F24" s="3212"/>
      <c r="G24" s="3212">
        <v>23470</v>
      </c>
      <c r="K24" s="3213" t="s">
        <v>2919</v>
      </c>
      <c r="L24" s="3212" t="s">
        <v>281</v>
      </c>
      <c r="M24" s="3212" t="s">
        <v>282</v>
      </c>
      <c r="N24" s="3212" t="s">
        <v>2920</v>
      </c>
      <c r="O24" s="3212" t="s">
        <v>285</v>
      </c>
      <c r="P24" s="3212" t="s">
        <v>2921</v>
      </c>
      <c r="Q24" s="3221" t="s">
        <v>2922</v>
      </c>
      <c r="R24" s="3212" t="s">
        <v>2923</v>
      </c>
    </row>
    <row r="25" spans="1:19" ht="14.25" customHeight="1">
      <c r="A25" s="3212" t="s">
        <v>184</v>
      </c>
      <c r="B25" s="3213" t="s">
        <v>235</v>
      </c>
      <c r="C25" s="3212">
        <v>32230</v>
      </c>
      <c r="D25" s="3212">
        <v>29640</v>
      </c>
      <c r="E25" s="3212">
        <v>29510</v>
      </c>
      <c r="F25" s="3212"/>
      <c r="G25" s="3212">
        <v>21560</v>
      </c>
      <c r="K25" s="3213" t="s">
        <v>2924</v>
      </c>
      <c r="L25" s="3212" t="s">
        <v>2925</v>
      </c>
      <c r="M25" s="3212" t="s">
        <v>284</v>
      </c>
      <c r="N25" s="3212" t="s">
        <v>292</v>
      </c>
      <c r="O25" s="3212" t="s">
        <v>288</v>
      </c>
      <c r="P25" s="3212" t="s">
        <v>275</v>
      </c>
      <c r="Q25" s="3221" t="s">
        <v>271</v>
      </c>
      <c r="R25" s="3212" t="s">
        <v>2926</v>
      </c>
    </row>
    <row r="26" spans="1:19" ht="14.25" customHeight="1" thickBot="1">
      <c r="A26" s="3212" t="s">
        <v>184</v>
      </c>
      <c r="B26" s="3213" t="s">
        <v>244</v>
      </c>
      <c r="C26" s="3212">
        <v>31690</v>
      </c>
      <c r="D26" s="3212">
        <v>27650</v>
      </c>
      <c r="E26" s="3212">
        <v>28200</v>
      </c>
      <c r="F26" s="3212"/>
      <c r="G26" s="3212">
        <v>20110</v>
      </c>
      <c r="K26" s="3218" t="s">
        <v>2927</v>
      </c>
      <c r="L26" s="3212" t="s">
        <v>2928</v>
      </c>
      <c r="M26" s="3212" t="s">
        <v>287</v>
      </c>
      <c r="N26" s="3212" t="s">
        <v>294</v>
      </c>
      <c r="O26" s="3212" t="s">
        <v>2929</v>
      </c>
      <c r="P26" s="3212" t="s">
        <v>2930</v>
      </c>
      <c r="Q26" s="3221" t="s">
        <v>276</v>
      </c>
      <c r="R26" s="3212" t="s">
        <v>2931</v>
      </c>
    </row>
    <row r="27" spans="1:19" ht="14.25" customHeight="1">
      <c r="A27" s="3212" t="s">
        <v>184</v>
      </c>
      <c r="B27" s="3213" t="s">
        <v>251</v>
      </c>
      <c r="C27" s="3212">
        <v>29610</v>
      </c>
      <c r="D27" s="3212">
        <v>27770</v>
      </c>
      <c r="E27" s="3212">
        <v>28300</v>
      </c>
      <c r="F27" s="3212"/>
      <c r="G27" s="3212">
        <v>20210</v>
      </c>
      <c r="L27" s="3212" t="s">
        <v>2932</v>
      </c>
      <c r="M27" s="3212" t="s">
        <v>291</v>
      </c>
      <c r="N27" s="3212" t="s">
        <v>297</v>
      </c>
      <c r="O27" s="3212" t="s">
        <v>2933</v>
      </c>
      <c r="P27" s="3212" t="s">
        <v>2934</v>
      </c>
      <c r="Q27" s="3212" t="s">
        <v>2935</v>
      </c>
      <c r="R27" s="3212" t="s">
        <v>2936</v>
      </c>
    </row>
    <row r="28" spans="1:19" ht="14.25" customHeight="1">
      <c r="A28" s="3212" t="s">
        <v>184</v>
      </c>
      <c r="B28" s="3213" t="s">
        <v>259</v>
      </c>
      <c r="C28" s="3212"/>
      <c r="D28" s="3212">
        <v>31520</v>
      </c>
      <c r="E28" s="3212">
        <v>31410</v>
      </c>
      <c r="F28" s="3212"/>
      <c r="G28" s="3212">
        <v>22940</v>
      </c>
      <c r="L28" s="3212" t="s">
        <v>2937</v>
      </c>
      <c r="M28" s="3212" t="s">
        <v>2938</v>
      </c>
      <c r="N28" s="3212" t="s">
        <v>2939</v>
      </c>
      <c r="O28" s="3212" t="s">
        <v>2940</v>
      </c>
      <c r="P28" s="3212" t="s">
        <v>2941</v>
      </c>
      <c r="Q28" s="3212" t="s">
        <v>2942</v>
      </c>
      <c r="R28" s="3212" t="s">
        <v>2943</v>
      </c>
    </row>
    <row r="29" spans="1:19" ht="14.25" customHeight="1" thickBot="1">
      <c r="A29" s="3220" t="s">
        <v>184</v>
      </c>
      <c r="B29" s="3222" t="s">
        <v>2910</v>
      </c>
      <c r="C29" s="3223"/>
      <c r="D29" s="3223">
        <v>29460</v>
      </c>
      <c r="E29" s="3223">
        <v>28640</v>
      </c>
      <c r="F29" s="3223"/>
      <c r="G29" s="3223">
        <v>21430</v>
      </c>
      <c r="L29" s="3212" t="s">
        <v>2944</v>
      </c>
      <c r="M29" s="3212" t="s">
        <v>2945</v>
      </c>
      <c r="N29" s="3212" t="s">
        <v>2946</v>
      </c>
      <c r="O29" s="3212" t="s">
        <v>2947</v>
      </c>
      <c r="P29" s="3212" t="s">
        <v>2948</v>
      </c>
      <c r="Q29" s="3212" t="s">
        <v>2949</v>
      </c>
      <c r="R29" s="3212" t="s">
        <v>280</v>
      </c>
    </row>
    <row r="30" spans="1:19" ht="14.25" customHeight="1">
      <c r="A30" s="3217" t="s">
        <v>296</v>
      </c>
      <c r="B30" s="3208" t="s">
        <v>2843</v>
      </c>
      <c r="C30" s="3208">
        <v>26890</v>
      </c>
      <c r="D30" s="3208">
        <v>26770</v>
      </c>
      <c r="E30" s="3208">
        <v>25700</v>
      </c>
      <c r="F30" s="3208">
        <v>8180</v>
      </c>
      <c r="G30" s="3224">
        <v>18740</v>
      </c>
      <c r="L30" s="3212" t="s">
        <v>2950</v>
      </c>
      <c r="M30" s="3212" t="s">
        <v>2951</v>
      </c>
      <c r="N30" s="3212" t="s">
        <v>2952</v>
      </c>
      <c r="O30" s="3212" t="s">
        <v>2953</v>
      </c>
      <c r="P30" s="3212" t="s">
        <v>2954</v>
      </c>
      <c r="Q30" s="3212" t="s">
        <v>2955</v>
      </c>
      <c r="R30" s="3212" t="s">
        <v>2956</v>
      </c>
    </row>
    <row r="31" spans="1:19" ht="14.25" customHeight="1">
      <c r="A31" s="3212" t="s">
        <v>296</v>
      </c>
      <c r="B31" s="3213" t="s">
        <v>129</v>
      </c>
      <c r="C31" s="3212">
        <v>24550</v>
      </c>
      <c r="D31" s="3212">
        <v>23990</v>
      </c>
      <c r="E31" s="3212">
        <v>22930</v>
      </c>
      <c r="F31" s="3212">
        <v>7470</v>
      </c>
      <c r="G31" s="3225">
        <v>16790</v>
      </c>
      <c r="L31" s="3212" t="s">
        <v>2957</v>
      </c>
      <c r="M31" s="3212" t="s">
        <v>2958</v>
      </c>
      <c r="N31" s="3212" t="s">
        <v>2959</v>
      </c>
      <c r="O31" s="3212" t="s">
        <v>2960</v>
      </c>
      <c r="P31" s="3212" t="s">
        <v>2961</v>
      </c>
      <c r="Q31" s="3212" t="s">
        <v>2962</v>
      </c>
      <c r="R31" s="3212" t="s">
        <v>2963</v>
      </c>
    </row>
    <row r="32" spans="1:19" ht="14.25" customHeight="1" thickBot="1">
      <c r="A32" s="3212" t="s">
        <v>296</v>
      </c>
      <c r="B32" s="3213" t="s">
        <v>138</v>
      </c>
      <c r="C32" s="3212">
        <v>27210</v>
      </c>
      <c r="D32" s="3212">
        <v>23240</v>
      </c>
      <c r="E32" s="3212">
        <v>23260</v>
      </c>
      <c r="F32" s="3212">
        <v>7130</v>
      </c>
      <c r="G32" s="3225">
        <v>16270</v>
      </c>
      <c r="L32" s="3212" t="s">
        <v>2964</v>
      </c>
      <c r="M32" s="3212" t="s">
        <v>2965</v>
      </c>
      <c r="N32" s="3212" t="s">
        <v>300</v>
      </c>
      <c r="O32" s="3212" t="s">
        <v>2966</v>
      </c>
      <c r="P32" s="3212" t="s">
        <v>299</v>
      </c>
      <c r="Q32" s="3212" t="s">
        <v>2967</v>
      </c>
      <c r="R32" s="3219" t="s">
        <v>2968</v>
      </c>
    </row>
    <row r="33" spans="1:17" ht="14.25" customHeight="1" thickBot="1">
      <c r="A33" s="3212" t="s">
        <v>296</v>
      </c>
      <c r="B33" s="3213" t="s">
        <v>147</v>
      </c>
      <c r="C33" s="3212">
        <v>27300</v>
      </c>
      <c r="D33" s="3212">
        <v>22980</v>
      </c>
      <c r="E33" s="3212">
        <v>24260</v>
      </c>
      <c r="F33" s="3212">
        <v>5860</v>
      </c>
      <c r="G33" s="3225">
        <v>16090</v>
      </c>
      <c r="L33" s="3219" t="s">
        <v>2969</v>
      </c>
      <c r="M33" s="3212" t="s">
        <v>2970</v>
      </c>
      <c r="N33" s="3212" t="s">
        <v>301</v>
      </c>
      <c r="O33" s="3212" t="s">
        <v>2971</v>
      </c>
      <c r="P33" s="3212" t="s">
        <v>2972</v>
      </c>
      <c r="Q33" s="3212" t="s">
        <v>2973</v>
      </c>
    </row>
    <row r="34" spans="1:17" ht="14.25" customHeight="1">
      <c r="A34" s="3212" t="s">
        <v>296</v>
      </c>
      <c r="B34" s="3213" t="s">
        <v>156</v>
      </c>
      <c r="C34" s="3212">
        <v>23090</v>
      </c>
      <c r="D34" s="3212">
        <v>23390</v>
      </c>
      <c r="E34" s="3212">
        <v>23510</v>
      </c>
      <c r="F34" s="3212">
        <v>6700</v>
      </c>
      <c r="G34" s="3225">
        <v>16370</v>
      </c>
      <c r="M34" s="3212" t="s">
        <v>2974</v>
      </c>
      <c r="N34" s="3212" t="s">
        <v>302</v>
      </c>
      <c r="O34" s="3212" t="s">
        <v>2975</v>
      </c>
      <c r="P34" s="3212" t="s">
        <v>2976</v>
      </c>
      <c r="Q34" s="3212" t="s">
        <v>2977</v>
      </c>
    </row>
    <row r="35" spans="1:17" ht="14.25" customHeight="1">
      <c r="A35" s="3212" t="s">
        <v>296</v>
      </c>
      <c r="B35" s="3213" t="s">
        <v>163</v>
      </c>
      <c r="C35" s="3212">
        <v>27270</v>
      </c>
      <c r="D35" s="3212">
        <v>24270</v>
      </c>
      <c r="E35" s="3212">
        <v>24950</v>
      </c>
      <c r="F35" s="3212">
        <v>6600</v>
      </c>
      <c r="G35" s="3225">
        <v>16990</v>
      </c>
      <c r="M35" s="3212" t="s">
        <v>2978</v>
      </c>
      <c r="N35" s="3212" t="s">
        <v>2979</v>
      </c>
      <c r="O35" s="3212" t="s">
        <v>2980</v>
      </c>
      <c r="P35" s="3212" t="s">
        <v>2981</v>
      </c>
      <c r="Q35" s="3212" t="s">
        <v>2982</v>
      </c>
    </row>
    <row r="36" spans="1:17" ht="14.25" customHeight="1">
      <c r="A36" s="3212" t="s">
        <v>296</v>
      </c>
      <c r="B36" s="3213" t="s">
        <v>169</v>
      </c>
      <c r="C36" s="3212">
        <v>23490</v>
      </c>
      <c r="D36" s="3212">
        <v>23020</v>
      </c>
      <c r="E36" s="3212">
        <v>25230</v>
      </c>
      <c r="F36" s="3212">
        <v>6780</v>
      </c>
      <c r="G36" s="3225">
        <v>16120</v>
      </c>
      <c r="M36" s="3212" t="s">
        <v>2983</v>
      </c>
      <c r="N36" s="3212" t="s">
        <v>2984</v>
      </c>
      <c r="O36" s="3212" t="s">
        <v>2985</v>
      </c>
      <c r="P36" s="3212" t="s">
        <v>2986</v>
      </c>
      <c r="Q36" s="3212" t="s">
        <v>2987</v>
      </c>
    </row>
    <row r="37" spans="1:17" ht="14.25" customHeight="1">
      <c r="A37" s="3212" t="s">
        <v>296</v>
      </c>
      <c r="B37" s="3213" t="s">
        <v>176</v>
      </c>
      <c r="C37" s="3212">
        <v>24380</v>
      </c>
      <c r="D37" s="3212">
        <v>22240</v>
      </c>
      <c r="E37" s="3212">
        <v>25980</v>
      </c>
      <c r="F37" s="3212">
        <v>8160</v>
      </c>
      <c r="G37" s="3225">
        <v>15570</v>
      </c>
      <c r="M37" s="3212" t="s">
        <v>2988</v>
      </c>
      <c r="N37" s="3212" t="s">
        <v>2989</v>
      </c>
      <c r="O37" s="3212" t="s">
        <v>2990</v>
      </c>
      <c r="P37" s="3212" t="s">
        <v>2991</v>
      </c>
      <c r="Q37" s="3212" t="s">
        <v>2992</v>
      </c>
    </row>
    <row r="38" spans="1:17" ht="14.25" customHeight="1">
      <c r="A38" s="3212" t="s">
        <v>296</v>
      </c>
      <c r="B38" s="3213" t="s">
        <v>186</v>
      </c>
      <c r="C38" s="3212">
        <v>23120</v>
      </c>
      <c r="D38" s="3212">
        <v>24630</v>
      </c>
      <c r="E38" s="3212">
        <v>25030</v>
      </c>
      <c r="F38" s="3212">
        <v>7710</v>
      </c>
      <c r="G38" s="3225">
        <v>17240</v>
      </c>
      <c r="M38" s="3212" t="s">
        <v>2993</v>
      </c>
      <c r="N38" s="3212" t="s">
        <v>2994</v>
      </c>
      <c r="O38" s="3212" t="s">
        <v>2995</v>
      </c>
      <c r="P38" s="3212" t="s">
        <v>2996</v>
      </c>
      <c r="Q38" s="3212" t="s">
        <v>2997</v>
      </c>
    </row>
    <row r="39" spans="1:17" ht="14.25" customHeight="1">
      <c r="A39" s="3212" t="s">
        <v>296</v>
      </c>
      <c r="B39" s="3213" t="s">
        <v>195</v>
      </c>
      <c r="C39" s="3212">
        <v>22330</v>
      </c>
      <c r="D39" s="3212">
        <v>21140</v>
      </c>
      <c r="E39" s="3212">
        <v>23970</v>
      </c>
      <c r="F39" s="3212">
        <v>7940</v>
      </c>
      <c r="G39" s="3225">
        <v>14790</v>
      </c>
      <c r="M39" s="3212" t="s">
        <v>2998</v>
      </c>
      <c r="N39" s="3212" t="s">
        <v>2999</v>
      </c>
      <c r="O39" s="3212" t="s">
        <v>3000</v>
      </c>
      <c r="P39" s="3212" t="s">
        <v>3001</v>
      </c>
      <c r="Q39" s="3212" t="s">
        <v>3002</v>
      </c>
    </row>
    <row r="40" spans="1:17" ht="14.25" customHeight="1">
      <c r="A40" s="3212" t="s">
        <v>296</v>
      </c>
      <c r="B40" s="3213" t="s">
        <v>202</v>
      </c>
      <c r="C40" s="3212">
        <v>24740</v>
      </c>
      <c r="D40" s="3212">
        <v>24690</v>
      </c>
      <c r="E40" s="3212">
        <v>22610</v>
      </c>
      <c r="F40" s="3212"/>
      <c r="G40" s="3225">
        <v>17280</v>
      </c>
      <c r="M40" s="3212" t="s">
        <v>3003</v>
      </c>
      <c r="N40" s="3212" t="s">
        <v>3004</v>
      </c>
      <c r="O40" s="3212" t="s">
        <v>3005</v>
      </c>
      <c r="P40" s="3212" t="s">
        <v>3006</v>
      </c>
      <c r="Q40" s="3212" t="s">
        <v>3007</v>
      </c>
    </row>
    <row r="41" spans="1:17" ht="14.25" customHeight="1" thickBot="1">
      <c r="A41" s="3212" t="s">
        <v>296</v>
      </c>
      <c r="B41" s="3213" t="s">
        <v>209</v>
      </c>
      <c r="C41" s="3212">
        <v>21220</v>
      </c>
      <c r="D41" s="3212">
        <v>21120</v>
      </c>
      <c r="E41" s="3212">
        <v>22590</v>
      </c>
      <c r="F41" s="3212"/>
      <c r="G41" s="3225">
        <v>14780</v>
      </c>
      <c r="M41" s="3219" t="s">
        <v>3008</v>
      </c>
      <c r="N41" s="3212" t="s">
        <v>3009</v>
      </c>
      <c r="O41" s="3212" t="s">
        <v>3010</v>
      </c>
      <c r="P41" s="3212" t="s">
        <v>3011</v>
      </c>
      <c r="Q41" s="3212" t="s">
        <v>3012</v>
      </c>
    </row>
    <row r="42" spans="1:17" ht="14.25" customHeight="1">
      <c r="A42" s="3212" t="s">
        <v>296</v>
      </c>
      <c r="B42" s="3213" t="s">
        <v>215</v>
      </c>
      <c r="C42" s="3212">
        <v>24800</v>
      </c>
      <c r="D42" s="3212">
        <v>22280</v>
      </c>
      <c r="E42" s="3212">
        <v>24350</v>
      </c>
      <c r="F42" s="3212"/>
      <c r="G42" s="3225">
        <v>15590</v>
      </c>
      <c r="N42" s="3212" t="s">
        <v>3013</v>
      </c>
      <c r="O42" s="3212" t="s">
        <v>3014</v>
      </c>
      <c r="P42" s="3212" t="s">
        <v>3015</v>
      </c>
      <c r="Q42" s="3212" t="s">
        <v>3016</v>
      </c>
    </row>
    <row r="43" spans="1:17" ht="14.25" customHeight="1">
      <c r="A43" s="3212" t="s">
        <v>3017</v>
      </c>
      <c r="B43" s="3213" t="s">
        <v>223</v>
      </c>
      <c r="C43" s="3212">
        <v>21210</v>
      </c>
      <c r="D43" s="3212">
        <v>21160</v>
      </c>
      <c r="E43" s="3212">
        <v>22650</v>
      </c>
      <c r="F43" s="3212"/>
      <c r="G43" s="3225">
        <v>14800</v>
      </c>
      <c r="N43" s="3212" t="s">
        <v>3018</v>
      </c>
      <c r="O43" s="3212" t="s">
        <v>3019</v>
      </c>
      <c r="P43" s="3212" t="s">
        <v>3020</v>
      </c>
      <c r="Q43" s="3212" t="s">
        <v>3021</v>
      </c>
    </row>
    <row r="44" spans="1:17" ht="14.25" customHeight="1" thickBot="1">
      <c r="A44" s="3212" t="s">
        <v>296</v>
      </c>
      <c r="B44" s="3213" t="s">
        <v>231</v>
      </c>
      <c r="C44" s="3212">
        <v>22370</v>
      </c>
      <c r="D44" s="3212">
        <v>23140</v>
      </c>
      <c r="E44" s="3212">
        <v>25090</v>
      </c>
      <c r="F44" s="3212"/>
      <c r="G44" s="3225">
        <v>16190</v>
      </c>
      <c r="N44" s="3212" t="s">
        <v>3022</v>
      </c>
      <c r="O44" s="3212" t="s">
        <v>3023</v>
      </c>
      <c r="P44" s="3219" t="s">
        <v>3024</v>
      </c>
      <c r="Q44" s="3212" t="s">
        <v>3025</v>
      </c>
    </row>
    <row r="45" spans="1:17" ht="14.25" customHeight="1" thickBot="1">
      <c r="A45" s="3212" t="s">
        <v>296</v>
      </c>
      <c r="B45" s="3213" t="s">
        <v>236</v>
      </c>
      <c r="C45" s="3212">
        <v>21240</v>
      </c>
      <c r="D45" s="3212">
        <v>27050</v>
      </c>
      <c r="E45" s="3212">
        <v>28000</v>
      </c>
      <c r="F45" s="3212"/>
      <c r="G45" s="3225">
        <v>18940</v>
      </c>
      <c r="N45" s="3212" t="s">
        <v>3026</v>
      </c>
      <c r="O45" s="3219" t="s">
        <v>3027</v>
      </c>
      <c r="Q45" s="3212" t="s">
        <v>3028</v>
      </c>
    </row>
    <row r="46" spans="1:17" ht="14.25" customHeight="1">
      <c r="A46" s="3212" t="s">
        <v>296</v>
      </c>
      <c r="B46" s="3213" t="s">
        <v>245</v>
      </c>
      <c r="C46" s="3212">
        <v>23240</v>
      </c>
      <c r="D46" s="3212">
        <v>23000</v>
      </c>
      <c r="E46" s="3212">
        <v>24980</v>
      </c>
      <c r="F46" s="3212"/>
      <c r="G46" s="3225">
        <v>16100</v>
      </c>
      <c r="N46" s="3212" t="s">
        <v>3029</v>
      </c>
      <c r="Q46" s="3212" t="s">
        <v>3030</v>
      </c>
    </row>
    <row r="47" spans="1:17" ht="14.25" customHeight="1">
      <c r="A47" s="3212" t="s">
        <v>296</v>
      </c>
      <c r="B47" s="3213" t="s">
        <v>252</v>
      </c>
      <c r="C47" s="3212">
        <v>27150</v>
      </c>
      <c r="D47" s="3212">
        <v>23310</v>
      </c>
      <c r="E47" s="3212">
        <v>25150</v>
      </c>
      <c r="F47" s="3212"/>
      <c r="G47" s="3225">
        <v>16310</v>
      </c>
      <c r="N47" s="3212" t="s">
        <v>3031</v>
      </c>
      <c r="Q47" s="3212" t="s">
        <v>3032</v>
      </c>
    </row>
    <row r="48" spans="1:17" ht="14.25" customHeight="1">
      <c r="A48" s="3212" t="s">
        <v>296</v>
      </c>
      <c r="B48" s="3213" t="s">
        <v>260</v>
      </c>
      <c r="C48" s="3212">
        <v>23100</v>
      </c>
      <c r="D48" s="3212">
        <v>21110</v>
      </c>
      <c r="E48" s="3212">
        <v>23080</v>
      </c>
      <c r="F48" s="3212"/>
      <c r="G48" s="3225">
        <v>14780</v>
      </c>
      <c r="N48" s="3212" t="s">
        <v>3033</v>
      </c>
      <c r="Q48" s="3212" t="s">
        <v>3034</v>
      </c>
    </row>
    <row r="49" spans="1:17" ht="14.25" customHeight="1">
      <c r="A49" s="3212" t="s">
        <v>296</v>
      </c>
      <c r="B49" s="3213" t="s">
        <v>267</v>
      </c>
      <c r="C49" s="3212">
        <v>23400</v>
      </c>
      <c r="D49" s="3212">
        <v>22920</v>
      </c>
      <c r="E49" s="3212">
        <v>24900</v>
      </c>
      <c r="F49" s="3212"/>
      <c r="G49" s="3225">
        <v>16040</v>
      </c>
      <c r="N49" s="3212" t="s">
        <v>3035</v>
      </c>
      <c r="Q49" s="3212" t="s">
        <v>3036</v>
      </c>
    </row>
    <row r="50" spans="1:17" ht="14.25" customHeight="1">
      <c r="A50" s="3212" t="s">
        <v>296</v>
      </c>
      <c r="B50" s="3213" t="s">
        <v>2913</v>
      </c>
      <c r="C50" s="3212">
        <v>21200</v>
      </c>
      <c r="D50" s="3212">
        <v>26540</v>
      </c>
      <c r="E50" s="3212">
        <v>23200</v>
      </c>
      <c r="F50" s="3212"/>
      <c r="G50" s="3225">
        <v>18580</v>
      </c>
      <c r="N50" s="3212" t="s">
        <v>3037</v>
      </c>
      <c r="Q50" s="3213" t="s">
        <v>3038</v>
      </c>
    </row>
    <row r="51" spans="1:17" ht="14.25" customHeight="1" thickBot="1">
      <c r="A51" s="3212" t="s">
        <v>296</v>
      </c>
      <c r="B51" s="3213" t="s">
        <v>2915</v>
      </c>
      <c r="C51" s="3212">
        <v>23000</v>
      </c>
      <c r="D51" s="3212">
        <v>23460</v>
      </c>
      <c r="E51" s="3212">
        <v>25290</v>
      </c>
      <c r="F51" s="3212"/>
      <c r="G51" s="3225">
        <v>16420</v>
      </c>
      <c r="N51" s="3212" t="s">
        <v>3039</v>
      </c>
      <c r="Q51" s="3219" t="s">
        <v>3040</v>
      </c>
    </row>
    <row r="52" spans="1:17" ht="14.25" customHeight="1">
      <c r="A52" s="3212" t="s">
        <v>296</v>
      </c>
      <c r="B52" s="3213" t="s">
        <v>2919</v>
      </c>
      <c r="C52" s="3212">
        <v>26660</v>
      </c>
      <c r="D52" s="3212">
        <v>22350</v>
      </c>
      <c r="E52" s="3212">
        <v>22920</v>
      </c>
      <c r="F52" s="3212"/>
      <c r="G52" s="3225">
        <v>15640</v>
      </c>
      <c r="N52" s="3212" t="s">
        <v>3041</v>
      </c>
    </row>
    <row r="53" spans="1:17" ht="14.25" customHeight="1">
      <c r="A53" s="3212" t="s">
        <v>296</v>
      </c>
      <c r="B53" s="3213" t="s">
        <v>2924</v>
      </c>
      <c r="C53" s="3212">
        <v>23580</v>
      </c>
      <c r="D53" s="3212"/>
      <c r="E53" s="3212">
        <v>24280</v>
      </c>
      <c r="F53" s="3212"/>
      <c r="G53" s="3225"/>
      <c r="N53" s="3212" t="s">
        <v>3042</v>
      </c>
    </row>
    <row r="54" spans="1:17" ht="14.25" customHeight="1" thickBot="1">
      <c r="A54" s="3226" t="s">
        <v>296</v>
      </c>
      <c r="B54" s="3218" t="s">
        <v>2927</v>
      </c>
      <c r="C54" s="3219">
        <v>22460</v>
      </c>
      <c r="D54" s="3219"/>
      <c r="E54" s="3219"/>
      <c r="F54" s="3219"/>
      <c r="G54" s="3227"/>
      <c r="N54" s="3212" t="s">
        <v>3043</v>
      </c>
    </row>
    <row r="55" spans="1:17" ht="14.25" customHeight="1">
      <c r="A55" s="3217" t="s">
        <v>110</v>
      </c>
      <c r="B55" s="3208" t="s">
        <v>3044</v>
      </c>
      <c r="C55" s="3212">
        <v>21970</v>
      </c>
      <c r="D55" s="3212">
        <v>20370</v>
      </c>
      <c r="E55" s="3212">
        <v>20180</v>
      </c>
      <c r="F55" s="3212">
        <v>5730</v>
      </c>
      <c r="G55" s="3212">
        <v>13820</v>
      </c>
      <c r="N55" s="3212" t="s">
        <v>3045</v>
      </c>
    </row>
    <row r="56" spans="1:17" ht="14.25" customHeight="1">
      <c r="A56" s="3212" t="s">
        <v>110</v>
      </c>
      <c r="B56" s="3212" t="s">
        <v>130</v>
      </c>
      <c r="C56" s="3212">
        <v>20470</v>
      </c>
      <c r="D56" s="3212">
        <v>20700</v>
      </c>
      <c r="E56" s="3212">
        <v>20380</v>
      </c>
      <c r="F56" s="3212">
        <v>4760</v>
      </c>
      <c r="G56" s="3212">
        <v>14050</v>
      </c>
      <c r="N56" s="3212" t="s">
        <v>3046</v>
      </c>
    </row>
    <row r="57" spans="1:17" ht="14.25" customHeight="1">
      <c r="A57" s="3212" t="s">
        <v>110</v>
      </c>
      <c r="B57" s="3212" t="s">
        <v>139</v>
      </c>
      <c r="C57" s="3212">
        <v>20790</v>
      </c>
      <c r="D57" s="3212">
        <v>21370</v>
      </c>
      <c r="E57" s="3212">
        <v>20890</v>
      </c>
      <c r="F57" s="3212">
        <v>4910</v>
      </c>
      <c r="G57" s="3212">
        <v>14510</v>
      </c>
      <c r="N57" s="3212" t="s">
        <v>3047</v>
      </c>
    </row>
    <row r="58" spans="1:17" ht="14.25" customHeight="1">
      <c r="A58" s="3212" t="s">
        <v>110</v>
      </c>
      <c r="B58" s="3212" t="s">
        <v>148</v>
      </c>
      <c r="C58" s="3212">
        <v>21460</v>
      </c>
      <c r="D58" s="3212">
        <v>20920</v>
      </c>
      <c r="E58" s="3212">
        <v>23410</v>
      </c>
      <c r="F58" s="3212">
        <v>5100</v>
      </c>
      <c r="G58" s="3212">
        <v>14200</v>
      </c>
      <c r="N58" s="3212" t="s">
        <v>3048</v>
      </c>
    </row>
    <row r="59" spans="1:17" ht="14.25" customHeight="1">
      <c r="A59" s="3212" t="s">
        <v>110</v>
      </c>
      <c r="B59" s="3212" t="s">
        <v>157</v>
      </c>
      <c r="C59" s="3212">
        <v>21000</v>
      </c>
      <c r="D59" s="3212">
        <v>21550</v>
      </c>
      <c r="E59" s="3212">
        <v>21150</v>
      </c>
      <c r="F59" s="3212">
        <v>5250</v>
      </c>
      <c r="G59" s="3212">
        <v>14630</v>
      </c>
      <c r="N59" s="3212" t="s">
        <v>3049</v>
      </c>
    </row>
    <row r="60" spans="1:17" ht="14.25" customHeight="1">
      <c r="A60" s="3212" t="s">
        <v>110</v>
      </c>
      <c r="B60" s="3212" t="s">
        <v>164</v>
      </c>
      <c r="C60" s="3212">
        <v>21640</v>
      </c>
      <c r="D60" s="3212">
        <v>21260</v>
      </c>
      <c r="E60" s="3212">
        <v>24040</v>
      </c>
      <c r="F60" s="3212">
        <v>4470</v>
      </c>
      <c r="G60" s="3212">
        <v>14430</v>
      </c>
      <c r="N60" s="3212" t="s">
        <v>3050</v>
      </c>
    </row>
    <row r="61" spans="1:17" ht="14.25" customHeight="1">
      <c r="A61" s="3212" t="s">
        <v>110</v>
      </c>
      <c r="B61" s="3212" t="s">
        <v>170</v>
      </c>
      <c r="C61" s="3212">
        <v>21330</v>
      </c>
      <c r="D61" s="3212">
        <v>18640</v>
      </c>
      <c r="E61" s="3212">
        <v>21190</v>
      </c>
      <c r="F61" s="3212">
        <v>4180</v>
      </c>
      <c r="G61" s="3212">
        <v>12650</v>
      </c>
      <c r="N61" s="3212" t="s">
        <v>3051</v>
      </c>
    </row>
    <row r="62" spans="1:17" ht="14.25" customHeight="1">
      <c r="A62" s="3212" t="s">
        <v>110</v>
      </c>
      <c r="B62" s="3212" t="s">
        <v>177</v>
      </c>
      <c r="C62" s="3212">
        <v>18710</v>
      </c>
      <c r="D62" s="3212">
        <v>19400</v>
      </c>
      <c r="E62" s="3212">
        <v>23750</v>
      </c>
      <c r="F62" s="3212">
        <v>4860</v>
      </c>
      <c r="G62" s="3212">
        <v>13170</v>
      </c>
      <c r="N62" s="3212" t="s">
        <v>3052</v>
      </c>
    </row>
    <row r="63" spans="1:17" ht="14.25" customHeight="1">
      <c r="A63" s="3212" t="s">
        <v>110</v>
      </c>
      <c r="B63" s="3212" t="s">
        <v>187</v>
      </c>
      <c r="C63" s="3212">
        <v>19480</v>
      </c>
      <c r="D63" s="3212">
        <v>16830</v>
      </c>
      <c r="E63" s="3212">
        <v>21590</v>
      </c>
      <c r="F63" s="3212">
        <v>4560</v>
      </c>
      <c r="G63" s="3212">
        <v>11420</v>
      </c>
      <c r="N63" s="3212" t="s">
        <v>3053</v>
      </c>
    </row>
    <row r="64" spans="1:17" ht="14.25" customHeight="1" thickBot="1">
      <c r="A64" s="3212" t="s">
        <v>110</v>
      </c>
      <c r="B64" s="3212" t="s">
        <v>196</v>
      </c>
      <c r="C64" s="3212">
        <v>16920</v>
      </c>
      <c r="D64" s="3212">
        <v>19190</v>
      </c>
      <c r="E64" s="3212">
        <v>22200</v>
      </c>
      <c r="F64" s="3212">
        <v>4390</v>
      </c>
      <c r="G64" s="3212">
        <v>13030</v>
      </c>
      <c r="N64" s="3219" t="s">
        <v>3054</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2925</v>
      </c>
      <c r="C78" s="3212">
        <v>19820</v>
      </c>
      <c r="D78" s="3212">
        <v>19780</v>
      </c>
      <c r="E78" s="3212">
        <v>18560</v>
      </c>
      <c r="F78" s="3212"/>
      <c r="G78" s="3212">
        <v>13430</v>
      </c>
    </row>
    <row r="79" spans="1:7" s="3201" customFormat="1" ht="14.25" customHeight="1">
      <c r="A79" s="3212" t="s">
        <v>110</v>
      </c>
      <c r="B79" s="3212" t="s">
        <v>2928</v>
      </c>
      <c r="C79" s="3212">
        <v>21660</v>
      </c>
      <c r="D79" s="3212">
        <v>18000</v>
      </c>
      <c r="E79" s="3212">
        <v>22570</v>
      </c>
      <c r="F79" s="3212"/>
      <c r="G79" s="3212">
        <v>12220</v>
      </c>
    </row>
    <row r="80" spans="1:7" s="3201" customFormat="1" ht="14.25" customHeight="1">
      <c r="A80" s="3212" t="s">
        <v>110</v>
      </c>
      <c r="B80" s="3212" t="s">
        <v>2932</v>
      </c>
      <c r="C80" s="3212">
        <v>19850</v>
      </c>
      <c r="D80" s="3212"/>
      <c r="E80" s="3212">
        <v>21700</v>
      </c>
      <c r="F80" s="3212"/>
      <c r="G80" s="3212"/>
    </row>
    <row r="81" spans="1:7" s="3201" customFormat="1" ht="14.25" customHeight="1">
      <c r="A81" s="3212" t="s">
        <v>110</v>
      </c>
      <c r="B81" s="3212" t="s">
        <v>2937</v>
      </c>
      <c r="C81" s="3212">
        <v>18080</v>
      </c>
      <c r="D81" s="3212"/>
      <c r="E81" s="3212">
        <v>20900</v>
      </c>
      <c r="F81" s="3212"/>
      <c r="G81" s="3212"/>
    </row>
    <row r="82" spans="1:7" s="3201" customFormat="1" ht="14.25" customHeight="1">
      <c r="A82" s="3212" t="s">
        <v>110</v>
      </c>
      <c r="B82" s="3212" t="s">
        <v>2944</v>
      </c>
      <c r="C82" s="3212"/>
      <c r="D82" s="3212"/>
      <c r="E82" s="3212">
        <v>20840</v>
      </c>
      <c r="F82" s="3212"/>
      <c r="G82" s="3212"/>
    </row>
    <row r="83" spans="1:7" s="3201" customFormat="1" ht="14.25" customHeight="1">
      <c r="A83" s="3212" t="s">
        <v>110</v>
      </c>
      <c r="B83" s="3212" t="s">
        <v>3055</v>
      </c>
      <c r="C83" s="3212"/>
      <c r="D83" s="3212"/>
      <c r="E83" s="3212"/>
      <c r="F83" s="3212">
        <v>4770</v>
      </c>
      <c r="G83" s="3212"/>
    </row>
    <row r="84" spans="1:7" s="3201" customFormat="1" ht="14.25" customHeight="1">
      <c r="A84" s="3212" t="s">
        <v>110</v>
      </c>
      <c r="B84" s="3212" t="s">
        <v>3056</v>
      </c>
      <c r="C84" s="3212"/>
      <c r="D84" s="3212"/>
      <c r="E84" s="3212"/>
      <c r="F84" s="3212">
        <v>4600</v>
      </c>
      <c r="G84" s="3212"/>
    </row>
    <row r="85" spans="1:7" s="3201" customFormat="1" ht="14.25" customHeight="1">
      <c r="A85" s="3212" t="s">
        <v>110</v>
      </c>
      <c r="B85" s="3212" t="s">
        <v>3057</v>
      </c>
      <c r="C85" s="3212"/>
      <c r="D85" s="3212"/>
      <c r="E85" s="3212"/>
      <c r="F85" s="3212">
        <v>4680</v>
      </c>
      <c r="G85" s="3212"/>
    </row>
    <row r="86" spans="1:7" s="3201" customFormat="1" ht="14.25" customHeight="1" thickBot="1">
      <c r="A86" s="3220" t="s">
        <v>110</v>
      </c>
      <c r="B86" s="3222" t="s">
        <v>3058</v>
      </c>
      <c r="C86" s="3223">
        <v>16610</v>
      </c>
      <c r="D86" s="3223">
        <v>16540</v>
      </c>
      <c r="E86" s="3223">
        <v>18850</v>
      </c>
      <c r="F86" s="3223"/>
      <c r="G86" s="3223">
        <v>11220</v>
      </c>
    </row>
    <row r="87" spans="1:7" s="3201" customFormat="1" ht="14.25" customHeight="1">
      <c r="A87" s="3217" t="s">
        <v>303</v>
      </c>
      <c r="B87" s="3208" t="s">
        <v>3059</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2938</v>
      </c>
      <c r="C113" s="3212">
        <v>15520</v>
      </c>
      <c r="D113" s="3212">
        <v>15450</v>
      </c>
      <c r="E113" s="3212"/>
      <c r="F113" s="3212"/>
      <c r="G113" s="3225">
        <v>10210</v>
      </c>
    </row>
    <row r="114" spans="1:7" s="3201" customFormat="1" ht="14.25" customHeight="1">
      <c r="A114" s="3212" t="s">
        <v>303</v>
      </c>
      <c r="B114" s="3212" t="s">
        <v>2945</v>
      </c>
      <c r="C114" s="3212">
        <v>13110</v>
      </c>
      <c r="D114" s="3212">
        <v>13050</v>
      </c>
      <c r="E114" s="3212"/>
      <c r="F114" s="3212"/>
      <c r="G114" s="3225">
        <v>8620</v>
      </c>
    </row>
    <row r="115" spans="1:7" s="3201" customFormat="1" ht="14.25" customHeight="1">
      <c r="A115" s="3212" t="s">
        <v>303</v>
      </c>
      <c r="B115" s="3212" t="s">
        <v>2951</v>
      </c>
      <c r="C115" s="3212">
        <v>12460</v>
      </c>
      <c r="D115" s="3212">
        <v>12390</v>
      </c>
      <c r="E115" s="3212"/>
      <c r="F115" s="3212"/>
      <c r="G115" s="3225">
        <v>8190</v>
      </c>
    </row>
    <row r="116" spans="1:7" s="3201" customFormat="1" ht="14.25" customHeight="1">
      <c r="A116" s="3212" t="s">
        <v>303</v>
      </c>
      <c r="B116" s="3212" t="s">
        <v>2958</v>
      </c>
      <c r="C116" s="3212">
        <v>13580</v>
      </c>
      <c r="D116" s="3212">
        <v>13520</v>
      </c>
      <c r="E116" s="3212"/>
      <c r="F116" s="3212"/>
      <c r="G116" s="3225">
        <v>8930</v>
      </c>
    </row>
    <row r="117" spans="1:7" s="3201" customFormat="1" ht="14.25" customHeight="1">
      <c r="A117" s="3212" t="s">
        <v>303</v>
      </c>
      <c r="B117" s="3212" t="s">
        <v>2965</v>
      </c>
      <c r="C117" s="3212">
        <v>17120</v>
      </c>
      <c r="D117" s="3212">
        <v>17040</v>
      </c>
      <c r="E117" s="3212"/>
      <c r="F117" s="3212"/>
      <c r="G117" s="3225">
        <v>11260</v>
      </c>
    </row>
    <row r="118" spans="1:7" s="3201" customFormat="1" ht="14.25" customHeight="1">
      <c r="A118" s="3212" t="s">
        <v>303</v>
      </c>
      <c r="B118" s="3212" t="s">
        <v>2970</v>
      </c>
      <c r="C118" s="3212">
        <v>14860</v>
      </c>
      <c r="D118" s="3212">
        <v>14790</v>
      </c>
      <c r="E118" s="3212"/>
      <c r="F118" s="3212"/>
      <c r="G118" s="3225">
        <v>9780</v>
      </c>
    </row>
    <row r="119" spans="1:7" s="3201" customFormat="1" ht="14.25" customHeight="1">
      <c r="A119" s="3212" t="s">
        <v>303</v>
      </c>
      <c r="B119" s="3212" t="s">
        <v>2974</v>
      </c>
      <c r="C119" s="3212">
        <v>16470</v>
      </c>
      <c r="D119" s="3212">
        <v>16400</v>
      </c>
      <c r="E119" s="3212"/>
      <c r="F119" s="3212"/>
      <c r="G119" s="3225">
        <v>10840</v>
      </c>
    </row>
    <row r="120" spans="1:7" s="3201" customFormat="1" ht="14.25" customHeight="1">
      <c r="A120" s="3212" t="s">
        <v>303</v>
      </c>
      <c r="B120" s="3212" t="s">
        <v>3060</v>
      </c>
      <c r="C120" s="3212"/>
      <c r="D120" s="3212"/>
      <c r="E120" s="3212"/>
      <c r="F120" s="3212">
        <v>4160</v>
      </c>
      <c r="G120" s="3225"/>
    </row>
    <row r="121" spans="1:7" s="3201" customFormat="1" ht="14.25" customHeight="1">
      <c r="A121" s="3212" t="s">
        <v>303</v>
      </c>
      <c r="B121" s="3212" t="s">
        <v>3061</v>
      </c>
      <c r="C121" s="3212"/>
      <c r="D121" s="3212"/>
      <c r="E121" s="3212"/>
      <c r="F121" s="3212">
        <v>3880</v>
      </c>
      <c r="G121" s="3225"/>
    </row>
    <row r="122" spans="1:7" s="3201" customFormat="1" ht="14.25" customHeight="1">
      <c r="A122" s="3212" t="s">
        <v>303</v>
      </c>
      <c r="B122" s="3212" t="s">
        <v>3062</v>
      </c>
      <c r="C122" s="3212">
        <v>13750</v>
      </c>
      <c r="D122" s="3212">
        <v>13680</v>
      </c>
      <c r="E122" s="3212">
        <v>16460</v>
      </c>
      <c r="F122" s="3212">
        <v>2880</v>
      </c>
      <c r="G122" s="3225">
        <v>9040</v>
      </c>
    </row>
    <row r="123" spans="1:7" s="3201" customFormat="1" ht="14.25" customHeight="1">
      <c r="A123" s="3212" t="s">
        <v>303</v>
      </c>
      <c r="B123" s="3212" t="s">
        <v>2993</v>
      </c>
      <c r="C123" s="3212">
        <v>13590</v>
      </c>
      <c r="D123" s="3212">
        <v>13520</v>
      </c>
      <c r="E123" s="3212">
        <v>16290</v>
      </c>
      <c r="F123" s="3212">
        <v>2790</v>
      </c>
      <c r="G123" s="3225">
        <v>8930</v>
      </c>
    </row>
    <row r="124" spans="1:7" s="3201" customFormat="1" ht="14.25" customHeight="1">
      <c r="A124" s="3212" t="s">
        <v>303</v>
      </c>
      <c r="B124" s="3212" t="s">
        <v>2998</v>
      </c>
      <c r="C124" s="3212">
        <v>13400</v>
      </c>
      <c r="D124" s="3212">
        <v>13320</v>
      </c>
      <c r="E124" s="3212">
        <v>16100</v>
      </c>
      <c r="F124" s="3212">
        <v>2320</v>
      </c>
      <c r="G124" s="3225">
        <v>8800</v>
      </c>
    </row>
    <row r="125" spans="1:7" s="3201" customFormat="1" ht="14.25" customHeight="1">
      <c r="A125" s="3212" t="s">
        <v>303</v>
      </c>
      <c r="B125" s="3212" t="s">
        <v>3003</v>
      </c>
      <c r="C125" s="3212">
        <v>12860</v>
      </c>
      <c r="D125" s="3212">
        <v>12790</v>
      </c>
      <c r="E125" s="3212">
        <v>15370</v>
      </c>
      <c r="F125" s="3212">
        <v>2280</v>
      </c>
      <c r="G125" s="3225">
        <v>8450</v>
      </c>
    </row>
    <row r="126" spans="1:7" s="3201" customFormat="1" ht="14.25" customHeight="1" thickBot="1">
      <c r="A126" s="3226" t="s">
        <v>303</v>
      </c>
      <c r="B126" s="3219" t="s">
        <v>3008</v>
      </c>
      <c r="C126" s="3219">
        <v>12960</v>
      </c>
      <c r="D126" s="3219">
        <v>12890</v>
      </c>
      <c r="E126" s="3219">
        <v>15530</v>
      </c>
      <c r="F126" s="3219">
        <v>2910</v>
      </c>
      <c r="G126" s="3227">
        <v>8520</v>
      </c>
    </row>
    <row r="127" spans="1:7" s="3201" customFormat="1" ht="14.25" customHeight="1">
      <c r="A127" s="3217" t="s">
        <v>29</v>
      </c>
      <c r="B127" s="3208" t="s">
        <v>3063</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3064</v>
      </c>
      <c r="C148" s="3212">
        <v>10370</v>
      </c>
      <c r="D148" s="3212">
        <v>10310</v>
      </c>
      <c r="E148" s="3212">
        <v>12970</v>
      </c>
      <c r="F148" s="3212"/>
      <c r="G148" s="3212">
        <v>6630</v>
      </c>
    </row>
    <row r="149" spans="1:7" s="3201" customFormat="1" ht="14.25" customHeight="1">
      <c r="A149" s="3212" t="s">
        <v>29</v>
      </c>
      <c r="B149" s="3212" t="s">
        <v>3065</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2939</v>
      </c>
      <c r="C153" s="3212">
        <v>10880</v>
      </c>
      <c r="D153" s="3212">
        <v>10820</v>
      </c>
      <c r="E153" s="3212">
        <v>13660</v>
      </c>
      <c r="F153" s="3212">
        <v>2260</v>
      </c>
      <c r="G153" s="3212">
        <v>6970</v>
      </c>
    </row>
    <row r="154" spans="1:7" s="3201" customFormat="1" ht="14.25" customHeight="1">
      <c r="A154" s="3212" t="s">
        <v>29</v>
      </c>
      <c r="B154" s="3212" t="s">
        <v>3066</v>
      </c>
      <c r="C154" s="3212">
        <v>11220</v>
      </c>
      <c r="D154" s="3212">
        <v>11160</v>
      </c>
      <c r="E154" s="3212">
        <v>14130</v>
      </c>
      <c r="F154" s="3212">
        <v>2230</v>
      </c>
      <c r="G154" s="3212">
        <v>7180</v>
      </c>
    </row>
    <row r="155" spans="1:7" s="3201" customFormat="1" ht="14.25" customHeight="1">
      <c r="A155" s="3212" t="s">
        <v>29</v>
      </c>
      <c r="B155" s="3212" t="s">
        <v>2952</v>
      </c>
      <c r="C155" s="3212">
        <v>10430</v>
      </c>
      <c r="D155" s="3212">
        <v>10380</v>
      </c>
      <c r="E155" s="3212">
        <v>13140</v>
      </c>
      <c r="F155" s="3212">
        <v>2080</v>
      </c>
      <c r="G155" s="3212">
        <v>6650</v>
      </c>
    </row>
    <row r="156" spans="1:7" s="3201" customFormat="1" ht="14.25" customHeight="1">
      <c r="A156" s="3212" t="s">
        <v>29</v>
      </c>
      <c r="B156" s="3212" t="s">
        <v>3067</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3068</v>
      </c>
      <c r="C160" s="3212">
        <v>11180</v>
      </c>
      <c r="D160" s="3212">
        <v>11140</v>
      </c>
      <c r="E160" s="3212">
        <v>14050</v>
      </c>
      <c r="F160" s="3212">
        <v>2270</v>
      </c>
      <c r="G160" s="3212">
        <v>7170</v>
      </c>
    </row>
    <row r="161" spans="1:7" s="3201" customFormat="1" ht="14.25" customHeight="1">
      <c r="A161" s="3212" t="s">
        <v>29</v>
      </c>
      <c r="B161" s="3212" t="s">
        <v>2984</v>
      </c>
      <c r="C161" s="3212">
        <v>11160</v>
      </c>
      <c r="D161" s="3212">
        <v>11120</v>
      </c>
      <c r="E161" s="3212">
        <v>14020</v>
      </c>
      <c r="F161" s="3212">
        <v>2150</v>
      </c>
      <c r="G161" s="3212">
        <v>7160</v>
      </c>
    </row>
    <row r="162" spans="1:7" s="3201" customFormat="1" ht="14.25" customHeight="1">
      <c r="A162" s="3212" t="s">
        <v>29</v>
      </c>
      <c r="B162" s="3212" t="s">
        <v>2989</v>
      </c>
      <c r="C162" s="3212">
        <v>9620</v>
      </c>
      <c r="D162" s="3212">
        <v>9570</v>
      </c>
      <c r="E162" s="3212">
        <v>12320</v>
      </c>
      <c r="F162" s="3212">
        <v>2010</v>
      </c>
      <c r="G162" s="3212">
        <v>6160</v>
      </c>
    </row>
    <row r="163" spans="1:7" s="3201" customFormat="1" ht="14.25" customHeight="1">
      <c r="A163" s="3212" t="s">
        <v>29</v>
      </c>
      <c r="B163" s="3212" t="s">
        <v>2994</v>
      </c>
      <c r="C163" s="3212">
        <v>9320</v>
      </c>
      <c r="D163" s="3212">
        <v>9270</v>
      </c>
      <c r="E163" s="3212">
        <v>11790</v>
      </c>
      <c r="F163" s="3212">
        <v>1920</v>
      </c>
      <c r="G163" s="3212">
        <v>5960</v>
      </c>
    </row>
    <row r="164" spans="1:7" s="3201" customFormat="1" ht="14.25" customHeight="1">
      <c r="A164" s="3212" t="s">
        <v>29</v>
      </c>
      <c r="B164" s="3212" t="s">
        <v>2999</v>
      </c>
      <c r="C164" s="3212"/>
      <c r="D164" s="3212"/>
      <c r="E164" s="3212"/>
      <c r="F164" s="3212">
        <v>1980</v>
      </c>
      <c r="G164" s="3212"/>
    </row>
    <row r="165" spans="1:7" s="3201" customFormat="1" ht="14.25" customHeight="1">
      <c r="A165" s="3212" t="s">
        <v>29</v>
      </c>
      <c r="B165" s="3212" t="s">
        <v>3069</v>
      </c>
      <c r="C165" s="3212">
        <v>11060</v>
      </c>
      <c r="D165" s="3212">
        <v>11030</v>
      </c>
      <c r="E165" s="3212">
        <v>13850</v>
      </c>
      <c r="F165" s="3212">
        <v>2170</v>
      </c>
      <c r="G165" s="3212">
        <v>7090</v>
      </c>
    </row>
    <row r="166" spans="1:7" s="3201" customFormat="1" ht="14.25" customHeight="1">
      <c r="A166" s="3212" t="s">
        <v>29</v>
      </c>
      <c r="B166" s="3212" t="s">
        <v>3009</v>
      </c>
      <c r="C166" s="3212">
        <v>11050</v>
      </c>
      <c r="D166" s="3212">
        <v>11010</v>
      </c>
      <c r="E166" s="3212">
        <v>13920</v>
      </c>
      <c r="F166" s="3212">
        <v>2140</v>
      </c>
      <c r="G166" s="3212">
        <v>7080</v>
      </c>
    </row>
    <row r="167" spans="1:7" s="3201" customFormat="1" ht="14.25" customHeight="1">
      <c r="A167" s="3212" t="s">
        <v>29</v>
      </c>
      <c r="B167" s="3212" t="s">
        <v>3013</v>
      </c>
      <c r="C167" s="3212">
        <v>10930</v>
      </c>
      <c r="D167" s="3212">
        <v>10890</v>
      </c>
      <c r="E167" s="3212">
        <v>13790</v>
      </c>
      <c r="F167" s="3212">
        <v>2010</v>
      </c>
      <c r="G167" s="3212">
        <v>7000</v>
      </c>
    </row>
    <row r="168" spans="1:7" s="3201" customFormat="1" ht="14.25" customHeight="1">
      <c r="A168" s="3212" t="s">
        <v>29</v>
      </c>
      <c r="B168" s="3212" t="s">
        <v>3018</v>
      </c>
      <c r="C168" s="3212">
        <v>9420</v>
      </c>
      <c r="D168" s="3212">
        <v>9380</v>
      </c>
      <c r="E168" s="3212">
        <v>11970</v>
      </c>
      <c r="F168" s="3212"/>
      <c r="G168" s="3212">
        <v>6040</v>
      </c>
    </row>
    <row r="169" spans="1:7" s="3201" customFormat="1" ht="14.25" customHeight="1">
      <c r="A169" s="3212" t="s">
        <v>29</v>
      </c>
      <c r="B169" s="3212" t="s">
        <v>3070</v>
      </c>
      <c r="C169" s="3212"/>
      <c r="D169" s="3212"/>
      <c r="E169" s="3212"/>
      <c r="F169" s="3212">
        <v>2880</v>
      </c>
      <c r="G169" s="3212"/>
    </row>
    <row r="170" spans="1:7" s="3201" customFormat="1" ht="14.25" customHeight="1">
      <c r="A170" s="3212" t="s">
        <v>29</v>
      </c>
      <c r="B170" s="3212" t="s">
        <v>3026</v>
      </c>
      <c r="C170" s="3212"/>
      <c r="D170" s="3212"/>
      <c r="E170" s="3212"/>
      <c r="F170" s="3212">
        <v>2880</v>
      </c>
      <c r="G170" s="3212"/>
    </row>
    <row r="171" spans="1:7" s="3201" customFormat="1" ht="14.25" customHeight="1">
      <c r="A171" s="3212" t="s">
        <v>29</v>
      </c>
      <c r="B171" s="3212" t="s">
        <v>3029</v>
      </c>
      <c r="C171" s="3212"/>
      <c r="D171" s="3212"/>
      <c r="E171" s="3212"/>
      <c r="F171" s="3212">
        <v>2880</v>
      </c>
      <c r="G171" s="3212"/>
    </row>
    <row r="172" spans="1:7" s="3201" customFormat="1" ht="14.25" customHeight="1">
      <c r="A172" s="3212" t="s">
        <v>29</v>
      </c>
      <c r="B172" s="3212" t="s">
        <v>3031</v>
      </c>
      <c r="C172" s="3212"/>
      <c r="D172" s="3212"/>
      <c r="E172" s="3212"/>
      <c r="F172" s="3212">
        <v>2880</v>
      </c>
      <c r="G172" s="3212"/>
    </row>
    <row r="173" spans="1:7" s="3201" customFormat="1" ht="14.25" customHeight="1">
      <c r="A173" s="3212" t="s">
        <v>29</v>
      </c>
      <c r="B173" s="3212" t="s">
        <v>3033</v>
      </c>
      <c r="C173" s="3212"/>
      <c r="D173" s="3212"/>
      <c r="E173" s="3212"/>
      <c r="F173" s="3212">
        <v>2150</v>
      </c>
      <c r="G173" s="3212"/>
    </row>
    <row r="174" spans="1:7" s="3201" customFormat="1" ht="14.25" customHeight="1">
      <c r="A174" s="3212" t="s">
        <v>29</v>
      </c>
      <c r="B174" s="3212" t="s">
        <v>3035</v>
      </c>
      <c r="C174" s="3212"/>
      <c r="D174" s="3212"/>
      <c r="E174" s="3212"/>
      <c r="F174" s="3212">
        <v>2030</v>
      </c>
      <c r="G174" s="3212"/>
    </row>
    <row r="175" spans="1:7" s="3201" customFormat="1" ht="14.25" customHeight="1">
      <c r="A175" s="3212" t="s">
        <v>29</v>
      </c>
      <c r="B175" s="3212" t="s">
        <v>3037</v>
      </c>
      <c r="C175" s="3212"/>
      <c r="D175" s="3212"/>
      <c r="E175" s="3212"/>
      <c r="F175" s="3212">
        <v>2780</v>
      </c>
      <c r="G175" s="3212"/>
    </row>
    <row r="176" spans="1:7" s="3201" customFormat="1" ht="14.25" customHeight="1">
      <c r="A176" s="3212" t="s">
        <v>29</v>
      </c>
      <c r="B176" s="3212" t="s">
        <v>3039</v>
      </c>
      <c r="C176" s="3212"/>
      <c r="D176" s="3212"/>
      <c r="E176" s="3212"/>
      <c r="F176" s="3212">
        <v>2780</v>
      </c>
      <c r="G176" s="3212"/>
    </row>
    <row r="177" spans="1:7" s="3201" customFormat="1" ht="14.25" customHeight="1">
      <c r="A177" s="3212" t="s">
        <v>29</v>
      </c>
      <c r="B177" s="3212" t="s">
        <v>3071</v>
      </c>
      <c r="C177" s="3212"/>
      <c r="D177" s="3212"/>
      <c r="E177" s="3212"/>
      <c r="F177" s="3212">
        <v>2780</v>
      </c>
      <c r="G177" s="3212"/>
    </row>
    <row r="178" spans="1:7" s="3201" customFormat="1" ht="14.25" customHeight="1">
      <c r="A178" s="3212" t="s">
        <v>29</v>
      </c>
      <c r="B178" s="3212" t="s">
        <v>3072</v>
      </c>
      <c r="C178" s="3212"/>
      <c r="D178" s="3212"/>
      <c r="E178" s="3212"/>
      <c r="F178" s="3212">
        <v>2060</v>
      </c>
      <c r="G178" s="3212"/>
    </row>
    <row r="179" spans="1:7" s="3201" customFormat="1" ht="14.25" customHeight="1">
      <c r="A179" s="3212" t="s">
        <v>29</v>
      </c>
      <c r="B179" s="3212" t="s">
        <v>3073</v>
      </c>
      <c r="C179" s="3212"/>
      <c r="D179" s="3212"/>
      <c r="E179" s="3212"/>
      <c r="F179" s="3212">
        <v>2120</v>
      </c>
      <c r="G179" s="3212"/>
    </row>
    <row r="180" spans="1:7" s="3201" customFormat="1" ht="14.25" customHeight="1">
      <c r="A180" s="3212" t="s">
        <v>29</v>
      </c>
      <c r="B180" s="3212" t="s">
        <v>3045</v>
      </c>
      <c r="C180" s="3212"/>
      <c r="D180" s="3212"/>
      <c r="E180" s="3212"/>
      <c r="F180" s="3212">
        <v>2340</v>
      </c>
      <c r="G180" s="3212"/>
    </row>
    <row r="181" spans="1:7" s="3201" customFormat="1" ht="14.25" customHeight="1">
      <c r="A181" s="3212" t="s">
        <v>29</v>
      </c>
      <c r="B181" s="3212" t="s">
        <v>3046</v>
      </c>
      <c r="C181" s="3212"/>
      <c r="D181" s="3212"/>
      <c r="E181" s="3212"/>
      <c r="F181" s="3212">
        <v>2340</v>
      </c>
      <c r="G181" s="3212"/>
    </row>
    <row r="182" spans="1:7" s="3201" customFormat="1" ht="14.25" customHeight="1">
      <c r="A182" s="3212" t="s">
        <v>29</v>
      </c>
      <c r="B182" s="3212" t="s">
        <v>3047</v>
      </c>
      <c r="C182" s="3212"/>
      <c r="D182" s="3212"/>
      <c r="E182" s="3212"/>
      <c r="F182" s="3212">
        <v>2340</v>
      </c>
      <c r="G182" s="3212"/>
    </row>
    <row r="183" spans="1:7" s="3201" customFormat="1" ht="14.25" customHeight="1">
      <c r="A183" s="3212" t="s">
        <v>29</v>
      </c>
      <c r="B183" s="3212" t="s">
        <v>3048</v>
      </c>
      <c r="C183" s="3212"/>
      <c r="D183" s="3212"/>
      <c r="E183" s="3212"/>
      <c r="F183" s="3212">
        <v>2340</v>
      </c>
      <c r="G183" s="3212"/>
    </row>
    <row r="184" spans="1:7" s="3201" customFormat="1" ht="14.25" customHeight="1">
      <c r="A184" s="3212" t="s">
        <v>29</v>
      </c>
      <c r="B184" s="3212" t="s">
        <v>3049</v>
      </c>
      <c r="C184" s="3212"/>
      <c r="D184" s="3212"/>
      <c r="E184" s="3212"/>
      <c r="F184" s="3212">
        <v>2340</v>
      </c>
      <c r="G184" s="3212"/>
    </row>
    <row r="185" spans="1:7" s="3201" customFormat="1" ht="14.25" customHeight="1">
      <c r="A185" s="3212" t="s">
        <v>29</v>
      </c>
      <c r="B185" s="3212" t="s">
        <v>3050</v>
      </c>
      <c r="C185" s="3212"/>
      <c r="D185" s="3212"/>
      <c r="E185" s="3212"/>
      <c r="F185" s="3212">
        <v>2530</v>
      </c>
      <c r="G185" s="3212"/>
    </row>
    <row r="186" spans="1:7" s="3201" customFormat="1" ht="14.25" customHeight="1">
      <c r="A186" s="3212" t="s">
        <v>29</v>
      </c>
      <c r="B186" s="3212" t="s">
        <v>3051</v>
      </c>
      <c r="C186" s="3212"/>
      <c r="D186" s="3212"/>
      <c r="E186" s="3212"/>
      <c r="F186" s="3212">
        <v>2550</v>
      </c>
      <c r="G186" s="3212"/>
    </row>
    <row r="187" spans="1:7" s="3201" customFormat="1" ht="14.25" customHeight="1">
      <c r="A187" s="3212" t="s">
        <v>29</v>
      </c>
      <c r="B187" s="3212" t="s">
        <v>3052</v>
      </c>
      <c r="C187" s="3212"/>
      <c r="D187" s="3212"/>
      <c r="E187" s="3212"/>
      <c r="F187" s="3212">
        <v>2070</v>
      </c>
      <c r="G187" s="3212"/>
    </row>
    <row r="188" spans="1:7" s="3201" customFormat="1" ht="14.25" customHeight="1">
      <c r="A188" s="3212" t="s">
        <v>29</v>
      </c>
      <c r="B188" s="3212" t="s">
        <v>3053</v>
      </c>
      <c r="C188" s="3212"/>
      <c r="D188" s="3212"/>
      <c r="E188" s="3212"/>
      <c r="F188" s="3212">
        <v>2340</v>
      </c>
      <c r="G188" s="3212"/>
    </row>
    <row r="189" spans="1:7" s="3201" customFormat="1" ht="14.25" customHeight="1" thickBot="1">
      <c r="A189" s="3220" t="s">
        <v>29</v>
      </c>
      <c r="B189" s="3223" t="s">
        <v>3054</v>
      </c>
      <c r="C189" s="3223"/>
      <c r="D189" s="3223"/>
      <c r="E189" s="3223"/>
      <c r="F189" s="3223">
        <v>2050</v>
      </c>
      <c r="G189" s="3223"/>
    </row>
    <row r="190" spans="1:7" s="3201" customFormat="1" ht="14.25" customHeight="1">
      <c r="A190" s="3217" t="s">
        <v>304</v>
      </c>
      <c r="B190" s="3208" t="s">
        <v>3074</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3075</v>
      </c>
      <c r="C199" s="3212">
        <v>8690</v>
      </c>
      <c r="D199" s="3212">
        <v>8630</v>
      </c>
      <c r="E199" s="3212">
        <v>11350</v>
      </c>
      <c r="F199" s="3212">
        <v>1600</v>
      </c>
      <c r="G199" s="3225">
        <v>5450</v>
      </c>
    </row>
    <row r="200" spans="1:7" s="3201" customFormat="1" ht="14.25" customHeight="1">
      <c r="A200" s="3212" t="s">
        <v>304</v>
      </c>
      <c r="B200" s="3212" t="s">
        <v>2886</v>
      </c>
      <c r="C200" s="3212"/>
      <c r="D200" s="3212"/>
      <c r="E200" s="3212"/>
      <c r="F200" s="3212">
        <v>1510</v>
      </c>
      <c r="G200" s="3225"/>
    </row>
    <row r="201" spans="1:7" s="3201" customFormat="1" ht="14.25" customHeight="1">
      <c r="A201" s="3212" t="s">
        <v>304</v>
      </c>
      <c r="B201" s="3212" t="s">
        <v>3076</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3077</v>
      </c>
      <c r="C203" s="3212">
        <v>8130</v>
      </c>
      <c r="D203" s="3212">
        <v>8070</v>
      </c>
      <c r="E203" s="3212">
        <v>10820</v>
      </c>
      <c r="F203" s="3212">
        <v>1690</v>
      </c>
      <c r="G203" s="3225">
        <v>5100</v>
      </c>
    </row>
    <row r="204" spans="1:7" s="3201" customFormat="1" ht="14.25" customHeight="1">
      <c r="A204" s="3212" t="s">
        <v>304</v>
      </c>
      <c r="B204" s="3212" t="s">
        <v>2897</v>
      </c>
      <c r="C204" s="3212">
        <v>8350</v>
      </c>
      <c r="D204" s="3212">
        <v>8290</v>
      </c>
      <c r="E204" s="3212">
        <v>11080</v>
      </c>
      <c r="F204" s="3212">
        <v>1450</v>
      </c>
      <c r="G204" s="3225">
        <v>5240</v>
      </c>
    </row>
    <row r="205" spans="1:7" s="3201" customFormat="1" ht="14.25" customHeight="1">
      <c r="A205" s="3212" t="s">
        <v>304</v>
      </c>
      <c r="B205" s="3212" t="s">
        <v>2899</v>
      </c>
      <c r="C205" s="3212">
        <v>7190</v>
      </c>
      <c r="D205" s="3212">
        <v>7130</v>
      </c>
      <c r="E205" s="3212">
        <v>9490</v>
      </c>
      <c r="F205" s="3212">
        <v>1470</v>
      </c>
      <c r="G205" s="3225">
        <v>4510</v>
      </c>
    </row>
    <row r="206" spans="1:7" s="3201" customFormat="1" ht="14.25" customHeight="1">
      <c r="A206" s="3212" t="s">
        <v>304</v>
      </c>
      <c r="B206" s="3212" t="s">
        <v>2902</v>
      </c>
      <c r="C206" s="3212">
        <v>7000</v>
      </c>
      <c r="D206" s="3212">
        <v>6950</v>
      </c>
      <c r="E206" s="3212">
        <v>9170</v>
      </c>
      <c r="F206" s="3212">
        <v>1400</v>
      </c>
      <c r="G206" s="3225">
        <v>4380</v>
      </c>
    </row>
    <row r="207" spans="1:7" s="3201" customFormat="1" ht="14.25" customHeight="1">
      <c r="A207" s="3212" t="s">
        <v>304</v>
      </c>
      <c r="B207" s="3212" t="s">
        <v>2904</v>
      </c>
      <c r="C207" s="3212">
        <v>6950</v>
      </c>
      <c r="D207" s="3212">
        <v>6900</v>
      </c>
      <c r="E207" s="3212">
        <v>9110</v>
      </c>
      <c r="F207" s="3212">
        <v>1790</v>
      </c>
      <c r="G207" s="3225">
        <v>4360</v>
      </c>
    </row>
    <row r="208" spans="1:7" s="3201" customFormat="1" ht="14.25" customHeight="1">
      <c r="A208" s="3212" t="s">
        <v>304</v>
      </c>
      <c r="B208" s="3212" t="s">
        <v>3078</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2914</v>
      </c>
      <c r="C210" s="3212">
        <v>8710</v>
      </c>
      <c r="D210" s="3212">
        <v>8660</v>
      </c>
      <c r="E210" s="3212">
        <v>11440</v>
      </c>
      <c r="F210" s="3212">
        <v>1740</v>
      </c>
      <c r="G210" s="3225">
        <v>5470</v>
      </c>
    </row>
    <row r="211" spans="1:7" s="3201" customFormat="1" ht="14.25" customHeight="1">
      <c r="A211" s="3212" t="s">
        <v>304</v>
      </c>
      <c r="B211" s="3212" t="s">
        <v>3079</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3080</v>
      </c>
      <c r="C214" s="3212">
        <v>8090</v>
      </c>
      <c r="D214" s="3212">
        <v>8030</v>
      </c>
      <c r="E214" s="3212">
        <v>10780</v>
      </c>
      <c r="F214" s="3212">
        <v>1570</v>
      </c>
      <c r="G214" s="3225">
        <v>5070</v>
      </c>
    </row>
    <row r="215" spans="1:7" s="3201" customFormat="1" ht="14.25" customHeight="1">
      <c r="A215" s="3212" t="s">
        <v>304</v>
      </c>
      <c r="B215" s="3212" t="s">
        <v>3081</v>
      </c>
      <c r="C215" s="3212">
        <v>7950</v>
      </c>
      <c r="D215" s="3212">
        <v>7900</v>
      </c>
      <c r="E215" s="3212">
        <v>10560</v>
      </c>
      <c r="F215" s="3212">
        <v>1630</v>
      </c>
      <c r="G215" s="3225">
        <v>4990</v>
      </c>
    </row>
    <row r="216" spans="1:7" s="3201" customFormat="1" ht="14.25" customHeight="1">
      <c r="A216" s="3212" t="s">
        <v>304</v>
      </c>
      <c r="B216" s="3212" t="s">
        <v>3082</v>
      </c>
      <c r="C216" s="3212">
        <v>8490</v>
      </c>
      <c r="D216" s="3212">
        <v>8440</v>
      </c>
      <c r="E216" s="3212">
        <v>11260</v>
      </c>
      <c r="F216" s="3212">
        <v>1690</v>
      </c>
      <c r="G216" s="3225">
        <v>5330</v>
      </c>
    </row>
    <row r="217" spans="1:7" s="3201" customFormat="1" ht="14.25" customHeight="1">
      <c r="A217" s="3212" t="s">
        <v>304</v>
      </c>
      <c r="B217" s="3212" t="s">
        <v>2947</v>
      </c>
      <c r="C217" s="3212">
        <v>8200</v>
      </c>
      <c r="D217" s="3212">
        <v>8150</v>
      </c>
      <c r="E217" s="3212">
        <v>10910</v>
      </c>
      <c r="F217" s="3212">
        <v>1670</v>
      </c>
      <c r="G217" s="3225">
        <v>5150</v>
      </c>
    </row>
    <row r="218" spans="1:7" s="3201" customFormat="1" ht="14.25" customHeight="1">
      <c r="A218" s="3212" t="s">
        <v>304</v>
      </c>
      <c r="B218" s="3212" t="s">
        <v>3083</v>
      </c>
      <c r="C218" s="3212"/>
      <c r="D218" s="3212"/>
      <c r="E218" s="3212"/>
      <c r="F218" s="3212">
        <v>2040</v>
      </c>
      <c r="G218" s="3225"/>
    </row>
    <row r="219" spans="1:7" s="3201" customFormat="1" ht="14.25" customHeight="1">
      <c r="A219" s="3212" t="s">
        <v>304</v>
      </c>
      <c r="B219" s="3212" t="s">
        <v>3084</v>
      </c>
      <c r="C219" s="3212"/>
      <c r="D219" s="3212"/>
      <c r="E219" s="3212"/>
      <c r="F219" s="3212">
        <v>2040</v>
      </c>
      <c r="G219" s="3225"/>
    </row>
    <row r="220" spans="1:7" s="3201" customFormat="1" ht="14.25" customHeight="1">
      <c r="A220" s="3212" t="s">
        <v>304</v>
      </c>
      <c r="B220" s="3212" t="s">
        <v>3085</v>
      </c>
      <c r="C220" s="3212"/>
      <c r="D220" s="3212"/>
      <c r="E220" s="3212"/>
      <c r="F220" s="3212">
        <v>2040</v>
      </c>
      <c r="G220" s="3225"/>
    </row>
    <row r="221" spans="1:7" s="3201" customFormat="1" ht="14.25" customHeight="1">
      <c r="A221" s="3212" t="s">
        <v>304</v>
      </c>
      <c r="B221" s="3212" t="s">
        <v>3086</v>
      </c>
      <c r="C221" s="3212"/>
      <c r="D221" s="3212"/>
      <c r="E221" s="3212"/>
      <c r="F221" s="3212">
        <v>2040</v>
      </c>
      <c r="G221" s="3225"/>
    </row>
    <row r="222" spans="1:7" s="3201" customFormat="1" ht="14.25" customHeight="1">
      <c r="A222" s="3212" t="s">
        <v>304</v>
      </c>
      <c r="B222" s="3212" t="s">
        <v>3087</v>
      </c>
      <c r="C222" s="3212"/>
      <c r="D222" s="3212"/>
      <c r="E222" s="3212"/>
      <c r="F222" s="3212">
        <v>2040</v>
      </c>
      <c r="G222" s="3225"/>
    </row>
    <row r="223" spans="1:7" s="3201" customFormat="1" ht="14.25" customHeight="1">
      <c r="A223" s="3212" t="s">
        <v>304</v>
      </c>
      <c r="B223" s="3212" t="s">
        <v>3088</v>
      </c>
      <c r="C223" s="3212"/>
      <c r="D223" s="3212"/>
      <c r="E223" s="3212"/>
      <c r="F223" s="3212">
        <v>1930</v>
      </c>
      <c r="G223" s="3225"/>
    </row>
    <row r="224" spans="1:7" s="3201" customFormat="1" ht="14.25" customHeight="1">
      <c r="A224" s="3212" t="s">
        <v>304</v>
      </c>
      <c r="B224" s="3212" t="s">
        <v>3089</v>
      </c>
      <c r="C224" s="3212"/>
      <c r="D224" s="3212"/>
      <c r="E224" s="3212"/>
      <c r="F224" s="3212">
        <v>1930</v>
      </c>
      <c r="G224" s="3225"/>
    </row>
    <row r="225" spans="1:7" s="3201" customFormat="1" ht="14.25" customHeight="1">
      <c r="A225" s="3212" t="s">
        <v>304</v>
      </c>
      <c r="B225" s="3212" t="s">
        <v>3090</v>
      </c>
      <c r="C225" s="3212"/>
      <c r="D225" s="3212"/>
      <c r="E225" s="3212"/>
      <c r="F225" s="3212">
        <v>1930</v>
      </c>
      <c r="G225" s="3225"/>
    </row>
    <row r="226" spans="1:7" s="3201" customFormat="1" ht="14.25" customHeight="1">
      <c r="A226" s="3212" t="s">
        <v>304</v>
      </c>
      <c r="B226" s="3212" t="s">
        <v>3091</v>
      </c>
      <c r="C226" s="3212"/>
      <c r="D226" s="3212"/>
      <c r="E226" s="3212"/>
      <c r="F226" s="3212">
        <v>1700</v>
      </c>
      <c r="G226" s="3225"/>
    </row>
    <row r="227" spans="1:7" s="3201" customFormat="1" ht="14.25" customHeight="1">
      <c r="A227" s="3212" t="s">
        <v>304</v>
      </c>
      <c r="B227" s="3212" t="s">
        <v>3092</v>
      </c>
      <c r="C227" s="3212"/>
      <c r="D227" s="3212"/>
      <c r="E227" s="3212"/>
      <c r="F227" s="3212">
        <v>1520</v>
      </c>
      <c r="G227" s="3225"/>
    </row>
    <row r="228" spans="1:7" s="3201" customFormat="1" ht="14.25" customHeight="1">
      <c r="A228" s="3212" t="s">
        <v>304</v>
      </c>
      <c r="B228" s="3212" t="s">
        <v>3093</v>
      </c>
      <c r="C228" s="3212"/>
      <c r="D228" s="3212"/>
      <c r="E228" s="3212"/>
      <c r="F228" s="3212">
        <v>1520</v>
      </c>
      <c r="G228" s="3225"/>
    </row>
    <row r="229" spans="1:7" s="3201" customFormat="1" ht="14.25" customHeight="1">
      <c r="A229" s="3212" t="s">
        <v>304</v>
      </c>
      <c r="B229" s="3212" t="s">
        <v>3010</v>
      </c>
      <c r="C229" s="3212"/>
      <c r="D229" s="3212"/>
      <c r="E229" s="3212"/>
      <c r="F229" s="3212">
        <v>1520</v>
      </c>
      <c r="G229" s="3225"/>
    </row>
    <row r="230" spans="1:7" s="3201" customFormat="1" ht="14.25" customHeight="1">
      <c r="A230" s="3212" t="s">
        <v>304</v>
      </c>
      <c r="B230" s="3212" t="s">
        <v>3094</v>
      </c>
      <c r="C230" s="3212"/>
      <c r="D230" s="3212"/>
      <c r="E230" s="3212"/>
      <c r="F230" s="3212">
        <v>1820</v>
      </c>
      <c r="G230" s="3225"/>
    </row>
    <row r="231" spans="1:7" s="3201" customFormat="1" ht="14.25" customHeight="1">
      <c r="A231" s="3212" t="s">
        <v>304</v>
      </c>
      <c r="B231" s="3212" t="s">
        <v>3095</v>
      </c>
      <c r="C231" s="3212"/>
      <c r="D231" s="3212"/>
      <c r="E231" s="3212"/>
      <c r="F231" s="3212">
        <v>1760</v>
      </c>
      <c r="G231" s="3225"/>
    </row>
    <row r="232" spans="1:7" s="3201" customFormat="1" ht="14.25" customHeight="1">
      <c r="A232" s="3212" t="s">
        <v>304</v>
      </c>
      <c r="B232" s="3212" t="s">
        <v>3096</v>
      </c>
      <c r="C232" s="3212"/>
      <c r="D232" s="3212"/>
      <c r="E232" s="3212"/>
      <c r="F232" s="3212">
        <v>1840</v>
      </c>
      <c r="G232" s="3225"/>
    </row>
    <row r="233" spans="1:7" s="3201" customFormat="1" ht="14.25" customHeight="1" thickBot="1">
      <c r="A233" s="3226" t="s">
        <v>304</v>
      </c>
      <c r="B233" s="3219" t="s">
        <v>3027</v>
      </c>
      <c r="C233" s="3219"/>
      <c r="D233" s="3219"/>
      <c r="E233" s="3219"/>
      <c r="F233" s="3219">
        <v>1770</v>
      </c>
      <c r="G233" s="3227"/>
    </row>
    <row r="234" spans="1:7" s="3201" customFormat="1" ht="14.25" customHeight="1">
      <c r="A234" s="3217" t="s">
        <v>305</v>
      </c>
      <c r="B234" s="3208" t="s">
        <v>3097</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2868</v>
      </c>
      <c r="C238" s="3212">
        <v>6920</v>
      </c>
      <c r="D238" s="3212">
        <v>6890</v>
      </c>
      <c r="E238" s="3212">
        <v>8640</v>
      </c>
      <c r="F238" s="3212">
        <v>1310</v>
      </c>
      <c r="G238" s="3212">
        <v>4230</v>
      </c>
    </row>
    <row r="239" spans="1:7" s="3201" customFormat="1" ht="14.25" customHeight="1">
      <c r="A239" s="3212" t="s">
        <v>305</v>
      </c>
      <c r="B239" s="3212" t="s">
        <v>3098</v>
      </c>
      <c r="C239" s="3212">
        <v>6780</v>
      </c>
      <c r="D239" s="3212">
        <v>6750</v>
      </c>
      <c r="E239" s="3212">
        <v>8440</v>
      </c>
      <c r="F239" s="3212">
        <v>1160</v>
      </c>
      <c r="G239" s="3212">
        <v>4140</v>
      </c>
    </row>
    <row r="240" spans="1:7" s="3201" customFormat="1" ht="14.25" customHeight="1">
      <c r="A240" s="3212" t="s">
        <v>305</v>
      </c>
      <c r="B240" s="3212" t="s">
        <v>3099</v>
      </c>
      <c r="C240" s="3212">
        <v>5420</v>
      </c>
      <c r="D240" s="3212">
        <v>5380</v>
      </c>
      <c r="E240" s="3212">
        <v>6640</v>
      </c>
      <c r="F240" s="3212">
        <v>1020</v>
      </c>
      <c r="G240" s="3212">
        <v>3300</v>
      </c>
    </row>
    <row r="241" spans="1:7" s="3201" customFormat="1" ht="14.25" customHeight="1">
      <c r="A241" s="3212" t="s">
        <v>305</v>
      </c>
      <c r="B241" s="3212" t="s">
        <v>3100</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3101</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3102</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3103</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3104</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3105</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2930</v>
      </c>
      <c r="C258" s="3212">
        <v>6190</v>
      </c>
      <c r="D258" s="3212">
        <v>6160</v>
      </c>
      <c r="E258" s="3212">
        <v>7680</v>
      </c>
      <c r="F258" s="3212">
        <v>1170</v>
      </c>
      <c r="G258" s="3212">
        <v>3780</v>
      </c>
    </row>
    <row r="259" spans="1:7" s="3201" customFormat="1" ht="14.25" customHeight="1">
      <c r="A259" s="3212" t="s">
        <v>305</v>
      </c>
      <c r="B259" s="3212" t="s">
        <v>3106</v>
      </c>
      <c r="C259" s="3212">
        <v>7610</v>
      </c>
      <c r="D259" s="3212">
        <v>7570</v>
      </c>
      <c r="E259" s="3212">
        <v>9350</v>
      </c>
      <c r="F259" s="3212">
        <v>1350</v>
      </c>
      <c r="G259" s="3212">
        <v>4650</v>
      </c>
    </row>
    <row r="260" spans="1:7" s="3201" customFormat="1" ht="14.25" customHeight="1">
      <c r="A260" s="3212" t="s">
        <v>305</v>
      </c>
      <c r="B260" s="3212" t="s">
        <v>3107</v>
      </c>
      <c r="C260" s="3212">
        <v>6920</v>
      </c>
      <c r="D260" s="3212">
        <v>6880</v>
      </c>
      <c r="E260" s="3212">
        <v>8380</v>
      </c>
      <c r="F260" s="3212">
        <v>1160</v>
      </c>
      <c r="G260" s="3212">
        <v>4220</v>
      </c>
    </row>
    <row r="261" spans="1:7" s="3201" customFormat="1" ht="14.25" customHeight="1">
      <c r="A261" s="3212" t="s">
        <v>305</v>
      </c>
      <c r="B261" s="3212" t="s">
        <v>3108</v>
      </c>
      <c r="C261" s="3212">
        <v>6850</v>
      </c>
      <c r="D261" s="3212">
        <v>6810</v>
      </c>
      <c r="E261" s="3212">
        <v>8290</v>
      </c>
      <c r="F261" s="3212">
        <v>1130</v>
      </c>
      <c r="G261" s="3212">
        <v>4180</v>
      </c>
    </row>
    <row r="262" spans="1:7" s="3201" customFormat="1" ht="14.25" customHeight="1">
      <c r="A262" s="3212" t="s">
        <v>305</v>
      </c>
      <c r="B262" s="3212" t="s">
        <v>3109</v>
      </c>
      <c r="C262" s="3212">
        <v>5860</v>
      </c>
      <c r="D262" s="3212">
        <v>5820</v>
      </c>
      <c r="E262" s="3212">
        <v>7640</v>
      </c>
      <c r="F262" s="3212">
        <v>1070</v>
      </c>
      <c r="G262" s="3212">
        <v>3570</v>
      </c>
    </row>
    <row r="263" spans="1:7" s="3201" customFormat="1" ht="14.25" customHeight="1">
      <c r="A263" s="3212" t="s">
        <v>305</v>
      </c>
      <c r="B263" s="3212" t="s">
        <v>3110</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3111</v>
      </c>
      <c r="C265" s="3212"/>
      <c r="D265" s="3212"/>
      <c r="E265" s="3212"/>
      <c r="F265" s="3212">
        <v>1500</v>
      </c>
      <c r="G265" s="3212"/>
    </row>
    <row r="266" spans="1:7" s="3201" customFormat="1" ht="14.25" customHeight="1">
      <c r="A266" s="3212" t="s">
        <v>305</v>
      </c>
      <c r="B266" s="3212" t="s">
        <v>3112</v>
      </c>
      <c r="C266" s="3212"/>
      <c r="D266" s="3212"/>
      <c r="E266" s="3212"/>
      <c r="F266" s="3212">
        <v>1500</v>
      </c>
      <c r="G266" s="3212"/>
    </row>
    <row r="267" spans="1:7" s="3201" customFormat="1" ht="14.25" customHeight="1">
      <c r="A267" s="3212" t="s">
        <v>305</v>
      </c>
      <c r="B267" s="3212" t="s">
        <v>3113</v>
      </c>
      <c r="C267" s="3212"/>
      <c r="D267" s="3212"/>
      <c r="E267" s="3212"/>
      <c r="F267" s="3212">
        <v>1500</v>
      </c>
      <c r="G267" s="3212"/>
    </row>
    <row r="268" spans="1:7" s="3201" customFormat="1" ht="14.25" customHeight="1">
      <c r="A268" s="3212" t="s">
        <v>305</v>
      </c>
      <c r="B268" s="3212" t="s">
        <v>3114</v>
      </c>
      <c r="C268" s="3212"/>
      <c r="D268" s="3212"/>
      <c r="E268" s="3212"/>
      <c r="F268" s="3212">
        <v>1290</v>
      </c>
      <c r="G268" s="3212"/>
    </row>
    <row r="269" spans="1:7" s="3201" customFormat="1" ht="14.25" customHeight="1">
      <c r="A269" s="3212" t="s">
        <v>305</v>
      </c>
      <c r="B269" s="3212" t="s">
        <v>3115</v>
      </c>
      <c r="C269" s="3212"/>
      <c r="D269" s="3212"/>
      <c r="E269" s="3212"/>
      <c r="F269" s="3212">
        <v>1150</v>
      </c>
      <c r="G269" s="3212"/>
    </row>
    <row r="270" spans="1:7" s="3201" customFormat="1" ht="14.25" customHeight="1">
      <c r="A270" s="3212" t="s">
        <v>305</v>
      </c>
      <c r="B270" s="3212" t="s">
        <v>3116</v>
      </c>
      <c r="C270" s="3212"/>
      <c r="D270" s="3212"/>
      <c r="E270" s="3212"/>
      <c r="F270" s="3212">
        <v>1380</v>
      </c>
      <c r="G270" s="3212"/>
    </row>
    <row r="271" spans="1:7" s="3201" customFormat="1" ht="14.25" customHeight="1">
      <c r="A271" s="3212" t="s">
        <v>305</v>
      </c>
      <c r="B271" s="3212" t="s">
        <v>3117</v>
      </c>
      <c r="C271" s="3212"/>
      <c r="D271" s="3212"/>
      <c r="E271" s="3212"/>
      <c r="F271" s="3212">
        <v>1460</v>
      </c>
      <c r="G271" s="3212"/>
    </row>
    <row r="272" spans="1:7" s="3201" customFormat="1" ht="14.25" customHeight="1">
      <c r="A272" s="3212" t="s">
        <v>305</v>
      </c>
      <c r="B272" s="3212" t="s">
        <v>3118</v>
      </c>
      <c r="C272" s="3212"/>
      <c r="D272" s="3212"/>
      <c r="E272" s="3212"/>
      <c r="F272" s="3212">
        <v>1460</v>
      </c>
      <c r="G272" s="3212"/>
    </row>
    <row r="273" spans="1:7" s="3201" customFormat="1" ht="14.25" customHeight="1">
      <c r="A273" s="3212" t="s">
        <v>305</v>
      </c>
      <c r="B273" s="3212" t="s">
        <v>3011</v>
      </c>
      <c r="C273" s="3212"/>
      <c r="D273" s="3212"/>
      <c r="E273" s="3212"/>
      <c r="F273" s="3212">
        <v>1490</v>
      </c>
      <c r="G273" s="3212"/>
    </row>
    <row r="274" spans="1:7" s="3201" customFormat="1" ht="14.25" customHeight="1">
      <c r="A274" s="3212" t="s">
        <v>305</v>
      </c>
      <c r="B274" s="3212" t="s">
        <v>3119</v>
      </c>
      <c r="C274" s="3212"/>
      <c r="D274" s="3212"/>
      <c r="E274" s="3212"/>
      <c r="F274" s="3212">
        <v>1490</v>
      </c>
      <c r="G274" s="3212"/>
    </row>
    <row r="275" spans="1:7" s="3201" customFormat="1" ht="14.25" customHeight="1">
      <c r="A275" s="3212" t="s">
        <v>305</v>
      </c>
      <c r="B275" s="3212" t="s">
        <v>3120</v>
      </c>
      <c r="C275" s="3212"/>
      <c r="D275" s="3212"/>
      <c r="E275" s="3212"/>
      <c r="F275" s="3212">
        <v>1220</v>
      </c>
      <c r="G275" s="3212"/>
    </row>
    <row r="276" spans="1:7" s="3201" customFormat="1" ht="14.25" customHeight="1" thickBot="1">
      <c r="A276" s="3220" t="s">
        <v>305</v>
      </c>
      <c r="B276" s="3222" t="s">
        <v>3121</v>
      </c>
      <c r="C276" s="3223"/>
      <c r="D276" s="3223"/>
      <c r="E276" s="3223"/>
      <c r="F276" s="3223">
        <v>1380</v>
      </c>
      <c r="G276" s="3223"/>
    </row>
    <row r="277" spans="1:7" s="3201" customFormat="1" ht="14.25" customHeight="1">
      <c r="A277" s="3217" t="s">
        <v>306</v>
      </c>
      <c r="B277" s="3208" t="s">
        <v>3122</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3123</v>
      </c>
      <c r="C279" s="3212">
        <v>4760</v>
      </c>
      <c r="D279" s="3212">
        <v>4720</v>
      </c>
      <c r="E279" s="3212">
        <v>5540</v>
      </c>
      <c r="F279" s="3212">
        <v>810</v>
      </c>
      <c r="G279" s="3225">
        <v>2850</v>
      </c>
    </row>
    <row r="280" spans="1:7" s="3201" customFormat="1" ht="14.25" customHeight="1">
      <c r="A280" s="3212" t="s">
        <v>306</v>
      </c>
      <c r="B280" s="3212" t="s">
        <v>3124</v>
      </c>
      <c r="C280" s="3212">
        <v>4010</v>
      </c>
      <c r="D280" s="3212">
        <v>3950</v>
      </c>
      <c r="E280" s="3212">
        <v>4710</v>
      </c>
      <c r="F280" s="3212">
        <v>800</v>
      </c>
      <c r="G280" s="3225">
        <v>2390</v>
      </c>
    </row>
    <row r="281" spans="1:7" s="3201" customFormat="1" ht="14.25" customHeight="1">
      <c r="A281" s="3212" t="s">
        <v>306</v>
      </c>
      <c r="B281" s="3212" t="s">
        <v>3125</v>
      </c>
      <c r="C281" s="3212">
        <v>4480</v>
      </c>
      <c r="D281" s="3212">
        <v>4420</v>
      </c>
      <c r="E281" s="3212">
        <v>5230</v>
      </c>
      <c r="F281" s="3212">
        <v>870</v>
      </c>
      <c r="G281" s="3225">
        <v>2660</v>
      </c>
    </row>
    <row r="282" spans="1:7" s="3201" customFormat="1" ht="14.25" customHeight="1">
      <c r="A282" s="3212" t="s">
        <v>306</v>
      </c>
      <c r="B282" s="3212" t="s">
        <v>3126</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3127</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3128</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2903</v>
      </c>
      <c r="C293" s="3212">
        <v>5320</v>
      </c>
      <c r="D293" s="3212">
        <v>5270</v>
      </c>
      <c r="E293" s="3212">
        <v>6160</v>
      </c>
      <c r="F293" s="3212">
        <v>990</v>
      </c>
      <c r="G293" s="3225">
        <v>3170</v>
      </c>
    </row>
    <row r="294" spans="1:7" s="3201" customFormat="1" ht="14.25" customHeight="1">
      <c r="A294" s="3212" t="s">
        <v>306</v>
      </c>
      <c r="B294" s="3212" t="s">
        <v>3129</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2922</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3130</v>
      </c>
      <c r="C302" s="3212">
        <v>5520</v>
      </c>
      <c r="D302" s="3212">
        <v>5470</v>
      </c>
      <c r="E302" s="3212">
        <v>6410</v>
      </c>
      <c r="F302" s="3212">
        <v>950</v>
      </c>
      <c r="G302" s="3225">
        <v>3300</v>
      </c>
    </row>
    <row r="303" spans="1:7" s="3201" customFormat="1" ht="14.25" customHeight="1">
      <c r="A303" s="3212" t="s">
        <v>306</v>
      </c>
      <c r="B303" s="3212" t="s">
        <v>2942</v>
      </c>
      <c r="C303" s="3212">
        <v>5630</v>
      </c>
      <c r="D303" s="3212">
        <v>5590</v>
      </c>
      <c r="E303" s="3212">
        <v>6550</v>
      </c>
      <c r="F303" s="3212">
        <v>1010</v>
      </c>
      <c r="G303" s="3225">
        <v>3370</v>
      </c>
    </row>
    <row r="304" spans="1:7" s="3201" customFormat="1" ht="14.25" customHeight="1">
      <c r="A304" s="3212" t="s">
        <v>306</v>
      </c>
      <c r="B304" s="3212" t="s">
        <v>2949</v>
      </c>
      <c r="C304" s="3212">
        <v>5680</v>
      </c>
      <c r="D304" s="3212">
        <v>5620</v>
      </c>
      <c r="E304" s="3212">
        <v>6620</v>
      </c>
      <c r="F304" s="3212">
        <v>1050</v>
      </c>
      <c r="G304" s="3225">
        <v>3390</v>
      </c>
    </row>
    <row r="305" spans="1:7" s="3201" customFormat="1" ht="14.25" customHeight="1">
      <c r="A305" s="3212" t="s">
        <v>306</v>
      </c>
      <c r="B305" s="3212" t="s">
        <v>2955</v>
      </c>
      <c r="C305" s="3212">
        <v>5590</v>
      </c>
      <c r="D305" s="3212">
        <v>5530</v>
      </c>
      <c r="E305" s="3212">
        <v>6460</v>
      </c>
      <c r="F305" s="3212">
        <v>900</v>
      </c>
      <c r="G305" s="3225">
        <v>3340</v>
      </c>
    </row>
    <row r="306" spans="1:7" s="3201" customFormat="1" ht="14.25" customHeight="1">
      <c r="A306" s="3212" t="s">
        <v>306</v>
      </c>
      <c r="B306" s="3212" t="s">
        <v>3131</v>
      </c>
      <c r="C306" s="3212">
        <v>5560</v>
      </c>
      <c r="D306" s="3212">
        <v>5510</v>
      </c>
      <c r="E306" s="3212">
        <v>6440</v>
      </c>
      <c r="F306" s="3212">
        <v>900</v>
      </c>
      <c r="G306" s="3225">
        <v>3320</v>
      </c>
    </row>
    <row r="307" spans="1:7" s="3201" customFormat="1" ht="14.25" customHeight="1">
      <c r="A307" s="3212" t="s">
        <v>306</v>
      </c>
      <c r="B307" s="3212" t="s">
        <v>2967</v>
      </c>
      <c r="C307" s="3212">
        <v>5650</v>
      </c>
      <c r="D307" s="3212">
        <v>5600</v>
      </c>
      <c r="E307" s="3212">
        <v>6590</v>
      </c>
      <c r="F307" s="3212">
        <v>930</v>
      </c>
      <c r="G307" s="3225">
        <v>3380</v>
      </c>
    </row>
    <row r="308" spans="1:7" s="3201" customFormat="1" ht="14.25" customHeight="1">
      <c r="A308" s="3212" t="s">
        <v>306</v>
      </c>
      <c r="B308" s="3212" t="s">
        <v>3132</v>
      </c>
      <c r="C308" s="3212">
        <v>5620</v>
      </c>
      <c r="D308" s="3212">
        <v>5580</v>
      </c>
      <c r="E308" s="3212">
        <v>6540</v>
      </c>
      <c r="F308" s="3212">
        <v>910</v>
      </c>
      <c r="G308" s="3225">
        <v>3370</v>
      </c>
    </row>
    <row r="309" spans="1:7" s="3201" customFormat="1" ht="14.25" customHeight="1">
      <c r="A309" s="3212" t="s">
        <v>306</v>
      </c>
      <c r="B309" s="3212" t="s">
        <v>3133</v>
      </c>
      <c r="C309" s="3212">
        <v>5060</v>
      </c>
      <c r="D309" s="3212">
        <v>5020</v>
      </c>
      <c r="E309" s="3212">
        <v>6370</v>
      </c>
      <c r="F309" s="3212">
        <v>800</v>
      </c>
      <c r="G309" s="3225">
        <v>3020</v>
      </c>
    </row>
    <row r="310" spans="1:7" s="3201" customFormat="1" ht="14.25" customHeight="1">
      <c r="A310" s="3212" t="s">
        <v>306</v>
      </c>
      <c r="B310" s="3212" t="s">
        <v>2982</v>
      </c>
      <c r="C310" s="3212">
        <v>5150</v>
      </c>
      <c r="D310" s="3212">
        <v>5110</v>
      </c>
      <c r="E310" s="3212">
        <v>6500</v>
      </c>
      <c r="F310" s="3212">
        <v>880</v>
      </c>
      <c r="G310" s="3225">
        <v>3080</v>
      </c>
    </row>
    <row r="311" spans="1:7" s="3201" customFormat="1" ht="14.25" customHeight="1">
      <c r="A311" s="3212" t="s">
        <v>306</v>
      </c>
      <c r="B311" s="3212" t="s">
        <v>3134</v>
      </c>
      <c r="C311" s="3212">
        <v>4750</v>
      </c>
      <c r="D311" s="3212">
        <v>4710</v>
      </c>
      <c r="E311" s="3212">
        <v>5510</v>
      </c>
      <c r="F311" s="3212">
        <v>880</v>
      </c>
      <c r="G311" s="3225">
        <v>2840</v>
      </c>
    </row>
    <row r="312" spans="1:7" s="3201" customFormat="1" ht="14.25" customHeight="1">
      <c r="A312" s="3212" t="s">
        <v>306</v>
      </c>
      <c r="B312" s="3212" t="s">
        <v>2992</v>
      </c>
      <c r="C312" s="3212">
        <v>4690</v>
      </c>
      <c r="D312" s="3212">
        <v>4640</v>
      </c>
      <c r="E312" s="3212">
        <v>5420</v>
      </c>
      <c r="F312" s="3212">
        <v>800</v>
      </c>
      <c r="G312" s="3225">
        <v>2800</v>
      </c>
    </row>
    <row r="313" spans="1:7" s="3201" customFormat="1" ht="14.25" customHeight="1">
      <c r="A313" s="3212" t="s">
        <v>306</v>
      </c>
      <c r="B313" s="3212" t="s">
        <v>2997</v>
      </c>
      <c r="C313" s="3212">
        <v>4810</v>
      </c>
      <c r="D313" s="3212">
        <v>4760</v>
      </c>
      <c r="E313" s="3212">
        <v>5550</v>
      </c>
      <c r="F313" s="3212">
        <v>920</v>
      </c>
      <c r="G313" s="3225">
        <v>2870</v>
      </c>
    </row>
    <row r="314" spans="1:7" s="3201" customFormat="1" ht="14.25" customHeight="1">
      <c r="A314" s="3212" t="s">
        <v>306</v>
      </c>
      <c r="B314" s="3212" t="s">
        <v>3135</v>
      </c>
      <c r="C314" s="3212"/>
      <c r="D314" s="3212"/>
      <c r="E314" s="3212"/>
      <c r="F314" s="3212">
        <v>1020</v>
      </c>
      <c r="G314" s="3225"/>
    </row>
    <row r="315" spans="1:7" s="3201" customFormat="1" ht="14.25" customHeight="1">
      <c r="A315" s="3212" t="s">
        <v>306</v>
      </c>
      <c r="B315" s="3212" t="s">
        <v>3136</v>
      </c>
      <c r="C315" s="3212"/>
      <c r="D315" s="3212"/>
      <c r="E315" s="3212"/>
      <c r="F315" s="3212">
        <v>1050</v>
      </c>
      <c r="G315" s="3225"/>
    </row>
    <row r="316" spans="1:7" s="3201" customFormat="1" ht="14.25" customHeight="1">
      <c r="A316" s="3212" t="s">
        <v>306</v>
      </c>
      <c r="B316" s="3212" t="s">
        <v>3012</v>
      </c>
      <c r="C316" s="3212"/>
      <c r="D316" s="3212"/>
      <c r="E316" s="3212"/>
      <c r="F316" s="3212">
        <v>900</v>
      </c>
      <c r="G316" s="3225"/>
    </row>
    <row r="317" spans="1:7" s="3201" customFormat="1" ht="14.25" customHeight="1">
      <c r="A317" s="3212" t="s">
        <v>306</v>
      </c>
      <c r="B317" s="3212" t="s">
        <v>3137</v>
      </c>
      <c r="C317" s="3212"/>
      <c r="D317" s="3212"/>
      <c r="E317" s="3212"/>
      <c r="F317" s="3212">
        <v>920</v>
      </c>
      <c r="G317" s="3225"/>
    </row>
    <row r="318" spans="1:7" s="3201" customFormat="1" ht="14.25" customHeight="1">
      <c r="A318" s="3212" t="s">
        <v>306</v>
      </c>
      <c r="B318" s="3212" t="s">
        <v>3138</v>
      </c>
      <c r="C318" s="3212"/>
      <c r="D318" s="3212"/>
      <c r="E318" s="3212"/>
      <c r="F318" s="3212">
        <v>1080</v>
      </c>
      <c r="G318" s="3225"/>
    </row>
    <row r="319" spans="1:7" s="3201" customFormat="1" ht="14.25" customHeight="1">
      <c r="A319" s="3212" t="s">
        <v>306</v>
      </c>
      <c r="B319" s="3212" t="s">
        <v>3025</v>
      </c>
      <c r="C319" s="3212"/>
      <c r="D319" s="3212"/>
      <c r="E319" s="3212"/>
      <c r="F319" s="3212">
        <v>1020</v>
      </c>
      <c r="G319" s="3225"/>
    </row>
    <row r="320" spans="1:7" s="3201" customFormat="1" ht="14.25" customHeight="1">
      <c r="A320" s="3212" t="s">
        <v>306</v>
      </c>
      <c r="B320" s="3212" t="s">
        <v>3028</v>
      </c>
      <c r="C320" s="3212"/>
      <c r="D320" s="3212"/>
      <c r="E320" s="3212"/>
      <c r="F320" s="3212">
        <v>1050</v>
      </c>
      <c r="G320" s="3225"/>
    </row>
    <row r="321" spans="1:7" s="3201" customFormat="1" ht="14.25" customHeight="1">
      <c r="A321" s="3212" t="s">
        <v>306</v>
      </c>
      <c r="B321" s="3212" t="s">
        <v>3030</v>
      </c>
      <c r="C321" s="3212"/>
      <c r="D321" s="3212"/>
      <c r="E321" s="3212"/>
      <c r="F321" s="3212">
        <v>960</v>
      </c>
      <c r="G321" s="3225"/>
    </row>
    <row r="322" spans="1:7" s="3201" customFormat="1" ht="14.25" customHeight="1">
      <c r="A322" s="3212" t="s">
        <v>306</v>
      </c>
      <c r="B322" s="3212" t="s">
        <v>3032</v>
      </c>
      <c r="C322" s="3212"/>
      <c r="D322" s="3212"/>
      <c r="E322" s="3212"/>
      <c r="F322" s="3212">
        <v>960</v>
      </c>
      <c r="G322" s="3225"/>
    </row>
    <row r="323" spans="1:7" s="3201" customFormat="1" ht="14.25" customHeight="1">
      <c r="A323" s="3212" t="s">
        <v>306</v>
      </c>
      <c r="B323" s="3212" t="s">
        <v>3034</v>
      </c>
      <c r="C323" s="3212"/>
      <c r="D323" s="3212"/>
      <c r="E323" s="3212"/>
      <c r="F323" s="3212">
        <v>880</v>
      </c>
      <c r="G323" s="3225"/>
    </row>
    <row r="324" spans="1:7" s="3201" customFormat="1" ht="14.25" customHeight="1">
      <c r="A324" s="3212" t="s">
        <v>306</v>
      </c>
      <c r="B324" s="3212" t="s">
        <v>3036</v>
      </c>
      <c r="C324" s="3212"/>
      <c r="D324" s="3212"/>
      <c r="E324" s="3212"/>
      <c r="F324" s="3212">
        <v>930</v>
      </c>
      <c r="G324" s="3225"/>
    </row>
    <row r="325" spans="1:7" s="3201" customFormat="1" ht="14.25" customHeight="1">
      <c r="A325" s="3212" t="s">
        <v>306</v>
      </c>
      <c r="B325" s="3213" t="s">
        <v>3038</v>
      </c>
      <c r="C325" s="3212"/>
      <c r="D325" s="3212"/>
      <c r="E325" s="3212"/>
      <c r="F325" s="3212">
        <v>900</v>
      </c>
      <c r="G325" s="3225"/>
    </row>
    <row r="326" spans="1:7" s="3201" customFormat="1" ht="14.25" customHeight="1" thickBot="1">
      <c r="A326" s="3226" t="s">
        <v>306</v>
      </c>
      <c r="B326" s="3219" t="s">
        <v>3040</v>
      </c>
      <c r="C326" s="3219"/>
      <c r="D326" s="3219"/>
      <c r="E326" s="3219"/>
      <c r="F326" s="3219">
        <v>790</v>
      </c>
      <c r="G326" s="3227"/>
    </row>
    <row r="327" spans="1:7" s="3201" customFormat="1" ht="14.25" customHeight="1">
      <c r="A327" s="3217" t="s">
        <v>307</v>
      </c>
      <c r="B327" s="3208" t="s">
        <v>3139</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3140</v>
      </c>
      <c r="C329" s="3212">
        <v>2730</v>
      </c>
      <c r="D329" s="3212">
        <v>2690</v>
      </c>
      <c r="E329" s="3212">
        <v>3100</v>
      </c>
      <c r="F329" s="3212">
        <v>660</v>
      </c>
      <c r="G329" s="3212">
        <v>1610</v>
      </c>
    </row>
    <row r="330" spans="1:7" s="3201" customFormat="1" ht="14.25" customHeight="1">
      <c r="A330" s="3212" t="s">
        <v>307</v>
      </c>
      <c r="B330" s="3212" t="s">
        <v>3141</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2874</v>
      </c>
      <c r="C332" s="3212">
        <v>3520</v>
      </c>
      <c r="D332" s="3212">
        <v>3480</v>
      </c>
      <c r="E332" s="3212">
        <v>3830</v>
      </c>
      <c r="F332" s="3212">
        <v>720</v>
      </c>
      <c r="G332" s="3212">
        <v>2090</v>
      </c>
    </row>
    <row r="333" spans="1:7" s="3201" customFormat="1" ht="14.25" customHeight="1">
      <c r="A333" s="3212" t="s">
        <v>307</v>
      </c>
      <c r="B333" s="3212" t="s">
        <v>3142</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2884</v>
      </c>
      <c r="C336" s="3212">
        <v>3570</v>
      </c>
      <c r="D336" s="3212">
        <v>3530</v>
      </c>
      <c r="E336" s="3212">
        <v>3880</v>
      </c>
      <c r="F336" s="3212">
        <v>770</v>
      </c>
      <c r="G336" s="3212">
        <v>2110</v>
      </c>
    </row>
    <row r="337" spans="1:10" s="3201" customFormat="1" ht="14.25" customHeight="1">
      <c r="A337" s="3212" t="s">
        <v>307</v>
      </c>
      <c r="B337" s="3212" t="s">
        <v>3143</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3144</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3145</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2909</v>
      </c>
      <c r="C345" s="3212">
        <v>3190</v>
      </c>
      <c r="D345" s="3212">
        <v>3140</v>
      </c>
      <c r="E345" s="3212">
        <v>3450</v>
      </c>
      <c r="F345" s="3212">
        <v>720</v>
      </c>
      <c r="G345" s="3212">
        <v>1880</v>
      </c>
      <c r="J345" s="3201"/>
    </row>
    <row r="346" spans="1:10">
      <c r="A346" s="3212" t="s">
        <v>307</v>
      </c>
      <c r="B346" s="3212" t="s">
        <v>3146</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2918</v>
      </c>
      <c r="C348" s="3212">
        <v>4000</v>
      </c>
      <c r="D348" s="3212">
        <v>3950</v>
      </c>
      <c r="E348" s="3212">
        <v>4430</v>
      </c>
      <c r="F348" s="3212">
        <v>760</v>
      </c>
      <c r="G348" s="3212">
        <v>2360</v>
      </c>
      <c r="J348" s="3201"/>
    </row>
    <row r="349" spans="1:10">
      <c r="A349" s="3212" t="s">
        <v>307</v>
      </c>
      <c r="B349" s="3212" t="s">
        <v>2923</v>
      </c>
      <c r="C349" s="3212">
        <v>3820</v>
      </c>
      <c r="D349" s="3212">
        <v>3780</v>
      </c>
      <c r="E349" s="3212">
        <v>4170</v>
      </c>
      <c r="F349" s="3212">
        <v>710</v>
      </c>
      <c r="G349" s="3212">
        <v>2260</v>
      </c>
      <c r="J349" s="3201"/>
    </row>
    <row r="350" spans="1:10">
      <c r="A350" s="3212" t="s">
        <v>307</v>
      </c>
      <c r="B350" s="3212" t="s">
        <v>3147</v>
      </c>
      <c r="C350" s="3212">
        <v>3760</v>
      </c>
      <c r="D350" s="3212">
        <v>3730</v>
      </c>
      <c r="E350" s="3212">
        <v>4100</v>
      </c>
      <c r="F350" s="3212">
        <v>800</v>
      </c>
      <c r="G350" s="3212">
        <v>2230</v>
      </c>
      <c r="J350" s="3201"/>
    </row>
    <row r="351" spans="1:10">
      <c r="A351" s="3212" t="s">
        <v>307</v>
      </c>
      <c r="B351" s="3212" t="s">
        <v>2931</v>
      </c>
      <c r="C351" s="3212">
        <v>3610</v>
      </c>
      <c r="D351" s="3212">
        <v>3580</v>
      </c>
      <c r="E351" s="3212">
        <v>3930</v>
      </c>
      <c r="F351" s="3212">
        <v>700</v>
      </c>
      <c r="G351" s="3212">
        <v>2140</v>
      </c>
      <c r="J351" s="3201"/>
    </row>
    <row r="352" spans="1:10">
      <c r="A352" s="3212" t="s">
        <v>307</v>
      </c>
      <c r="B352" s="3212" t="s">
        <v>2936</v>
      </c>
      <c r="C352" s="3212">
        <v>3670</v>
      </c>
      <c r="D352" s="3212">
        <v>3630</v>
      </c>
      <c r="E352" s="3212">
        <v>4000</v>
      </c>
      <c r="F352" s="3212">
        <v>750</v>
      </c>
      <c r="G352" s="3212">
        <v>2180</v>
      </c>
    </row>
    <row r="353" spans="1:7" s="3205" customFormat="1">
      <c r="A353" s="3212" t="s">
        <v>307</v>
      </c>
      <c r="B353" s="3212" t="s">
        <v>3148</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2956</v>
      </c>
      <c r="C355" s="3212">
        <v>3650</v>
      </c>
      <c r="D355" s="3212">
        <v>3610</v>
      </c>
      <c r="E355" s="3212">
        <v>4200</v>
      </c>
      <c r="F355" s="3212">
        <v>640</v>
      </c>
      <c r="G355" s="3212">
        <v>2160</v>
      </c>
    </row>
    <row r="356" spans="1:7" s="3205" customFormat="1">
      <c r="A356" s="3212" t="s">
        <v>307</v>
      </c>
      <c r="B356" s="3212" t="s">
        <v>2963</v>
      </c>
      <c r="C356" s="3212">
        <v>3260</v>
      </c>
      <c r="D356" s="3212">
        <v>3230</v>
      </c>
      <c r="E356" s="3212">
        <v>3740</v>
      </c>
      <c r="F356" s="3212">
        <v>600</v>
      </c>
      <c r="G356" s="3212">
        <v>1930</v>
      </c>
    </row>
    <row r="357" spans="1:7" s="3205" customFormat="1" ht="12" thickBot="1">
      <c r="A357" s="3220" t="s">
        <v>307</v>
      </c>
      <c r="B357" s="3223" t="s">
        <v>3149</v>
      </c>
      <c r="C357" s="3223">
        <v>3690</v>
      </c>
      <c r="D357" s="3223">
        <v>3650</v>
      </c>
      <c r="E357" s="3223">
        <v>4020</v>
      </c>
      <c r="F357" s="3223">
        <v>700</v>
      </c>
      <c r="G357" s="3223">
        <v>2190</v>
      </c>
    </row>
    <row r="358" spans="1:7" s="3205" customFormat="1">
      <c r="A358" s="3217" t="s">
        <v>3150</v>
      </c>
      <c r="B358" s="3208" t="s">
        <v>3151</v>
      </c>
      <c r="C358" s="3208">
        <v>2080</v>
      </c>
      <c r="D358" s="3208">
        <v>2040</v>
      </c>
      <c r="E358" s="3208">
        <v>2010</v>
      </c>
      <c r="F358" s="3208">
        <v>530</v>
      </c>
      <c r="G358" s="3224">
        <v>1230</v>
      </c>
    </row>
    <row r="359" spans="1:7" s="3205" customFormat="1">
      <c r="A359" s="3212" t="s">
        <v>3150</v>
      </c>
      <c r="B359" s="3212" t="s">
        <v>3152</v>
      </c>
      <c r="C359" s="3212">
        <v>1850</v>
      </c>
      <c r="D359" s="3212">
        <v>1820</v>
      </c>
      <c r="E359" s="3212">
        <v>1780</v>
      </c>
      <c r="F359" s="3212">
        <v>520</v>
      </c>
      <c r="G359" s="3225">
        <v>1100</v>
      </c>
    </row>
    <row r="360" spans="1:7" s="3205" customFormat="1">
      <c r="A360" s="3212" t="s">
        <v>3150</v>
      </c>
      <c r="B360" s="3212" t="s">
        <v>3153</v>
      </c>
      <c r="C360" s="3212">
        <v>2020</v>
      </c>
      <c r="D360" s="3212">
        <v>1990</v>
      </c>
      <c r="E360" s="3212">
        <v>1950</v>
      </c>
      <c r="F360" s="3212">
        <v>500</v>
      </c>
      <c r="G360" s="3225">
        <v>1200</v>
      </c>
    </row>
    <row r="361" spans="1:7" s="3205" customFormat="1">
      <c r="A361" s="3212" t="s">
        <v>3150</v>
      </c>
      <c r="B361" s="3212" t="s">
        <v>153</v>
      </c>
      <c r="C361" s="3212">
        <v>2260</v>
      </c>
      <c r="D361" s="3212">
        <v>2220</v>
      </c>
      <c r="E361" s="3212">
        <v>2180</v>
      </c>
      <c r="F361" s="3212">
        <v>580</v>
      </c>
      <c r="G361" s="3225">
        <v>1340</v>
      </c>
    </row>
    <row r="362" spans="1:7" s="3205" customFormat="1">
      <c r="A362" s="3212" t="s">
        <v>3150</v>
      </c>
      <c r="B362" s="3212" t="s">
        <v>3154</v>
      </c>
      <c r="C362" s="3212">
        <v>2650</v>
      </c>
      <c r="D362" s="3212">
        <v>2610</v>
      </c>
      <c r="E362" s="3212">
        <v>2570</v>
      </c>
      <c r="F362" s="3212">
        <v>630</v>
      </c>
      <c r="G362" s="3225">
        <v>1570</v>
      </c>
    </row>
    <row r="363" spans="1:7" s="3205" customFormat="1">
      <c r="A363" s="3212" t="s">
        <v>3150</v>
      </c>
      <c r="B363" s="3212" t="s">
        <v>2875</v>
      </c>
      <c r="C363" s="3212">
        <v>2390</v>
      </c>
      <c r="D363" s="3212">
        <v>2360</v>
      </c>
      <c r="E363" s="3212">
        <v>2320</v>
      </c>
      <c r="F363" s="3212">
        <v>600</v>
      </c>
      <c r="G363" s="3225">
        <v>1420</v>
      </c>
    </row>
    <row r="364" spans="1:7" s="3205" customFormat="1">
      <c r="A364" s="3212" t="s">
        <v>3150</v>
      </c>
      <c r="B364" s="3212" t="s">
        <v>3155</v>
      </c>
      <c r="C364" s="3212">
        <v>2050</v>
      </c>
      <c r="D364" s="3212">
        <v>2030</v>
      </c>
      <c r="E364" s="3212">
        <v>1990</v>
      </c>
      <c r="F364" s="3212">
        <v>550</v>
      </c>
      <c r="G364" s="3225">
        <v>1220</v>
      </c>
    </row>
    <row r="365" spans="1:7" s="3205" customFormat="1">
      <c r="A365" s="3212" t="s">
        <v>3150</v>
      </c>
      <c r="B365" s="3212" t="s">
        <v>200</v>
      </c>
      <c r="C365" s="3212">
        <v>2140</v>
      </c>
      <c r="D365" s="3212">
        <v>2100</v>
      </c>
      <c r="E365" s="3212">
        <v>2060</v>
      </c>
      <c r="F365" s="3212">
        <v>540</v>
      </c>
      <c r="G365" s="3225">
        <v>1270</v>
      </c>
    </row>
    <row r="366" spans="1:7" s="3205" customFormat="1">
      <c r="A366" s="3212" t="s">
        <v>3150</v>
      </c>
      <c r="B366" s="3212" t="s">
        <v>2882</v>
      </c>
      <c r="C366" s="3212">
        <v>2410</v>
      </c>
      <c r="D366" s="3212">
        <v>2370</v>
      </c>
      <c r="E366" s="3212">
        <v>2330</v>
      </c>
      <c r="F366" s="3212">
        <v>570</v>
      </c>
      <c r="G366" s="3225">
        <v>1440</v>
      </c>
    </row>
    <row r="367" spans="1:7" s="3205" customFormat="1">
      <c r="A367" s="3212" t="s">
        <v>3150</v>
      </c>
      <c r="B367" s="3212" t="s">
        <v>3156</v>
      </c>
      <c r="C367" s="3212">
        <v>2300</v>
      </c>
      <c r="D367" s="3212">
        <v>2260</v>
      </c>
      <c r="E367" s="3212">
        <v>2220</v>
      </c>
      <c r="F367" s="3212">
        <v>560</v>
      </c>
      <c r="G367" s="3225">
        <v>1370</v>
      </c>
    </row>
    <row r="368" spans="1:7" s="3205" customFormat="1">
      <c r="A368" s="3212" t="s">
        <v>3150</v>
      </c>
      <c r="B368" s="3212" t="s">
        <v>3157</v>
      </c>
      <c r="C368" s="3212">
        <v>2430</v>
      </c>
      <c r="D368" s="3212">
        <v>2390</v>
      </c>
      <c r="E368" s="3212">
        <v>2350</v>
      </c>
      <c r="F368" s="3212">
        <v>570</v>
      </c>
      <c r="G368" s="3225">
        <v>1450</v>
      </c>
    </row>
    <row r="369" spans="1:7" s="3205" customFormat="1">
      <c r="A369" s="3212" t="s">
        <v>3150</v>
      </c>
      <c r="B369" s="3212" t="s">
        <v>214</v>
      </c>
      <c r="C369" s="3212">
        <v>2320</v>
      </c>
      <c r="D369" s="3212">
        <v>2290</v>
      </c>
      <c r="E369" s="3212">
        <v>2250</v>
      </c>
      <c r="F369" s="3212">
        <v>550</v>
      </c>
      <c r="G369" s="3225">
        <v>1380</v>
      </c>
    </row>
    <row r="370" spans="1:7" s="3205" customFormat="1">
      <c r="A370" s="3212" t="s">
        <v>3150</v>
      </c>
      <c r="B370" s="3212" t="s">
        <v>221</v>
      </c>
      <c r="C370" s="3212">
        <v>2190</v>
      </c>
      <c r="D370" s="3212">
        <v>2170</v>
      </c>
      <c r="E370" s="3212">
        <v>2130</v>
      </c>
      <c r="F370" s="3212">
        <v>530</v>
      </c>
      <c r="G370" s="3225">
        <v>1310</v>
      </c>
    </row>
    <row r="371" spans="1:7" s="3205" customFormat="1">
      <c r="A371" s="3212" t="s">
        <v>3150</v>
      </c>
      <c r="B371" s="3212" t="s">
        <v>229</v>
      </c>
      <c r="C371" s="3212">
        <v>2460</v>
      </c>
      <c r="D371" s="3212">
        <v>2420</v>
      </c>
      <c r="E371" s="3212">
        <v>2370</v>
      </c>
      <c r="F371" s="3212">
        <v>560</v>
      </c>
      <c r="G371" s="3225">
        <v>1470</v>
      </c>
    </row>
    <row r="372" spans="1:7" s="3205" customFormat="1">
      <c r="A372" s="3212" t="s">
        <v>3150</v>
      </c>
      <c r="B372" s="3212" t="s">
        <v>3158</v>
      </c>
      <c r="C372" s="3212">
        <v>2250</v>
      </c>
      <c r="D372" s="3212">
        <v>2210</v>
      </c>
      <c r="E372" s="3212">
        <v>2180</v>
      </c>
      <c r="F372" s="3212">
        <v>550</v>
      </c>
      <c r="G372" s="3225">
        <v>1340</v>
      </c>
    </row>
    <row r="373" spans="1:7" s="3205" customFormat="1">
      <c r="A373" s="3212" t="s">
        <v>3150</v>
      </c>
      <c r="B373" s="3212" t="s">
        <v>258</v>
      </c>
      <c r="C373" s="3212">
        <v>2210</v>
      </c>
      <c r="D373" s="3212">
        <v>2190</v>
      </c>
      <c r="E373" s="3212">
        <v>2150</v>
      </c>
      <c r="F373" s="3212">
        <v>530</v>
      </c>
      <c r="G373" s="3225">
        <v>1320</v>
      </c>
    </row>
    <row r="374" spans="1:7" s="3205" customFormat="1">
      <c r="A374" s="3212" t="s">
        <v>3150</v>
      </c>
      <c r="B374" s="3212" t="s">
        <v>266</v>
      </c>
      <c r="C374" s="3212">
        <v>2320</v>
      </c>
      <c r="D374" s="3212">
        <v>2280</v>
      </c>
      <c r="E374" s="3212">
        <v>2230</v>
      </c>
      <c r="F374" s="3212">
        <v>580</v>
      </c>
      <c r="G374" s="3225">
        <v>1380</v>
      </c>
    </row>
    <row r="375" spans="1:7" s="3205" customFormat="1">
      <c r="A375" s="3212" t="s">
        <v>3150</v>
      </c>
      <c r="B375" s="3212" t="s">
        <v>3159</v>
      </c>
      <c r="C375" s="3212">
        <v>2090</v>
      </c>
      <c r="D375" s="3212">
        <v>2050</v>
      </c>
      <c r="E375" s="3212">
        <v>2020</v>
      </c>
      <c r="F375" s="3212">
        <v>520</v>
      </c>
      <c r="G375" s="3225">
        <v>1240</v>
      </c>
    </row>
    <row r="376" spans="1:7" s="3205" customFormat="1">
      <c r="A376" s="3212" t="s">
        <v>3150</v>
      </c>
      <c r="B376" s="3212" t="s">
        <v>277</v>
      </c>
      <c r="C376" s="3212">
        <v>2010</v>
      </c>
      <c r="D376" s="3212">
        <v>1980</v>
      </c>
      <c r="E376" s="3212">
        <v>1940</v>
      </c>
      <c r="F376" s="3212">
        <v>540</v>
      </c>
      <c r="G376" s="3225">
        <v>1190</v>
      </c>
    </row>
    <row r="377" spans="1:7" s="3205" customFormat="1" ht="12" thickBot="1">
      <c r="A377" s="3220" t="s">
        <v>3150</v>
      </c>
      <c r="B377" s="3223" t="s">
        <v>2912</v>
      </c>
      <c r="C377" s="3223">
        <v>1930</v>
      </c>
      <c r="D377" s="3223">
        <v>1890</v>
      </c>
      <c r="E377" s="3223">
        <v>1860</v>
      </c>
      <c r="F377" s="3223">
        <v>530</v>
      </c>
      <c r="G377" s="3228">
        <v>1150</v>
      </c>
    </row>
    <row r="378" spans="1:7" s="3205" customFormat="1">
      <c r="A378" s="3229" t="s">
        <v>3160</v>
      </c>
      <c r="B378" s="3208" t="s">
        <v>3161</v>
      </c>
      <c r="C378" s="3208">
        <v>1520</v>
      </c>
      <c r="D378" s="3208">
        <v>1490</v>
      </c>
      <c r="E378" s="3208">
        <v>1460</v>
      </c>
      <c r="F378" s="3208">
        <v>460</v>
      </c>
      <c r="G378" s="3224">
        <v>940</v>
      </c>
    </row>
    <row r="379" spans="1:7" s="3205" customFormat="1">
      <c r="A379" s="3230" t="s">
        <v>3160</v>
      </c>
      <c r="B379" s="3212" t="s">
        <v>3162</v>
      </c>
      <c r="C379" s="3212">
        <v>1500</v>
      </c>
      <c r="D379" s="3212">
        <v>1470</v>
      </c>
      <c r="E379" s="3212">
        <v>1430</v>
      </c>
      <c r="F379" s="3212">
        <v>460</v>
      </c>
      <c r="G379" s="3225">
        <v>920</v>
      </c>
    </row>
    <row r="380" spans="1:7" s="3205" customFormat="1">
      <c r="A380" s="3230" t="s">
        <v>3160</v>
      </c>
      <c r="B380" s="3212" t="s">
        <v>3163</v>
      </c>
      <c r="C380" s="3212">
        <v>1620</v>
      </c>
      <c r="D380" s="3212">
        <v>1590</v>
      </c>
      <c r="E380" s="3212">
        <v>1560</v>
      </c>
      <c r="F380" s="3212">
        <v>480</v>
      </c>
      <c r="G380" s="3225">
        <v>1000</v>
      </c>
    </row>
    <row r="381" spans="1:7" s="3205" customFormat="1">
      <c r="A381" s="3230" t="s">
        <v>3160</v>
      </c>
      <c r="B381" s="3212" t="s">
        <v>3164</v>
      </c>
      <c r="C381" s="3212">
        <v>1460</v>
      </c>
      <c r="D381" s="3212">
        <v>1430</v>
      </c>
      <c r="E381" s="3212">
        <v>1390</v>
      </c>
      <c r="F381" s="3212">
        <v>450</v>
      </c>
      <c r="G381" s="3225">
        <v>900</v>
      </c>
    </row>
    <row r="382" spans="1:7" s="3205" customFormat="1">
      <c r="A382" s="3230" t="s">
        <v>3160</v>
      </c>
      <c r="B382" s="3212" t="s">
        <v>3165</v>
      </c>
      <c r="C382" s="3212">
        <v>1310</v>
      </c>
      <c r="D382" s="3212">
        <v>1280</v>
      </c>
      <c r="E382" s="3212">
        <v>1250</v>
      </c>
      <c r="F382" s="3212">
        <v>440</v>
      </c>
      <c r="G382" s="3225">
        <v>800</v>
      </c>
    </row>
    <row r="383" spans="1:7" s="3205" customFormat="1">
      <c r="A383" s="3230" t="s">
        <v>3160</v>
      </c>
      <c r="B383" s="3212" t="s">
        <v>3166</v>
      </c>
      <c r="C383" s="3212">
        <v>1260</v>
      </c>
      <c r="D383" s="3212">
        <v>1230</v>
      </c>
      <c r="E383" s="3212">
        <v>1200</v>
      </c>
      <c r="F383" s="3212">
        <v>420</v>
      </c>
      <c r="G383" s="3225">
        <v>770</v>
      </c>
    </row>
    <row r="384" spans="1:7" s="3205" customFormat="1" ht="12" thickBot="1">
      <c r="A384" s="3231" t="s">
        <v>3160</v>
      </c>
      <c r="B384" s="3219" t="s">
        <v>3167</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777" t="s">
        <v>3168</v>
      </c>
      <c r="B1" s="3777"/>
    </row>
    <row r="2" spans="1:7" ht="14.25" thickBot="1">
      <c r="A2" s="3234"/>
      <c r="B2" s="3234"/>
    </row>
    <row r="3" spans="1:7" ht="14.25" thickBot="1">
      <c r="A3" s="3234"/>
      <c r="B3" s="3234"/>
      <c r="C3" s="3235" t="s">
        <v>2798</v>
      </c>
      <c r="D3" s="3235" t="s">
        <v>2854</v>
      </c>
      <c r="E3" s="3235" t="s">
        <v>2800</v>
      </c>
      <c r="F3" s="3235" t="s">
        <v>2855</v>
      </c>
      <c r="G3" s="3235" t="s">
        <v>2618</v>
      </c>
    </row>
    <row r="4" spans="1:7" ht="14.25" thickBot="1">
      <c r="A4" s="3236" t="s">
        <v>2853</v>
      </c>
      <c r="B4" s="3237" t="s">
        <v>2859</v>
      </c>
      <c r="C4" s="3235"/>
      <c r="D4" s="3235"/>
      <c r="E4" s="3235"/>
      <c r="F4" s="3235"/>
      <c r="G4" s="3235"/>
    </row>
    <row r="5" spans="1:7">
      <c r="A5" s="3238" t="s">
        <v>2827</v>
      </c>
      <c r="B5" s="3239" t="s">
        <v>2841</v>
      </c>
      <c r="C5" s="3240">
        <v>9.8000000000000004E-2</v>
      </c>
      <c r="D5" s="3240">
        <v>8.6999999999999994E-2</v>
      </c>
      <c r="E5" s="3240">
        <v>8.6999999999999994E-2</v>
      </c>
      <c r="F5" s="3240">
        <v>9.8000000000000004E-2</v>
      </c>
      <c r="G5" s="3241">
        <v>9.5000000000000001E-2</v>
      </c>
    </row>
    <row r="6" spans="1:7">
      <c r="A6" s="3242" t="s">
        <v>144</v>
      </c>
      <c r="B6" s="3243" t="s">
        <v>2856</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2842</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2892</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2910</v>
      </c>
      <c r="C29" s="3252"/>
      <c r="D29" s="3248">
        <v>5.1999999999999998E-2</v>
      </c>
      <c r="E29" s="3248">
        <v>7.0000000000000007E-2</v>
      </c>
      <c r="F29" s="3252"/>
      <c r="G29" s="3250">
        <v>7.0999999999999994E-2</v>
      </c>
    </row>
    <row r="30" spans="1:7">
      <c r="A30" s="3253" t="s">
        <v>296</v>
      </c>
      <c r="B30" s="3239" t="s">
        <v>2843</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2829</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2913</v>
      </c>
      <c r="C50" s="3244">
        <v>9.8000000000000004E-2</v>
      </c>
      <c r="D50" s="3244">
        <v>7.2999999999999995E-2</v>
      </c>
      <c r="E50" s="3244">
        <v>7.0999999999999994E-2</v>
      </c>
      <c r="F50" s="3255"/>
      <c r="G50" s="3245">
        <v>7.2999999999999995E-2</v>
      </c>
    </row>
    <row r="51" spans="1:7">
      <c r="A51" s="3254" t="s">
        <v>296</v>
      </c>
      <c r="B51" s="3243" t="s">
        <v>2915</v>
      </c>
      <c r="C51" s="3244">
        <v>9.9000000000000005E-2</v>
      </c>
      <c r="D51" s="3244">
        <v>8.5000000000000006E-2</v>
      </c>
      <c r="E51" s="3244">
        <v>6.3E-2</v>
      </c>
      <c r="F51" s="3255"/>
      <c r="G51" s="3245">
        <v>9.6000000000000002E-2</v>
      </c>
    </row>
    <row r="52" spans="1:7">
      <c r="A52" s="3254" t="s">
        <v>296</v>
      </c>
      <c r="B52" s="3243" t="s">
        <v>2919</v>
      </c>
      <c r="C52" s="3244">
        <v>7.3999999999999996E-2</v>
      </c>
      <c r="D52" s="3244">
        <v>9.6000000000000002E-2</v>
      </c>
      <c r="E52" s="3244">
        <v>0.05</v>
      </c>
      <c r="F52" s="3255"/>
      <c r="G52" s="3245">
        <v>9.8000000000000004E-2</v>
      </c>
    </row>
    <row r="53" spans="1:7">
      <c r="A53" s="3254" t="s">
        <v>296</v>
      </c>
      <c r="B53" s="3243" t="s">
        <v>2924</v>
      </c>
      <c r="C53" s="3244">
        <v>8.5999999999999993E-2</v>
      </c>
      <c r="D53" s="3255"/>
      <c r="E53" s="3244">
        <v>9.1999999999999998E-2</v>
      </c>
      <c r="F53" s="3255"/>
      <c r="G53" s="3256"/>
    </row>
    <row r="54" spans="1:7" ht="14.25" thickBot="1">
      <c r="A54" s="3257" t="s">
        <v>296</v>
      </c>
      <c r="B54" s="3247" t="s">
        <v>2927</v>
      </c>
      <c r="C54" s="3248">
        <v>9.6000000000000002E-2</v>
      </c>
      <c r="D54" s="3249"/>
      <c r="E54" s="3258"/>
      <c r="F54" s="3249"/>
      <c r="G54" s="3259"/>
    </row>
    <row r="55" spans="1:7">
      <c r="A55" s="3253" t="s">
        <v>110</v>
      </c>
      <c r="B55" s="3239" t="s">
        <v>2844</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2925</v>
      </c>
      <c r="C78" s="3244">
        <v>0.1</v>
      </c>
      <c r="D78" s="3244">
        <v>8.5000000000000006E-2</v>
      </c>
      <c r="E78" s="3244">
        <v>9.6000000000000002E-2</v>
      </c>
      <c r="F78" s="3255"/>
      <c r="G78" s="3245">
        <v>9.6000000000000002E-2</v>
      </c>
    </row>
    <row r="79" spans="1:7">
      <c r="A79" s="3254" t="s">
        <v>110</v>
      </c>
      <c r="B79" s="3243" t="s">
        <v>2928</v>
      </c>
      <c r="C79" s="3244">
        <v>0.05</v>
      </c>
      <c r="D79" s="3244">
        <v>9.6000000000000002E-2</v>
      </c>
      <c r="E79" s="3244">
        <v>9.5000000000000001E-2</v>
      </c>
      <c r="F79" s="3255"/>
      <c r="G79" s="3245">
        <v>9.8000000000000004E-2</v>
      </c>
    </row>
    <row r="80" spans="1:7">
      <c r="A80" s="3254" t="s">
        <v>110</v>
      </c>
      <c r="B80" s="3243" t="s">
        <v>2932</v>
      </c>
      <c r="C80" s="3244">
        <v>8.5999999999999993E-2</v>
      </c>
      <c r="D80" s="3260"/>
      <c r="E80" s="3244">
        <v>0.1</v>
      </c>
      <c r="F80" s="3255"/>
      <c r="G80" s="3256"/>
    </row>
    <row r="81" spans="1:7">
      <c r="A81" s="3254" t="s">
        <v>110</v>
      </c>
      <c r="B81" s="3243" t="s">
        <v>2937</v>
      </c>
      <c r="C81" s="3244">
        <v>9.6000000000000002E-2</v>
      </c>
      <c r="D81" s="3255"/>
      <c r="E81" s="3244">
        <v>9.8000000000000004E-2</v>
      </c>
      <c r="F81" s="3255"/>
      <c r="G81" s="3256"/>
    </row>
    <row r="82" spans="1:7">
      <c r="A82" s="3254" t="s">
        <v>110</v>
      </c>
      <c r="B82" s="3243" t="s">
        <v>2944</v>
      </c>
      <c r="C82" s="3260"/>
      <c r="D82" s="3255"/>
      <c r="E82" s="3244">
        <v>7.6999999999999999E-2</v>
      </c>
      <c r="F82" s="3255"/>
      <c r="G82" s="3256"/>
    </row>
    <row r="83" spans="1:7">
      <c r="A83" s="3254" t="s">
        <v>110</v>
      </c>
      <c r="B83" s="3243" t="s">
        <v>2950</v>
      </c>
      <c r="C83" s="3255"/>
      <c r="D83" s="3255"/>
      <c r="E83" s="3255"/>
      <c r="F83" s="3244">
        <v>0.1</v>
      </c>
      <c r="G83" s="3261"/>
    </row>
    <row r="84" spans="1:7">
      <c r="A84" s="3254" t="s">
        <v>110</v>
      </c>
      <c r="B84" s="3243" t="s">
        <v>2957</v>
      </c>
      <c r="C84" s="3255"/>
      <c r="D84" s="3255"/>
      <c r="E84" s="3255"/>
      <c r="F84" s="3244">
        <v>0.1</v>
      </c>
      <c r="G84" s="3261"/>
    </row>
    <row r="85" spans="1:7">
      <c r="A85" s="3254" t="s">
        <v>110</v>
      </c>
      <c r="B85" s="3243" t="s">
        <v>2964</v>
      </c>
      <c r="C85" s="3255"/>
      <c r="D85" s="3255"/>
      <c r="E85" s="3255"/>
      <c r="F85" s="3244">
        <v>0.1</v>
      </c>
      <c r="G85" s="3261"/>
    </row>
    <row r="86" spans="1:7" ht="14.25" thickBot="1">
      <c r="A86" s="3257" t="s">
        <v>110</v>
      </c>
      <c r="B86" s="3247" t="s">
        <v>2969</v>
      </c>
      <c r="C86" s="3248">
        <v>9.8000000000000004E-2</v>
      </c>
      <c r="D86" s="3248">
        <v>9.8000000000000004E-2</v>
      </c>
      <c r="E86" s="3248">
        <v>9.6000000000000002E-2</v>
      </c>
      <c r="F86" s="3258"/>
      <c r="G86" s="3250">
        <v>0.1</v>
      </c>
    </row>
    <row r="87" spans="1:7">
      <c r="A87" s="3253" t="s">
        <v>303</v>
      </c>
      <c r="B87" s="3239" t="s">
        <v>2845</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2938</v>
      </c>
      <c r="C113" s="3244">
        <v>0.1</v>
      </c>
      <c r="D113" s="3244">
        <v>0.1</v>
      </c>
      <c r="E113" s="3255"/>
      <c r="F113" s="3255"/>
      <c r="G113" s="3245">
        <v>0.1</v>
      </c>
    </row>
    <row r="114" spans="1:7">
      <c r="A114" s="3254" t="s">
        <v>303</v>
      </c>
      <c r="B114" s="3243" t="s">
        <v>2945</v>
      </c>
      <c r="C114" s="3244">
        <v>9.7000000000000003E-2</v>
      </c>
      <c r="D114" s="3244">
        <v>9.7000000000000003E-2</v>
      </c>
      <c r="E114" s="3255"/>
      <c r="F114" s="3255"/>
      <c r="G114" s="3245">
        <v>9.9000000000000005E-2</v>
      </c>
    </row>
    <row r="115" spans="1:7">
      <c r="A115" s="3254" t="s">
        <v>303</v>
      </c>
      <c r="B115" s="3243" t="s">
        <v>2951</v>
      </c>
      <c r="C115" s="3244">
        <v>0.1</v>
      </c>
      <c r="D115" s="3244">
        <v>0.1</v>
      </c>
      <c r="E115" s="3255"/>
      <c r="F115" s="3255"/>
      <c r="G115" s="3245">
        <v>0.1</v>
      </c>
    </row>
    <row r="116" spans="1:7">
      <c r="A116" s="3254" t="s">
        <v>303</v>
      </c>
      <c r="B116" s="3243" t="s">
        <v>2958</v>
      </c>
      <c r="C116" s="3244">
        <v>0.1</v>
      </c>
      <c r="D116" s="3244">
        <v>0.1</v>
      </c>
      <c r="E116" s="3255"/>
      <c r="F116" s="3255"/>
      <c r="G116" s="3245">
        <v>0.1</v>
      </c>
    </row>
    <row r="117" spans="1:7">
      <c r="A117" s="3254" t="s">
        <v>303</v>
      </c>
      <c r="B117" s="3243" t="s">
        <v>2965</v>
      </c>
      <c r="C117" s="3244">
        <v>9.7000000000000003E-2</v>
      </c>
      <c r="D117" s="3244">
        <v>9.7000000000000003E-2</v>
      </c>
      <c r="E117" s="3255"/>
      <c r="F117" s="3255"/>
      <c r="G117" s="3245">
        <v>9.7000000000000003E-2</v>
      </c>
    </row>
    <row r="118" spans="1:7">
      <c r="A118" s="3254" t="s">
        <v>303</v>
      </c>
      <c r="B118" s="3243" t="s">
        <v>2970</v>
      </c>
      <c r="C118" s="3244">
        <v>0.1</v>
      </c>
      <c r="D118" s="3244">
        <v>0.1</v>
      </c>
      <c r="E118" s="3255"/>
      <c r="F118" s="3255"/>
      <c r="G118" s="3245">
        <v>0.1</v>
      </c>
    </row>
    <row r="119" spans="1:7">
      <c r="A119" s="3254" t="s">
        <v>303</v>
      </c>
      <c r="B119" s="3243" t="s">
        <v>2974</v>
      </c>
      <c r="C119" s="3244">
        <v>5.0999999999999997E-2</v>
      </c>
      <c r="D119" s="3244">
        <v>5.1999999999999998E-2</v>
      </c>
      <c r="E119" s="3255"/>
      <c r="F119" s="3260"/>
      <c r="G119" s="3245">
        <v>0.06</v>
      </c>
    </row>
    <row r="120" spans="1:7">
      <c r="A120" s="3254" t="s">
        <v>303</v>
      </c>
      <c r="B120" s="3243" t="s">
        <v>2978</v>
      </c>
      <c r="C120" s="3255"/>
      <c r="D120" s="3255"/>
      <c r="E120" s="3255"/>
      <c r="F120" s="3244">
        <v>0.1</v>
      </c>
      <c r="G120" s="3261"/>
    </row>
    <row r="121" spans="1:7">
      <c r="A121" s="3254" t="s">
        <v>303</v>
      </c>
      <c r="B121" s="3243" t="s">
        <v>2983</v>
      </c>
      <c r="C121" s="3255"/>
      <c r="D121" s="3255"/>
      <c r="E121" s="3255"/>
      <c r="F121" s="3244">
        <v>0.1</v>
      </c>
      <c r="G121" s="3261"/>
    </row>
    <row r="122" spans="1:7">
      <c r="A122" s="3254" t="s">
        <v>303</v>
      </c>
      <c r="B122" s="3243" t="s">
        <v>2988</v>
      </c>
      <c r="C122" s="3244">
        <v>0.1</v>
      </c>
      <c r="D122" s="3244">
        <v>0.1</v>
      </c>
      <c r="E122" s="3244">
        <v>9.8000000000000004E-2</v>
      </c>
      <c r="F122" s="3244">
        <v>0.1</v>
      </c>
      <c r="G122" s="3245">
        <v>0.1</v>
      </c>
    </row>
    <row r="123" spans="1:7">
      <c r="A123" s="3254" t="s">
        <v>303</v>
      </c>
      <c r="B123" s="3243" t="s">
        <v>2993</v>
      </c>
      <c r="C123" s="3244">
        <v>0.1</v>
      </c>
      <c r="D123" s="3244">
        <v>0.1</v>
      </c>
      <c r="E123" s="3244">
        <v>9.8000000000000004E-2</v>
      </c>
      <c r="F123" s="3244">
        <v>0.1</v>
      </c>
      <c r="G123" s="3245">
        <v>0.1</v>
      </c>
    </row>
    <row r="124" spans="1:7">
      <c r="A124" s="3254" t="s">
        <v>303</v>
      </c>
      <c r="B124" s="3243" t="s">
        <v>2998</v>
      </c>
      <c r="C124" s="3244">
        <v>0.1</v>
      </c>
      <c r="D124" s="3244">
        <v>0.1</v>
      </c>
      <c r="E124" s="3244">
        <v>9.8000000000000004E-2</v>
      </c>
      <c r="F124" s="3260"/>
      <c r="G124" s="3245">
        <v>0.1</v>
      </c>
    </row>
    <row r="125" spans="1:7">
      <c r="A125" s="3254" t="s">
        <v>303</v>
      </c>
      <c r="B125" s="3243" t="s">
        <v>3003</v>
      </c>
      <c r="C125" s="3244">
        <v>9.8000000000000004E-2</v>
      </c>
      <c r="D125" s="3244">
        <v>9.8000000000000004E-2</v>
      </c>
      <c r="E125" s="3244">
        <v>9.6000000000000002E-2</v>
      </c>
      <c r="F125" s="3260"/>
      <c r="G125" s="3245">
        <v>0.1</v>
      </c>
    </row>
    <row r="126" spans="1:7" ht="14.25" thickBot="1">
      <c r="A126" s="3257" t="s">
        <v>303</v>
      </c>
      <c r="B126" s="3247" t="s">
        <v>3169</v>
      </c>
      <c r="C126" s="3248">
        <v>0.1</v>
      </c>
      <c r="D126" s="3248">
        <v>0.1</v>
      </c>
      <c r="E126" s="3248">
        <v>9.8000000000000004E-2</v>
      </c>
      <c r="F126" s="3248">
        <v>0.1</v>
      </c>
      <c r="G126" s="3250">
        <v>0.1</v>
      </c>
    </row>
    <row r="127" spans="1:7">
      <c r="A127" s="3253" t="s">
        <v>29</v>
      </c>
      <c r="B127" s="3239" t="s">
        <v>2846</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2916</v>
      </c>
      <c r="C148" s="3244">
        <v>0.13</v>
      </c>
      <c r="D148" s="3244">
        <v>0.13</v>
      </c>
      <c r="E148" s="3244">
        <v>0.13</v>
      </c>
      <c r="F148" s="3255"/>
      <c r="G148" s="3245">
        <v>0.13</v>
      </c>
    </row>
    <row r="149" spans="1:7">
      <c r="A149" s="3254" t="s">
        <v>29</v>
      </c>
      <c r="B149" s="3243" t="s">
        <v>2920</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2939</v>
      </c>
      <c r="C153" s="3244">
        <v>0.13</v>
      </c>
      <c r="D153" s="3244">
        <v>0.13</v>
      </c>
      <c r="E153" s="3244">
        <v>0.13</v>
      </c>
      <c r="F153" s="3244">
        <v>0.13</v>
      </c>
      <c r="G153" s="3245">
        <v>0.13</v>
      </c>
    </row>
    <row r="154" spans="1:7">
      <c r="A154" s="3254" t="s">
        <v>29</v>
      </c>
      <c r="B154" s="3243" t="s">
        <v>2946</v>
      </c>
      <c r="C154" s="3244">
        <v>0.121</v>
      </c>
      <c r="D154" s="3244">
        <v>0.121</v>
      </c>
      <c r="E154" s="3244">
        <v>0.105</v>
      </c>
      <c r="F154" s="3244">
        <v>0.121</v>
      </c>
      <c r="G154" s="3245">
        <v>0.123</v>
      </c>
    </row>
    <row r="155" spans="1:7">
      <c r="A155" s="3254" t="s">
        <v>29</v>
      </c>
      <c r="B155" s="3243" t="s">
        <v>2952</v>
      </c>
      <c r="C155" s="3244">
        <v>0.1</v>
      </c>
      <c r="D155" s="3244">
        <v>0.1</v>
      </c>
      <c r="E155" s="3244">
        <v>0.1</v>
      </c>
      <c r="F155" s="3244">
        <v>0.1</v>
      </c>
      <c r="G155" s="3245">
        <v>0.1</v>
      </c>
    </row>
    <row r="156" spans="1:7">
      <c r="A156" s="3254" t="s">
        <v>29</v>
      </c>
      <c r="B156" s="3243" t="s">
        <v>2959</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2979</v>
      </c>
      <c r="C160" s="3244">
        <v>0.13</v>
      </c>
      <c r="D160" s="3244">
        <v>0.13</v>
      </c>
      <c r="E160" s="3244">
        <v>0.124</v>
      </c>
      <c r="F160" s="3244">
        <v>0.126</v>
      </c>
      <c r="G160" s="3245">
        <v>0.13</v>
      </c>
    </row>
    <row r="161" spans="1:7">
      <c r="A161" s="3254" t="s">
        <v>29</v>
      </c>
      <c r="B161" s="3243" t="s">
        <v>2984</v>
      </c>
      <c r="C161" s="3244">
        <v>0.13</v>
      </c>
      <c r="D161" s="3244">
        <v>0.13</v>
      </c>
      <c r="E161" s="3244">
        <v>0.124</v>
      </c>
      <c r="F161" s="3244">
        <v>0.127</v>
      </c>
      <c r="G161" s="3245">
        <v>0.13</v>
      </c>
    </row>
    <row r="162" spans="1:7">
      <c r="A162" s="3254" t="s">
        <v>29</v>
      </c>
      <c r="B162" s="3243" t="s">
        <v>2989</v>
      </c>
      <c r="C162" s="3244">
        <v>0.1</v>
      </c>
      <c r="D162" s="3244">
        <v>0.1</v>
      </c>
      <c r="E162" s="3244">
        <v>0.1</v>
      </c>
      <c r="F162" s="3244">
        <v>0.121</v>
      </c>
      <c r="G162" s="3245">
        <v>0.105</v>
      </c>
    </row>
    <row r="163" spans="1:7">
      <c r="A163" s="3254" t="s">
        <v>29</v>
      </c>
      <c r="B163" s="3243" t="s">
        <v>2994</v>
      </c>
      <c r="C163" s="3244">
        <v>0.1</v>
      </c>
      <c r="D163" s="3244">
        <v>0.1</v>
      </c>
      <c r="E163" s="3244">
        <v>0.1</v>
      </c>
      <c r="F163" s="3244">
        <v>0.1</v>
      </c>
      <c r="G163" s="3245">
        <v>0.1</v>
      </c>
    </row>
    <row r="164" spans="1:7">
      <c r="A164" s="3254" t="s">
        <v>29</v>
      </c>
      <c r="B164" s="3243" t="s">
        <v>2999</v>
      </c>
      <c r="C164" s="3260"/>
      <c r="D164" s="3260"/>
      <c r="E164" s="3260"/>
      <c r="F164" s="3244">
        <v>0.1</v>
      </c>
      <c r="G164" s="3256"/>
    </row>
    <row r="165" spans="1:7">
      <c r="A165" s="3254" t="s">
        <v>29</v>
      </c>
      <c r="B165" s="3243" t="s">
        <v>3170</v>
      </c>
      <c r="C165" s="3244">
        <v>0.126</v>
      </c>
      <c r="D165" s="3244">
        <v>0.126</v>
      </c>
      <c r="E165" s="3244">
        <v>0.11899999999999999</v>
      </c>
      <c r="F165" s="3244">
        <v>0.13</v>
      </c>
      <c r="G165" s="3245">
        <v>0.128</v>
      </c>
    </row>
    <row r="166" spans="1:7">
      <c r="A166" s="3254" t="s">
        <v>29</v>
      </c>
      <c r="B166" s="3243" t="s">
        <v>3009</v>
      </c>
      <c r="C166" s="3244">
        <v>0.129</v>
      </c>
      <c r="D166" s="3244">
        <v>0.129</v>
      </c>
      <c r="E166" s="3244">
        <v>0.123</v>
      </c>
      <c r="F166" s="3244">
        <v>0.128</v>
      </c>
      <c r="G166" s="3245">
        <v>0.13</v>
      </c>
    </row>
    <row r="167" spans="1:7">
      <c r="A167" s="3254" t="s">
        <v>29</v>
      </c>
      <c r="B167" s="3243" t="s">
        <v>3013</v>
      </c>
      <c r="C167" s="3244">
        <v>0.125</v>
      </c>
      <c r="D167" s="3244">
        <v>0.125</v>
      </c>
      <c r="E167" s="3244">
        <v>0.11700000000000001</v>
      </c>
      <c r="F167" s="3244">
        <v>0.13</v>
      </c>
      <c r="G167" s="3245">
        <v>0.126</v>
      </c>
    </row>
    <row r="168" spans="1:7">
      <c r="A168" s="3254" t="s">
        <v>29</v>
      </c>
      <c r="B168" s="3243" t="s">
        <v>3018</v>
      </c>
      <c r="C168" s="3244">
        <v>0.128</v>
      </c>
      <c r="D168" s="3244">
        <v>0.128</v>
      </c>
      <c r="E168" s="3244">
        <v>0.123</v>
      </c>
      <c r="F168" s="3255"/>
      <c r="G168" s="3245">
        <v>0.13</v>
      </c>
    </row>
    <row r="169" spans="1:7">
      <c r="A169" s="3254" t="s">
        <v>29</v>
      </c>
      <c r="B169" s="3243" t="s">
        <v>3171</v>
      </c>
      <c r="C169" s="3260"/>
      <c r="D169" s="3260"/>
      <c r="E169" s="3260"/>
      <c r="F169" s="3244">
        <v>0.05</v>
      </c>
      <c r="G169" s="3256"/>
    </row>
    <row r="170" spans="1:7">
      <c r="A170" s="3254" t="s">
        <v>29</v>
      </c>
      <c r="B170" s="3243" t="s">
        <v>3172</v>
      </c>
      <c r="C170" s="3260"/>
      <c r="D170" s="3260"/>
      <c r="E170" s="3260"/>
      <c r="F170" s="3244">
        <v>0.05</v>
      </c>
      <c r="G170" s="3256"/>
    </row>
    <row r="171" spans="1:7">
      <c r="A171" s="3254" t="s">
        <v>29</v>
      </c>
      <c r="B171" s="3243" t="s">
        <v>3173</v>
      </c>
      <c r="C171" s="3260"/>
      <c r="D171" s="3260"/>
      <c r="E171" s="3260"/>
      <c r="F171" s="3244">
        <v>0.05</v>
      </c>
      <c r="G171" s="3261"/>
    </row>
    <row r="172" spans="1:7">
      <c r="A172" s="3254" t="s">
        <v>29</v>
      </c>
      <c r="B172" s="3243" t="s">
        <v>3174</v>
      </c>
      <c r="C172" s="3260"/>
      <c r="D172" s="3260"/>
      <c r="E172" s="3260"/>
      <c r="F172" s="3244">
        <v>0.05</v>
      </c>
      <c r="G172" s="3261"/>
    </row>
    <row r="173" spans="1:7">
      <c r="A173" s="3254" t="s">
        <v>29</v>
      </c>
      <c r="B173" s="3243" t="s">
        <v>3175</v>
      </c>
      <c r="C173" s="3260"/>
      <c r="D173" s="3260"/>
      <c r="E173" s="3260"/>
      <c r="F173" s="3244">
        <v>0.05</v>
      </c>
      <c r="G173" s="3256"/>
    </row>
    <row r="174" spans="1:7">
      <c r="A174" s="3254" t="s">
        <v>29</v>
      </c>
      <c r="B174" s="3243" t="s">
        <v>3176</v>
      </c>
      <c r="C174" s="3260"/>
      <c r="D174" s="3260"/>
      <c r="E174" s="3260"/>
      <c r="F174" s="3244">
        <v>0.05</v>
      </c>
      <c r="G174" s="3256"/>
    </row>
    <row r="175" spans="1:7">
      <c r="A175" s="3254" t="s">
        <v>29</v>
      </c>
      <c r="B175" s="3243" t="s">
        <v>3177</v>
      </c>
      <c r="C175" s="3260"/>
      <c r="D175" s="3260"/>
      <c r="E175" s="3260"/>
      <c r="F175" s="3244">
        <v>0.05</v>
      </c>
      <c r="G175" s="3256"/>
    </row>
    <row r="176" spans="1:7">
      <c r="A176" s="3254" t="s">
        <v>29</v>
      </c>
      <c r="B176" s="3243" t="s">
        <v>3178</v>
      </c>
      <c r="C176" s="3260"/>
      <c r="D176" s="3260"/>
      <c r="E176" s="3260"/>
      <c r="F176" s="3244">
        <v>0.05</v>
      </c>
      <c r="G176" s="3256"/>
    </row>
    <row r="177" spans="1:7">
      <c r="A177" s="3254" t="s">
        <v>29</v>
      </c>
      <c r="B177" s="3243" t="s">
        <v>3179</v>
      </c>
      <c r="C177" s="3255"/>
      <c r="D177" s="3255"/>
      <c r="E177" s="3255"/>
      <c r="F177" s="3244">
        <v>0.05</v>
      </c>
      <c r="G177" s="3261"/>
    </row>
    <row r="178" spans="1:7">
      <c r="A178" s="3254" t="s">
        <v>29</v>
      </c>
      <c r="B178" s="3243" t="s">
        <v>3180</v>
      </c>
      <c r="C178" s="3255"/>
      <c r="D178" s="3255"/>
      <c r="E178" s="3255"/>
      <c r="F178" s="3244">
        <v>0.05</v>
      </c>
      <c r="G178" s="3261"/>
    </row>
    <row r="179" spans="1:7">
      <c r="A179" s="3254" t="s">
        <v>29</v>
      </c>
      <c r="B179" s="3243" t="s">
        <v>3181</v>
      </c>
      <c r="C179" s="3255"/>
      <c r="D179" s="3255"/>
      <c r="E179" s="3255"/>
      <c r="F179" s="3244">
        <v>0.05</v>
      </c>
      <c r="G179" s="3261"/>
    </row>
    <row r="180" spans="1:7">
      <c r="A180" s="3254" t="s">
        <v>29</v>
      </c>
      <c r="B180" s="3243" t="s">
        <v>3182</v>
      </c>
      <c r="C180" s="3255"/>
      <c r="D180" s="3255"/>
      <c r="E180" s="3255"/>
      <c r="F180" s="3244">
        <v>0.05</v>
      </c>
      <c r="G180" s="3261"/>
    </row>
    <row r="181" spans="1:7">
      <c r="A181" s="3254" t="s">
        <v>29</v>
      </c>
      <c r="B181" s="3243" t="s">
        <v>3183</v>
      </c>
      <c r="C181" s="3255"/>
      <c r="D181" s="3255"/>
      <c r="E181" s="3255"/>
      <c r="F181" s="3244">
        <v>0.05</v>
      </c>
      <c r="G181" s="3261"/>
    </row>
    <row r="182" spans="1:7">
      <c r="A182" s="3254" t="s">
        <v>29</v>
      </c>
      <c r="B182" s="3243" t="s">
        <v>3184</v>
      </c>
      <c r="C182" s="3255"/>
      <c r="D182" s="3255"/>
      <c r="E182" s="3255"/>
      <c r="F182" s="3244">
        <v>0.05</v>
      </c>
      <c r="G182" s="3261"/>
    </row>
    <row r="183" spans="1:7">
      <c r="A183" s="3254" t="s">
        <v>29</v>
      </c>
      <c r="B183" s="3243" t="s">
        <v>3185</v>
      </c>
      <c r="C183" s="3255"/>
      <c r="D183" s="3255"/>
      <c r="E183" s="3255"/>
      <c r="F183" s="3244">
        <v>0.05</v>
      </c>
      <c r="G183" s="3261"/>
    </row>
    <row r="184" spans="1:7">
      <c r="A184" s="3254" t="s">
        <v>29</v>
      </c>
      <c r="B184" s="3243" t="s">
        <v>3186</v>
      </c>
      <c r="C184" s="3255"/>
      <c r="D184" s="3255"/>
      <c r="E184" s="3255"/>
      <c r="F184" s="3244">
        <v>0.05</v>
      </c>
      <c r="G184" s="3261"/>
    </row>
    <row r="185" spans="1:7">
      <c r="A185" s="3254" t="s">
        <v>29</v>
      </c>
      <c r="B185" s="3243" t="s">
        <v>3187</v>
      </c>
      <c r="C185" s="3255"/>
      <c r="D185" s="3255"/>
      <c r="E185" s="3255"/>
      <c r="F185" s="3244">
        <v>0.05</v>
      </c>
      <c r="G185" s="3261"/>
    </row>
    <row r="186" spans="1:7">
      <c r="A186" s="3254" t="s">
        <v>29</v>
      </c>
      <c r="B186" s="3243" t="s">
        <v>3188</v>
      </c>
      <c r="C186" s="3255"/>
      <c r="D186" s="3255"/>
      <c r="E186" s="3255"/>
      <c r="F186" s="3244">
        <v>0.05</v>
      </c>
      <c r="G186" s="3261"/>
    </row>
    <row r="187" spans="1:7">
      <c r="A187" s="3254" t="s">
        <v>29</v>
      </c>
      <c r="B187" s="3243" t="s">
        <v>3189</v>
      </c>
      <c r="C187" s="3255"/>
      <c r="D187" s="3255"/>
      <c r="E187" s="3255"/>
      <c r="F187" s="3244">
        <v>0.05</v>
      </c>
      <c r="G187" s="3261"/>
    </row>
    <row r="188" spans="1:7">
      <c r="A188" s="3254" t="s">
        <v>29</v>
      </c>
      <c r="B188" s="3243" t="s">
        <v>3190</v>
      </c>
      <c r="C188" s="3255"/>
      <c r="D188" s="3255"/>
      <c r="E188" s="3255"/>
      <c r="F188" s="3244">
        <v>0.05</v>
      </c>
      <c r="G188" s="3261"/>
    </row>
    <row r="189" spans="1:7" ht="14.25" thickBot="1">
      <c r="A189" s="3257" t="s">
        <v>29</v>
      </c>
      <c r="B189" s="3247" t="s">
        <v>3191</v>
      </c>
      <c r="C189" s="3249"/>
      <c r="D189" s="3249"/>
      <c r="E189" s="3249"/>
      <c r="F189" s="3248">
        <v>0.05</v>
      </c>
      <c r="G189" s="3262"/>
    </row>
    <row r="190" spans="1:7">
      <c r="A190" s="3253" t="s">
        <v>304</v>
      </c>
      <c r="B190" s="3239" t="s">
        <v>2847</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2883</v>
      </c>
      <c r="C199" s="3244">
        <v>0.13</v>
      </c>
      <c r="D199" s="3244">
        <v>0.13</v>
      </c>
      <c r="E199" s="3244">
        <v>0.13</v>
      </c>
      <c r="F199" s="3244">
        <v>0.13</v>
      </c>
      <c r="G199" s="3245">
        <v>0.13</v>
      </c>
    </row>
    <row r="200" spans="1:7">
      <c r="A200" s="3254" t="s">
        <v>304</v>
      </c>
      <c r="B200" s="3243" t="s">
        <v>2886</v>
      </c>
      <c r="C200" s="3260"/>
      <c r="D200" s="3260"/>
      <c r="E200" s="3260"/>
      <c r="F200" s="3244">
        <v>0.13</v>
      </c>
      <c r="G200" s="3256"/>
    </row>
    <row r="201" spans="1:7">
      <c r="A201" s="3254" t="s">
        <v>304</v>
      </c>
      <c r="B201" s="3243" t="s">
        <v>2891</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2894</v>
      </c>
      <c r="C203" s="3244">
        <v>0.129</v>
      </c>
      <c r="D203" s="3244">
        <v>0.129</v>
      </c>
      <c r="E203" s="3244">
        <v>0.13</v>
      </c>
      <c r="F203" s="3244">
        <v>0.13</v>
      </c>
      <c r="G203" s="3245">
        <v>0.13</v>
      </c>
    </row>
    <row r="204" spans="1:7">
      <c r="A204" s="3254" t="s">
        <v>304</v>
      </c>
      <c r="B204" s="3243" t="s">
        <v>2897</v>
      </c>
      <c r="C204" s="3244">
        <v>0.129</v>
      </c>
      <c r="D204" s="3244">
        <v>0.129</v>
      </c>
      <c r="E204" s="3244">
        <v>0.123</v>
      </c>
      <c r="F204" s="3244">
        <v>0.13</v>
      </c>
      <c r="G204" s="3245">
        <v>0.13</v>
      </c>
    </row>
    <row r="205" spans="1:7">
      <c r="A205" s="3254" t="s">
        <v>304</v>
      </c>
      <c r="B205" s="3243" t="s">
        <v>2899</v>
      </c>
      <c r="C205" s="3244">
        <v>0.13</v>
      </c>
      <c r="D205" s="3244">
        <v>0.13</v>
      </c>
      <c r="E205" s="3244">
        <v>0.13</v>
      </c>
      <c r="F205" s="3244">
        <v>0.13</v>
      </c>
      <c r="G205" s="3245">
        <v>0.13</v>
      </c>
    </row>
    <row r="206" spans="1:7">
      <c r="A206" s="3254" t="s">
        <v>304</v>
      </c>
      <c r="B206" s="3243" t="s">
        <v>2902</v>
      </c>
      <c r="C206" s="3244">
        <v>0.13</v>
      </c>
      <c r="D206" s="3244">
        <v>0.13</v>
      </c>
      <c r="E206" s="3244">
        <v>0.13</v>
      </c>
      <c r="F206" s="3244">
        <v>0.128</v>
      </c>
      <c r="G206" s="3245">
        <v>0.13</v>
      </c>
    </row>
    <row r="207" spans="1:7">
      <c r="A207" s="3254" t="s">
        <v>304</v>
      </c>
      <c r="B207" s="3243" t="s">
        <v>2904</v>
      </c>
      <c r="C207" s="3244">
        <v>0.13</v>
      </c>
      <c r="D207" s="3244">
        <v>0.13</v>
      </c>
      <c r="E207" s="3244">
        <v>0.13</v>
      </c>
      <c r="F207" s="3244">
        <v>0.13</v>
      </c>
      <c r="G207" s="3245">
        <v>0.13</v>
      </c>
    </row>
    <row r="208" spans="1:7">
      <c r="A208" s="3254" t="s">
        <v>304</v>
      </c>
      <c r="B208" s="3243" t="s">
        <v>2907</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2914</v>
      </c>
      <c r="C210" s="3244">
        <v>0.121</v>
      </c>
      <c r="D210" s="3244">
        <v>0.121</v>
      </c>
      <c r="E210" s="3244">
        <v>0.125</v>
      </c>
      <c r="F210" s="3244">
        <v>0.13</v>
      </c>
      <c r="G210" s="3245">
        <v>0.123</v>
      </c>
    </row>
    <row r="211" spans="1:7">
      <c r="A211" s="3254" t="s">
        <v>304</v>
      </c>
      <c r="B211" s="3243" t="s">
        <v>2917</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2929</v>
      </c>
      <c r="C214" s="3244">
        <v>0.128</v>
      </c>
      <c r="D214" s="3244">
        <v>0.128</v>
      </c>
      <c r="E214" s="3244">
        <v>0.13</v>
      </c>
      <c r="F214" s="3244">
        <v>0.13</v>
      </c>
      <c r="G214" s="3245">
        <v>0.13</v>
      </c>
    </row>
    <row r="215" spans="1:7">
      <c r="A215" s="3254" t="s">
        <v>304</v>
      </c>
      <c r="B215" s="3243" t="s">
        <v>2933</v>
      </c>
      <c r="C215" s="3244">
        <v>0.13</v>
      </c>
      <c r="D215" s="3244">
        <v>0.13</v>
      </c>
      <c r="E215" s="3244">
        <v>0.13</v>
      </c>
      <c r="F215" s="3244">
        <v>0.129</v>
      </c>
      <c r="G215" s="3245">
        <v>0.13</v>
      </c>
    </row>
    <row r="216" spans="1:7">
      <c r="A216" s="3254" t="s">
        <v>304</v>
      </c>
      <c r="B216" s="3243" t="s">
        <v>2940</v>
      </c>
      <c r="C216" s="3244">
        <v>0.13</v>
      </c>
      <c r="D216" s="3244">
        <v>0.13</v>
      </c>
      <c r="E216" s="3244">
        <v>0.13</v>
      </c>
      <c r="F216" s="3244">
        <v>0.13</v>
      </c>
      <c r="G216" s="3245">
        <v>0.13</v>
      </c>
    </row>
    <row r="217" spans="1:7">
      <c r="A217" s="3254" t="s">
        <v>304</v>
      </c>
      <c r="B217" s="3243" t="s">
        <v>2947</v>
      </c>
      <c r="C217" s="3244">
        <v>0.129</v>
      </c>
      <c r="D217" s="3244">
        <v>0.129</v>
      </c>
      <c r="E217" s="3244">
        <v>0.13</v>
      </c>
      <c r="F217" s="3244">
        <v>0.13</v>
      </c>
      <c r="G217" s="3245">
        <v>0.13</v>
      </c>
    </row>
    <row r="218" spans="1:7">
      <c r="A218" s="3254" t="s">
        <v>304</v>
      </c>
      <c r="B218" s="3243" t="s">
        <v>2953</v>
      </c>
      <c r="C218" s="3255"/>
      <c r="D218" s="3255"/>
      <c r="E218" s="3255"/>
      <c r="F218" s="3244">
        <v>0.05</v>
      </c>
      <c r="G218" s="3261"/>
    </row>
    <row r="219" spans="1:7">
      <c r="A219" s="3254" t="s">
        <v>304</v>
      </c>
      <c r="B219" s="3243" t="s">
        <v>2960</v>
      </c>
      <c r="C219" s="3255"/>
      <c r="D219" s="3255"/>
      <c r="E219" s="3255"/>
      <c r="F219" s="3244">
        <v>0.05</v>
      </c>
      <c r="G219" s="3261"/>
    </row>
    <row r="220" spans="1:7">
      <c r="A220" s="3254" t="s">
        <v>304</v>
      </c>
      <c r="B220" s="3243" t="s">
        <v>2966</v>
      </c>
      <c r="C220" s="3255"/>
      <c r="D220" s="3255"/>
      <c r="E220" s="3255"/>
      <c r="F220" s="3244">
        <v>0.05</v>
      </c>
      <c r="G220" s="3261"/>
    </row>
    <row r="221" spans="1:7">
      <c r="A221" s="3254" t="s">
        <v>304</v>
      </c>
      <c r="B221" s="3243" t="s">
        <v>2971</v>
      </c>
      <c r="C221" s="3255"/>
      <c r="D221" s="3255"/>
      <c r="E221" s="3255"/>
      <c r="F221" s="3244">
        <v>0.05</v>
      </c>
      <c r="G221" s="3261"/>
    </row>
    <row r="222" spans="1:7">
      <c r="A222" s="3254" t="s">
        <v>304</v>
      </c>
      <c r="B222" s="3243" t="s">
        <v>2975</v>
      </c>
      <c r="C222" s="3255"/>
      <c r="D222" s="3255"/>
      <c r="E222" s="3255"/>
      <c r="F222" s="3244">
        <v>0.05</v>
      </c>
      <c r="G222" s="3261"/>
    </row>
    <row r="223" spans="1:7">
      <c r="A223" s="3254" t="s">
        <v>304</v>
      </c>
      <c r="B223" s="3243" t="s">
        <v>2980</v>
      </c>
      <c r="C223" s="3255"/>
      <c r="D223" s="3255"/>
      <c r="E223" s="3255"/>
      <c r="F223" s="3244">
        <v>0.05</v>
      </c>
      <c r="G223" s="3261"/>
    </row>
    <row r="224" spans="1:7">
      <c r="A224" s="3254" t="s">
        <v>304</v>
      </c>
      <c r="B224" s="3243" t="s">
        <v>2985</v>
      </c>
      <c r="C224" s="3255"/>
      <c r="D224" s="3255"/>
      <c r="E224" s="3255"/>
      <c r="F224" s="3244">
        <v>0.05</v>
      </c>
      <c r="G224" s="3261"/>
    </row>
    <row r="225" spans="1:7">
      <c r="A225" s="3254" t="s">
        <v>304</v>
      </c>
      <c r="B225" s="3243" t="s">
        <v>2990</v>
      </c>
      <c r="C225" s="3255"/>
      <c r="D225" s="3255"/>
      <c r="E225" s="3255"/>
      <c r="F225" s="3244">
        <v>0.05</v>
      </c>
      <c r="G225" s="3261"/>
    </row>
    <row r="226" spans="1:7">
      <c r="A226" s="3254" t="s">
        <v>304</v>
      </c>
      <c r="B226" s="3243" t="s">
        <v>3192</v>
      </c>
      <c r="C226" s="3255"/>
      <c r="D226" s="3255"/>
      <c r="E226" s="3255"/>
      <c r="F226" s="3244">
        <v>0.05</v>
      </c>
      <c r="G226" s="3261"/>
    </row>
    <row r="227" spans="1:7">
      <c r="A227" s="3254" t="s">
        <v>304</v>
      </c>
      <c r="B227" s="3243" t="s">
        <v>3193</v>
      </c>
      <c r="C227" s="3255"/>
      <c r="D227" s="3255"/>
      <c r="E227" s="3255"/>
      <c r="F227" s="3244">
        <v>0.05</v>
      </c>
      <c r="G227" s="3261"/>
    </row>
    <row r="228" spans="1:7">
      <c r="A228" s="3254" t="s">
        <v>304</v>
      </c>
      <c r="B228" s="3243" t="s">
        <v>3194</v>
      </c>
      <c r="C228" s="3255"/>
      <c r="D228" s="3255"/>
      <c r="E228" s="3255"/>
      <c r="F228" s="3244">
        <v>0.05</v>
      </c>
      <c r="G228" s="3261"/>
    </row>
    <row r="229" spans="1:7">
      <c r="A229" s="3254" t="s">
        <v>304</v>
      </c>
      <c r="B229" s="3243" t="s">
        <v>3195</v>
      </c>
      <c r="C229" s="3255"/>
      <c r="D229" s="3255"/>
      <c r="E229" s="3255"/>
      <c r="F229" s="3244">
        <v>0.05</v>
      </c>
      <c r="G229" s="3261"/>
    </row>
    <row r="230" spans="1:7">
      <c r="A230" s="3254" t="s">
        <v>304</v>
      </c>
      <c r="B230" s="3243" t="s">
        <v>3196</v>
      </c>
      <c r="C230" s="3255"/>
      <c r="D230" s="3255"/>
      <c r="E230" s="3255"/>
      <c r="F230" s="3244">
        <v>0.05</v>
      </c>
      <c r="G230" s="3261"/>
    </row>
    <row r="231" spans="1:7">
      <c r="A231" s="3254" t="s">
        <v>304</v>
      </c>
      <c r="B231" s="3243" t="s">
        <v>3197</v>
      </c>
      <c r="C231" s="3255"/>
      <c r="D231" s="3255"/>
      <c r="E231" s="3255"/>
      <c r="F231" s="3244">
        <v>0.05</v>
      </c>
      <c r="G231" s="3261"/>
    </row>
    <row r="232" spans="1:7">
      <c r="A232" s="3254" t="s">
        <v>304</v>
      </c>
      <c r="B232" s="3243" t="s">
        <v>3198</v>
      </c>
      <c r="C232" s="3255"/>
      <c r="D232" s="3255"/>
      <c r="E232" s="3255"/>
      <c r="F232" s="3244">
        <v>0.05</v>
      </c>
      <c r="G232" s="3261"/>
    </row>
    <row r="233" spans="1:7" ht="14.25" thickBot="1">
      <c r="A233" s="3257" t="s">
        <v>304</v>
      </c>
      <c r="B233" s="3247" t="s">
        <v>3199</v>
      </c>
      <c r="C233" s="3249"/>
      <c r="D233" s="3249"/>
      <c r="E233" s="3249"/>
      <c r="F233" s="3248">
        <v>0.05</v>
      </c>
      <c r="G233" s="3262"/>
    </row>
    <row r="234" spans="1:7">
      <c r="A234" s="3253" t="s">
        <v>305</v>
      </c>
      <c r="B234" s="3239" t="s">
        <v>2848</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2868</v>
      </c>
      <c r="C238" s="3244">
        <v>0.14899999999999999</v>
      </c>
      <c r="D238" s="3244">
        <v>0.14899999999999999</v>
      </c>
      <c r="E238" s="3244">
        <v>0.15</v>
      </c>
      <c r="F238" s="3244">
        <v>0.15</v>
      </c>
      <c r="G238" s="3245">
        <v>0.15</v>
      </c>
    </row>
    <row r="239" spans="1:7">
      <c r="A239" s="3254" t="s">
        <v>305</v>
      </c>
      <c r="B239" s="3243" t="s">
        <v>2872</v>
      </c>
      <c r="C239" s="3244">
        <v>0.15</v>
      </c>
      <c r="D239" s="3244">
        <v>0.15</v>
      </c>
      <c r="E239" s="3244">
        <v>0.15</v>
      </c>
      <c r="F239" s="3244">
        <v>0.15</v>
      </c>
      <c r="G239" s="3245">
        <v>0.15</v>
      </c>
    </row>
    <row r="240" spans="1:7">
      <c r="A240" s="3254" t="s">
        <v>305</v>
      </c>
      <c r="B240" s="3243" t="s">
        <v>2877</v>
      </c>
      <c r="C240" s="3244">
        <v>0.15</v>
      </c>
      <c r="D240" s="3244">
        <v>0.15</v>
      </c>
      <c r="E240" s="3244">
        <v>0.15</v>
      </c>
      <c r="F240" s="3244">
        <v>0.15</v>
      </c>
      <c r="G240" s="3245">
        <v>0.15</v>
      </c>
    </row>
    <row r="241" spans="1:7">
      <c r="A241" s="3254" t="s">
        <v>305</v>
      </c>
      <c r="B241" s="3243" t="s">
        <v>2881</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2887</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2895</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2900</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2908</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2921</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2930</v>
      </c>
      <c r="C258" s="3244">
        <v>0.14299999999999999</v>
      </c>
      <c r="D258" s="3244">
        <v>0.14299999999999999</v>
      </c>
      <c r="E258" s="3244">
        <v>0.15</v>
      </c>
      <c r="F258" s="3244">
        <v>0.14799999999999999</v>
      </c>
      <c r="G258" s="3245">
        <v>0.14599999999999999</v>
      </c>
    </row>
    <row r="259" spans="1:7">
      <c r="A259" s="3254" t="s">
        <v>305</v>
      </c>
      <c r="B259" s="3243" t="s">
        <v>2934</v>
      </c>
      <c r="C259" s="3244">
        <v>0.14399999999999999</v>
      </c>
      <c r="D259" s="3244">
        <v>0.14399999999999999</v>
      </c>
      <c r="E259" s="3244">
        <v>0.14899999999999999</v>
      </c>
      <c r="F259" s="3244">
        <v>0.14699999999999999</v>
      </c>
      <c r="G259" s="3245">
        <v>0.14599999999999999</v>
      </c>
    </row>
    <row r="260" spans="1:7">
      <c r="A260" s="3254" t="s">
        <v>305</v>
      </c>
      <c r="B260" s="3243" t="s">
        <v>2941</v>
      </c>
      <c r="C260" s="3244">
        <v>0.109</v>
      </c>
      <c r="D260" s="3244">
        <v>0.111</v>
      </c>
      <c r="E260" s="3244">
        <v>0.13100000000000001</v>
      </c>
      <c r="F260" s="3244">
        <v>0.126</v>
      </c>
      <c r="G260" s="3245">
        <v>0.11899999999999999</v>
      </c>
    </row>
    <row r="261" spans="1:7">
      <c r="A261" s="3254" t="s">
        <v>305</v>
      </c>
      <c r="B261" s="3243" t="s">
        <v>2948</v>
      </c>
      <c r="C261" s="3244">
        <v>0.1</v>
      </c>
      <c r="D261" s="3244">
        <v>0.1</v>
      </c>
      <c r="E261" s="3244">
        <v>0.11799999999999999</v>
      </c>
      <c r="F261" s="3244">
        <v>0.108</v>
      </c>
      <c r="G261" s="3245">
        <v>0.107</v>
      </c>
    </row>
    <row r="262" spans="1:7">
      <c r="A262" s="3254" t="s">
        <v>305</v>
      </c>
      <c r="B262" s="3243" t="s">
        <v>2954</v>
      </c>
      <c r="C262" s="3244">
        <v>0.1</v>
      </c>
      <c r="D262" s="3244">
        <v>0.1</v>
      </c>
      <c r="E262" s="3244">
        <v>0.1</v>
      </c>
      <c r="F262" s="3244">
        <v>0.14099999999999999</v>
      </c>
      <c r="G262" s="3245">
        <v>0.1</v>
      </c>
    </row>
    <row r="263" spans="1:7">
      <c r="A263" s="3254" t="s">
        <v>305</v>
      </c>
      <c r="B263" s="3243" t="s">
        <v>2961</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2972</v>
      </c>
      <c r="C265" s="3255"/>
      <c r="D265" s="3255"/>
      <c r="E265" s="3255"/>
      <c r="F265" s="3244">
        <v>0.05</v>
      </c>
      <c r="G265" s="3261"/>
    </row>
    <row r="266" spans="1:7">
      <c r="A266" s="3254" t="s">
        <v>305</v>
      </c>
      <c r="B266" s="3243" t="s">
        <v>2976</v>
      </c>
      <c r="C266" s="3255"/>
      <c r="D266" s="3255"/>
      <c r="E266" s="3255"/>
      <c r="F266" s="3244">
        <v>0.05</v>
      </c>
      <c r="G266" s="3261"/>
    </row>
    <row r="267" spans="1:7">
      <c r="A267" s="3254" t="s">
        <v>305</v>
      </c>
      <c r="B267" s="3243" t="s">
        <v>2981</v>
      </c>
      <c r="C267" s="3255"/>
      <c r="D267" s="3255"/>
      <c r="E267" s="3255"/>
      <c r="F267" s="3244">
        <v>0.05</v>
      </c>
      <c r="G267" s="3261"/>
    </row>
    <row r="268" spans="1:7">
      <c r="A268" s="3254" t="s">
        <v>305</v>
      </c>
      <c r="B268" s="3243" t="s">
        <v>2986</v>
      </c>
      <c r="C268" s="3255"/>
      <c r="D268" s="3255"/>
      <c r="E268" s="3255"/>
      <c r="F268" s="3244">
        <v>0.05</v>
      </c>
      <c r="G268" s="3261"/>
    </row>
    <row r="269" spans="1:7">
      <c r="A269" s="3254" t="s">
        <v>305</v>
      </c>
      <c r="B269" s="3243" t="s">
        <v>2991</v>
      </c>
      <c r="C269" s="3255"/>
      <c r="D269" s="3255"/>
      <c r="E269" s="3255"/>
      <c r="F269" s="3244">
        <v>0.05</v>
      </c>
      <c r="G269" s="3261"/>
    </row>
    <row r="270" spans="1:7">
      <c r="A270" s="3254" t="s">
        <v>305</v>
      </c>
      <c r="B270" s="3243" t="s">
        <v>2996</v>
      </c>
      <c r="C270" s="3255"/>
      <c r="D270" s="3255"/>
      <c r="E270" s="3255"/>
      <c r="F270" s="3244">
        <v>0.05</v>
      </c>
      <c r="G270" s="3261"/>
    </row>
    <row r="271" spans="1:7">
      <c r="A271" s="3254" t="s">
        <v>305</v>
      </c>
      <c r="B271" s="3243" t="s">
        <v>3200</v>
      </c>
      <c r="C271" s="3255"/>
      <c r="D271" s="3255"/>
      <c r="E271" s="3255"/>
      <c r="F271" s="3244">
        <v>0.05</v>
      </c>
      <c r="G271" s="3261"/>
    </row>
    <row r="272" spans="1:7">
      <c r="A272" s="3254" t="s">
        <v>305</v>
      </c>
      <c r="B272" s="3243" t="s">
        <v>3201</v>
      </c>
      <c r="C272" s="3255"/>
      <c r="D272" s="3255"/>
      <c r="E272" s="3255"/>
      <c r="F272" s="3244">
        <v>0.05</v>
      </c>
      <c r="G272" s="3261"/>
    </row>
    <row r="273" spans="1:7">
      <c r="A273" s="3254" t="s">
        <v>305</v>
      </c>
      <c r="B273" s="3243" t="s">
        <v>3202</v>
      </c>
      <c r="C273" s="3255"/>
      <c r="D273" s="3255"/>
      <c r="E273" s="3255"/>
      <c r="F273" s="3244">
        <v>0.05</v>
      </c>
      <c r="G273" s="3261"/>
    </row>
    <row r="274" spans="1:7">
      <c r="A274" s="3254" t="s">
        <v>305</v>
      </c>
      <c r="B274" s="3243" t="s">
        <v>3203</v>
      </c>
      <c r="C274" s="3255"/>
      <c r="D274" s="3255"/>
      <c r="E274" s="3255"/>
      <c r="F274" s="3244">
        <v>0.05</v>
      </c>
      <c r="G274" s="3261"/>
    </row>
    <row r="275" spans="1:7">
      <c r="A275" s="3254" t="s">
        <v>305</v>
      </c>
      <c r="B275" s="3243" t="s">
        <v>3204</v>
      </c>
      <c r="C275" s="3255"/>
      <c r="D275" s="3255"/>
      <c r="E275" s="3255"/>
      <c r="F275" s="3244">
        <v>0.05</v>
      </c>
      <c r="G275" s="3261"/>
    </row>
    <row r="276" spans="1:7" ht="14.25" thickBot="1">
      <c r="A276" s="3257" t="s">
        <v>305</v>
      </c>
      <c r="B276" s="3247" t="s">
        <v>3205</v>
      </c>
      <c r="C276" s="3249"/>
      <c r="D276" s="3249"/>
      <c r="E276" s="3249"/>
      <c r="F276" s="3248">
        <v>0.05</v>
      </c>
      <c r="G276" s="3262"/>
    </row>
    <row r="277" spans="1:7">
      <c r="A277" s="3253" t="s">
        <v>306</v>
      </c>
      <c r="B277" s="3239" t="s">
        <v>2849</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2861</v>
      </c>
      <c r="C279" s="3244">
        <v>0.15</v>
      </c>
      <c r="D279" s="3244">
        <v>0.15</v>
      </c>
      <c r="E279" s="3244">
        <v>0.15</v>
      </c>
      <c r="F279" s="3244">
        <v>0.15</v>
      </c>
      <c r="G279" s="3245">
        <v>0.15</v>
      </c>
    </row>
    <row r="280" spans="1:7">
      <c r="A280" s="3254" t="s">
        <v>306</v>
      </c>
      <c r="B280" s="3243" t="s">
        <v>2865</v>
      </c>
      <c r="C280" s="3244">
        <v>0.15</v>
      </c>
      <c r="D280" s="3244">
        <v>0.15</v>
      </c>
      <c r="E280" s="3244">
        <v>0.15</v>
      </c>
      <c r="F280" s="3244">
        <v>0.15</v>
      </c>
      <c r="G280" s="3245">
        <v>0.15</v>
      </c>
    </row>
    <row r="281" spans="1:7">
      <c r="A281" s="3254" t="s">
        <v>306</v>
      </c>
      <c r="B281" s="3243" t="s">
        <v>2869</v>
      </c>
      <c r="C281" s="3244">
        <v>0.15</v>
      </c>
      <c r="D281" s="3244">
        <v>0.15</v>
      </c>
      <c r="E281" s="3244">
        <v>0.15</v>
      </c>
      <c r="F281" s="3244">
        <v>0.15</v>
      </c>
      <c r="G281" s="3245">
        <v>0.15</v>
      </c>
    </row>
    <row r="282" spans="1:7">
      <c r="A282" s="3254" t="s">
        <v>306</v>
      </c>
      <c r="B282" s="3243" t="s">
        <v>2873</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2888</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2893</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2903</v>
      </c>
      <c r="C293" s="3244">
        <v>0.15</v>
      </c>
      <c r="D293" s="3244">
        <v>0.15</v>
      </c>
      <c r="E293" s="3244">
        <v>0.15</v>
      </c>
      <c r="F293" s="3244">
        <v>0.14499999999999999</v>
      </c>
      <c r="G293" s="3245">
        <v>0.15</v>
      </c>
    </row>
    <row r="294" spans="1:7">
      <c r="A294" s="3254" t="s">
        <v>306</v>
      </c>
      <c r="B294" s="3243" t="s">
        <v>2905</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2922</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2935</v>
      </c>
      <c r="C302" s="3244">
        <v>0.15</v>
      </c>
      <c r="D302" s="3244">
        <v>0.15</v>
      </c>
      <c r="E302" s="3244">
        <v>0.15</v>
      </c>
      <c r="F302" s="3244">
        <v>0.14699999999999999</v>
      </c>
      <c r="G302" s="3245">
        <v>0.15</v>
      </c>
    </row>
    <row r="303" spans="1:7">
      <c r="A303" s="3254" t="s">
        <v>306</v>
      </c>
      <c r="B303" s="3243" t="s">
        <v>2942</v>
      </c>
      <c r="C303" s="3244">
        <v>0.15</v>
      </c>
      <c r="D303" s="3244">
        <v>0.15</v>
      </c>
      <c r="E303" s="3244">
        <v>0.15</v>
      </c>
      <c r="F303" s="3244">
        <v>0.14199999999999999</v>
      </c>
      <c r="G303" s="3245">
        <v>0.15</v>
      </c>
    </row>
    <row r="304" spans="1:7">
      <c r="A304" s="3254" t="s">
        <v>306</v>
      </c>
      <c r="B304" s="3243" t="s">
        <v>2949</v>
      </c>
      <c r="C304" s="3244">
        <v>0.15</v>
      </c>
      <c r="D304" s="3244">
        <v>0.15</v>
      </c>
      <c r="E304" s="3244">
        <v>0.15</v>
      </c>
      <c r="F304" s="3244">
        <v>0.14499999999999999</v>
      </c>
      <c r="G304" s="3245">
        <v>0.15</v>
      </c>
    </row>
    <row r="305" spans="1:7">
      <c r="A305" s="3254" t="s">
        <v>306</v>
      </c>
      <c r="B305" s="3243" t="s">
        <v>2955</v>
      </c>
      <c r="C305" s="3244">
        <v>0.15</v>
      </c>
      <c r="D305" s="3244">
        <v>0.15</v>
      </c>
      <c r="E305" s="3244">
        <v>0.15</v>
      </c>
      <c r="F305" s="3244">
        <v>0.111</v>
      </c>
      <c r="G305" s="3245">
        <v>0.15</v>
      </c>
    </row>
    <row r="306" spans="1:7">
      <c r="A306" s="3254" t="s">
        <v>306</v>
      </c>
      <c r="B306" s="3243" t="s">
        <v>2962</v>
      </c>
      <c r="C306" s="3244">
        <v>0.15</v>
      </c>
      <c r="D306" s="3244">
        <v>0.15</v>
      </c>
      <c r="E306" s="3244">
        <v>0.15</v>
      </c>
      <c r="F306" s="3244">
        <v>0.126</v>
      </c>
      <c r="G306" s="3245">
        <v>0.15</v>
      </c>
    </row>
    <row r="307" spans="1:7">
      <c r="A307" s="3254" t="s">
        <v>306</v>
      </c>
      <c r="B307" s="3243" t="s">
        <v>2967</v>
      </c>
      <c r="C307" s="3244">
        <v>0.15</v>
      </c>
      <c r="D307" s="3244">
        <v>0.15</v>
      </c>
      <c r="E307" s="3244">
        <v>0.15</v>
      </c>
      <c r="F307" s="3244">
        <v>0.12</v>
      </c>
      <c r="G307" s="3245">
        <v>0.15</v>
      </c>
    </row>
    <row r="308" spans="1:7">
      <c r="A308" s="3254" t="s">
        <v>306</v>
      </c>
      <c r="B308" s="3243" t="s">
        <v>2973</v>
      </c>
      <c r="C308" s="3244">
        <v>0.15</v>
      </c>
      <c r="D308" s="3244">
        <v>0.15</v>
      </c>
      <c r="E308" s="3244">
        <v>0.15</v>
      </c>
      <c r="F308" s="3244">
        <v>0.13</v>
      </c>
      <c r="G308" s="3245">
        <v>0.15</v>
      </c>
    </row>
    <row r="309" spans="1:7">
      <c r="A309" s="3254" t="s">
        <v>306</v>
      </c>
      <c r="B309" s="3243" t="s">
        <v>2977</v>
      </c>
      <c r="C309" s="3244">
        <v>0.15</v>
      </c>
      <c r="D309" s="3244">
        <v>0.15</v>
      </c>
      <c r="E309" s="3244">
        <v>0.15</v>
      </c>
      <c r="F309" s="3244">
        <v>0.14099999999999999</v>
      </c>
      <c r="G309" s="3245">
        <v>0.15</v>
      </c>
    </row>
    <row r="310" spans="1:7">
      <c r="A310" s="3254" t="s">
        <v>306</v>
      </c>
      <c r="B310" s="3243" t="s">
        <v>2982</v>
      </c>
      <c r="C310" s="3244">
        <v>0.15</v>
      </c>
      <c r="D310" s="3244">
        <v>0.15</v>
      </c>
      <c r="E310" s="3244">
        <v>0.15</v>
      </c>
      <c r="F310" s="3244">
        <v>0.15</v>
      </c>
      <c r="G310" s="3245">
        <v>0.15</v>
      </c>
    </row>
    <row r="311" spans="1:7">
      <c r="A311" s="3254" t="s">
        <v>306</v>
      </c>
      <c r="B311" s="3243" t="s">
        <v>2987</v>
      </c>
      <c r="C311" s="3244">
        <v>0.13200000000000001</v>
      </c>
      <c r="D311" s="3244">
        <v>0.13300000000000001</v>
      </c>
      <c r="E311" s="3244">
        <v>0.14499999999999999</v>
      </c>
      <c r="F311" s="3244">
        <v>0.14199999999999999</v>
      </c>
      <c r="G311" s="3245">
        <v>0.14000000000000001</v>
      </c>
    </row>
    <row r="312" spans="1:7">
      <c r="A312" s="3254" t="s">
        <v>306</v>
      </c>
      <c r="B312" s="3243" t="s">
        <v>2992</v>
      </c>
      <c r="C312" s="3244">
        <v>0.13800000000000001</v>
      </c>
      <c r="D312" s="3244">
        <v>0.14000000000000001</v>
      </c>
      <c r="E312" s="3244">
        <v>0.14599999999999999</v>
      </c>
      <c r="F312" s="3244">
        <v>0.14899999999999999</v>
      </c>
      <c r="G312" s="3245">
        <v>0.14199999999999999</v>
      </c>
    </row>
    <row r="313" spans="1:7">
      <c r="A313" s="3254" t="s">
        <v>306</v>
      </c>
      <c r="B313" s="3243" t="s">
        <v>2997</v>
      </c>
      <c r="C313" s="3244">
        <v>0.125</v>
      </c>
      <c r="D313" s="3244">
        <v>0.127</v>
      </c>
      <c r="E313" s="3244">
        <v>0.14399999999999999</v>
      </c>
      <c r="F313" s="3244">
        <v>0.115</v>
      </c>
      <c r="G313" s="3245">
        <v>0.13600000000000001</v>
      </c>
    </row>
    <row r="314" spans="1:7">
      <c r="A314" s="3254" t="s">
        <v>306</v>
      </c>
      <c r="B314" s="3243" t="s">
        <v>3206</v>
      </c>
      <c r="C314" s="3260"/>
      <c r="D314" s="3260"/>
      <c r="E314" s="3260"/>
      <c r="F314" s="3244">
        <v>0.05</v>
      </c>
      <c r="G314" s="3261"/>
    </row>
    <row r="315" spans="1:7">
      <c r="A315" s="3254" t="s">
        <v>306</v>
      </c>
      <c r="B315" s="3243" t="s">
        <v>3207</v>
      </c>
      <c r="C315" s="3260"/>
      <c r="D315" s="3260"/>
      <c r="E315" s="3260"/>
      <c r="F315" s="3244">
        <v>0.05</v>
      </c>
      <c r="G315" s="3261"/>
    </row>
    <row r="316" spans="1:7">
      <c r="A316" s="3254" t="s">
        <v>306</v>
      </c>
      <c r="B316" s="3243" t="s">
        <v>3208</v>
      </c>
      <c r="C316" s="3255"/>
      <c r="D316" s="3255"/>
      <c r="E316" s="3255"/>
      <c r="F316" s="3244">
        <v>0.05</v>
      </c>
      <c r="G316" s="3261"/>
    </row>
    <row r="317" spans="1:7">
      <c r="A317" s="3254" t="s">
        <v>306</v>
      </c>
      <c r="B317" s="3243" t="s">
        <v>3209</v>
      </c>
      <c r="C317" s="3255"/>
      <c r="D317" s="3255"/>
      <c r="E317" s="3255"/>
      <c r="F317" s="3244">
        <v>0.05</v>
      </c>
      <c r="G317" s="3261"/>
    </row>
    <row r="318" spans="1:7">
      <c r="A318" s="3254" t="s">
        <v>306</v>
      </c>
      <c r="B318" s="3243" t="s">
        <v>3210</v>
      </c>
      <c r="C318" s="3255"/>
      <c r="D318" s="3255"/>
      <c r="E318" s="3255"/>
      <c r="F318" s="3244">
        <v>0.05</v>
      </c>
      <c r="G318" s="3261"/>
    </row>
    <row r="319" spans="1:7">
      <c r="A319" s="3254" t="s">
        <v>306</v>
      </c>
      <c r="B319" s="3243" t="s">
        <v>3211</v>
      </c>
      <c r="C319" s="3255"/>
      <c r="D319" s="3255"/>
      <c r="E319" s="3255"/>
      <c r="F319" s="3244">
        <v>0.05</v>
      </c>
      <c r="G319" s="3261"/>
    </row>
    <row r="320" spans="1:7">
      <c r="A320" s="3254" t="s">
        <v>306</v>
      </c>
      <c r="B320" s="3243" t="s">
        <v>3212</v>
      </c>
      <c r="C320" s="3255"/>
      <c r="D320" s="3255"/>
      <c r="E320" s="3255"/>
      <c r="F320" s="3244">
        <v>0.05</v>
      </c>
      <c r="G320" s="3261"/>
    </row>
    <row r="321" spans="1:7">
      <c r="A321" s="3254" t="s">
        <v>306</v>
      </c>
      <c r="B321" s="3243" t="s">
        <v>3213</v>
      </c>
      <c r="C321" s="3255"/>
      <c r="D321" s="3255"/>
      <c r="E321" s="3255"/>
      <c r="F321" s="3244">
        <v>0.05</v>
      </c>
      <c r="G321" s="3261"/>
    </row>
    <row r="322" spans="1:7">
      <c r="A322" s="3254" t="s">
        <v>306</v>
      </c>
      <c r="B322" s="3243" t="s">
        <v>3214</v>
      </c>
      <c r="C322" s="3255"/>
      <c r="D322" s="3255"/>
      <c r="E322" s="3255"/>
      <c r="F322" s="3244">
        <v>0.05</v>
      </c>
      <c r="G322" s="3261"/>
    </row>
    <row r="323" spans="1:7">
      <c r="A323" s="3254" t="s">
        <v>306</v>
      </c>
      <c r="B323" s="3243" t="s">
        <v>3215</v>
      </c>
      <c r="C323" s="3255"/>
      <c r="D323" s="3255"/>
      <c r="E323" s="3255"/>
      <c r="F323" s="3244">
        <v>0.05</v>
      </c>
      <c r="G323" s="3261"/>
    </row>
    <row r="324" spans="1:7">
      <c r="A324" s="3254" t="s">
        <v>306</v>
      </c>
      <c r="B324" s="3243" t="s">
        <v>3216</v>
      </c>
      <c r="C324" s="3255"/>
      <c r="D324" s="3255"/>
      <c r="E324" s="3255"/>
      <c r="F324" s="3244">
        <v>0.05</v>
      </c>
      <c r="G324" s="3261"/>
    </row>
    <row r="325" spans="1:7">
      <c r="A325" s="3254" t="s">
        <v>306</v>
      </c>
      <c r="B325" s="3243" t="s">
        <v>3217</v>
      </c>
      <c r="C325" s="3255"/>
      <c r="D325" s="3255"/>
      <c r="E325" s="3255"/>
      <c r="F325" s="3244">
        <v>0.05</v>
      </c>
      <c r="G325" s="3261"/>
    </row>
    <row r="326" spans="1:7" ht="14.25" thickBot="1">
      <c r="A326" s="3257" t="s">
        <v>306</v>
      </c>
      <c r="B326" s="3247" t="s">
        <v>3218</v>
      </c>
      <c r="C326" s="3249"/>
      <c r="D326" s="3249"/>
      <c r="E326" s="3249"/>
      <c r="F326" s="3248">
        <v>0.05</v>
      </c>
      <c r="G326" s="3262"/>
    </row>
    <row r="327" spans="1:7">
      <c r="A327" s="3253" t="s">
        <v>307</v>
      </c>
      <c r="B327" s="3239" t="s">
        <v>2850</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2862</v>
      </c>
      <c r="C329" s="3244">
        <v>0.15</v>
      </c>
      <c r="D329" s="3244">
        <v>0.15</v>
      </c>
      <c r="E329" s="3244">
        <v>0.15</v>
      </c>
      <c r="F329" s="3244">
        <v>0.15</v>
      </c>
      <c r="G329" s="3245">
        <v>0.15</v>
      </c>
    </row>
    <row r="330" spans="1:7">
      <c r="A330" s="3254" t="s">
        <v>307</v>
      </c>
      <c r="B330" s="3243" t="s">
        <v>2866</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2874</v>
      </c>
      <c r="C332" s="3244">
        <v>0.15</v>
      </c>
      <c r="D332" s="3244">
        <v>0.15</v>
      </c>
      <c r="E332" s="3244">
        <v>0.15</v>
      </c>
      <c r="F332" s="3244">
        <v>0.15</v>
      </c>
      <c r="G332" s="3245">
        <v>0.15</v>
      </c>
    </row>
    <row r="333" spans="1:7">
      <c r="A333" s="3254" t="s">
        <v>307</v>
      </c>
      <c r="B333" s="3243" t="s">
        <v>2878</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2884</v>
      </c>
      <c r="C336" s="3244">
        <v>0.15</v>
      </c>
      <c r="D336" s="3244">
        <v>0.15</v>
      </c>
      <c r="E336" s="3244">
        <v>0.15</v>
      </c>
      <c r="F336" s="3244">
        <v>0.14199999999999999</v>
      </c>
      <c r="G336" s="3245">
        <v>0.15</v>
      </c>
    </row>
    <row r="337" spans="1:7">
      <c r="A337" s="3254" t="s">
        <v>307</v>
      </c>
      <c r="B337" s="3243" t="s">
        <v>2889</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2896</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2901</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2909</v>
      </c>
      <c r="C345" s="3244">
        <v>0.15</v>
      </c>
      <c r="D345" s="3244">
        <v>0.15</v>
      </c>
      <c r="E345" s="3244">
        <v>0.15</v>
      </c>
      <c r="F345" s="3244">
        <v>0.13800000000000001</v>
      </c>
      <c r="G345" s="3245">
        <v>0.15</v>
      </c>
    </row>
    <row r="346" spans="1:7">
      <c r="A346" s="3254" t="s">
        <v>307</v>
      </c>
      <c r="B346" s="3243" t="s">
        <v>2911</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2918</v>
      </c>
      <c r="C348" s="3244">
        <v>0.15</v>
      </c>
      <c r="D348" s="3244">
        <v>0.15</v>
      </c>
      <c r="E348" s="3244">
        <v>0.15</v>
      </c>
      <c r="F348" s="3244">
        <v>0.14399999999999999</v>
      </c>
      <c r="G348" s="3245">
        <v>0.15</v>
      </c>
    </row>
    <row r="349" spans="1:7">
      <c r="A349" s="3254" t="s">
        <v>307</v>
      </c>
      <c r="B349" s="3243" t="s">
        <v>2923</v>
      </c>
      <c r="C349" s="3244">
        <v>0.15</v>
      </c>
      <c r="D349" s="3244">
        <v>0.15</v>
      </c>
      <c r="E349" s="3244">
        <v>0.15</v>
      </c>
      <c r="F349" s="3244">
        <v>0.15</v>
      </c>
      <c r="G349" s="3245">
        <v>0.15</v>
      </c>
    </row>
    <row r="350" spans="1:7">
      <c r="A350" s="3254" t="s">
        <v>307</v>
      </c>
      <c r="B350" s="3243" t="s">
        <v>2926</v>
      </c>
      <c r="C350" s="3244">
        <v>0.15</v>
      </c>
      <c r="D350" s="3244">
        <v>0.15</v>
      </c>
      <c r="E350" s="3244">
        <v>0.15</v>
      </c>
      <c r="F350" s="3244">
        <v>0.14699999999999999</v>
      </c>
      <c r="G350" s="3245">
        <v>0.15</v>
      </c>
    </row>
    <row r="351" spans="1:7">
      <c r="A351" s="3254" t="s">
        <v>307</v>
      </c>
      <c r="B351" s="3243" t="s">
        <v>2931</v>
      </c>
      <c r="C351" s="3244">
        <v>0.15</v>
      </c>
      <c r="D351" s="3244">
        <v>0.15</v>
      </c>
      <c r="E351" s="3244">
        <v>0.15</v>
      </c>
      <c r="F351" s="3244">
        <v>0.13</v>
      </c>
      <c r="G351" s="3245">
        <v>0.15</v>
      </c>
    </row>
    <row r="352" spans="1:7">
      <c r="A352" s="3254" t="s">
        <v>307</v>
      </c>
      <c r="B352" s="3243" t="s">
        <v>2936</v>
      </c>
      <c r="C352" s="3244">
        <v>0.15</v>
      </c>
      <c r="D352" s="3244">
        <v>0.15</v>
      </c>
      <c r="E352" s="3244">
        <v>0.15</v>
      </c>
      <c r="F352" s="3244">
        <v>0.14599999999999999</v>
      </c>
      <c r="G352" s="3245">
        <v>0.15</v>
      </c>
    </row>
    <row r="353" spans="1:7">
      <c r="A353" s="3254" t="s">
        <v>307</v>
      </c>
      <c r="B353" s="3243" t="s">
        <v>2943</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2956</v>
      </c>
      <c r="C355" s="3244">
        <v>0.15</v>
      </c>
      <c r="D355" s="3244">
        <v>0.15</v>
      </c>
      <c r="E355" s="3244">
        <v>0.15</v>
      </c>
      <c r="F355" s="3244">
        <v>0.15</v>
      </c>
      <c r="G355" s="3245">
        <v>0.15</v>
      </c>
    </row>
    <row r="356" spans="1:7">
      <c r="A356" s="3254" t="s">
        <v>307</v>
      </c>
      <c r="B356" s="3243" t="s">
        <v>2963</v>
      </c>
      <c r="C356" s="3244">
        <v>0.15</v>
      </c>
      <c r="D356" s="3244">
        <v>0.15</v>
      </c>
      <c r="E356" s="3244">
        <v>0.15</v>
      </c>
      <c r="F356" s="3244">
        <v>0.15</v>
      </c>
      <c r="G356" s="3245">
        <v>0.15</v>
      </c>
    </row>
    <row r="357" spans="1:7" ht="14.25" thickBot="1">
      <c r="A357" s="3257" t="s">
        <v>307</v>
      </c>
      <c r="B357" s="3247" t="s">
        <v>2968</v>
      </c>
      <c r="C357" s="3248">
        <v>0.126</v>
      </c>
      <c r="D357" s="3248">
        <v>0.127</v>
      </c>
      <c r="E357" s="3248">
        <v>0.14299999999999999</v>
      </c>
      <c r="F357" s="3248">
        <v>0.125</v>
      </c>
      <c r="G357" s="3250">
        <v>0.129</v>
      </c>
    </row>
    <row r="358" spans="1:7">
      <c r="A358" s="3253" t="s">
        <v>2837</v>
      </c>
      <c r="B358" s="3239" t="s">
        <v>2851</v>
      </c>
      <c r="C358" s="3240">
        <v>0.15</v>
      </c>
      <c r="D358" s="3240">
        <v>0.15</v>
      </c>
      <c r="E358" s="3240">
        <v>0.15</v>
      </c>
      <c r="F358" s="3240">
        <v>0.15</v>
      </c>
      <c r="G358" s="3241">
        <v>0.15</v>
      </c>
    </row>
    <row r="359" spans="1:7">
      <c r="A359" s="3254" t="s">
        <v>2837</v>
      </c>
      <c r="B359" s="3243" t="s">
        <v>2857</v>
      </c>
      <c r="C359" s="3244">
        <v>0.1</v>
      </c>
      <c r="D359" s="3244">
        <v>0.1</v>
      </c>
      <c r="E359" s="3244">
        <v>0.1</v>
      </c>
      <c r="F359" s="3244">
        <v>0.1</v>
      </c>
      <c r="G359" s="3245">
        <v>0.1</v>
      </c>
    </row>
    <row r="360" spans="1:7">
      <c r="A360" s="3254" t="s">
        <v>2837</v>
      </c>
      <c r="B360" s="3243" t="s">
        <v>2863</v>
      </c>
      <c r="C360" s="3244">
        <v>0.15</v>
      </c>
      <c r="D360" s="3244">
        <v>0.15</v>
      </c>
      <c r="E360" s="3244">
        <v>0.15</v>
      </c>
      <c r="F360" s="3244">
        <v>0.14899999999999999</v>
      </c>
      <c r="G360" s="3245">
        <v>0.15</v>
      </c>
    </row>
    <row r="361" spans="1:7">
      <c r="A361" s="3254" t="s">
        <v>2837</v>
      </c>
      <c r="B361" s="3243" t="s">
        <v>153</v>
      </c>
      <c r="C361" s="3244">
        <v>0.15</v>
      </c>
      <c r="D361" s="3244">
        <v>0.15</v>
      </c>
      <c r="E361" s="3244">
        <v>0.15</v>
      </c>
      <c r="F361" s="3244">
        <v>0.115</v>
      </c>
      <c r="G361" s="3245">
        <v>0.15</v>
      </c>
    </row>
    <row r="362" spans="1:7">
      <c r="A362" s="3254" t="s">
        <v>2837</v>
      </c>
      <c r="B362" s="3243" t="s">
        <v>2870</v>
      </c>
      <c r="C362" s="3244">
        <v>0.15</v>
      </c>
      <c r="D362" s="3244">
        <v>0.15</v>
      </c>
      <c r="E362" s="3244">
        <v>0.15</v>
      </c>
      <c r="F362" s="3244">
        <v>0.106</v>
      </c>
      <c r="G362" s="3245">
        <v>0.15</v>
      </c>
    </row>
    <row r="363" spans="1:7">
      <c r="A363" s="3254" t="s">
        <v>2837</v>
      </c>
      <c r="B363" s="3243" t="s">
        <v>2875</v>
      </c>
      <c r="C363" s="3244">
        <v>0.15</v>
      </c>
      <c r="D363" s="3244">
        <v>0.15</v>
      </c>
      <c r="E363" s="3244">
        <v>0.15</v>
      </c>
      <c r="F363" s="3244">
        <v>0.14699999999999999</v>
      </c>
      <c r="G363" s="3245">
        <v>0.15</v>
      </c>
    </row>
    <row r="364" spans="1:7">
      <c r="A364" s="3254" t="s">
        <v>2837</v>
      </c>
      <c r="B364" s="3243" t="s">
        <v>2879</v>
      </c>
      <c r="C364" s="3244">
        <v>0.15</v>
      </c>
      <c r="D364" s="3244">
        <v>0.15</v>
      </c>
      <c r="E364" s="3244">
        <v>0.15</v>
      </c>
      <c r="F364" s="3244">
        <v>0.14799999999999999</v>
      </c>
      <c r="G364" s="3245">
        <v>0.15</v>
      </c>
    </row>
    <row r="365" spans="1:7">
      <c r="A365" s="3254" t="s">
        <v>2837</v>
      </c>
      <c r="B365" s="3243" t="s">
        <v>200</v>
      </c>
      <c r="C365" s="3244">
        <v>0.15</v>
      </c>
      <c r="D365" s="3244">
        <v>0.15</v>
      </c>
      <c r="E365" s="3244">
        <v>0.15</v>
      </c>
      <c r="F365" s="3244">
        <v>0.15</v>
      </c>
      <c r="G365" s="3245">
        <v>0.15</v>
      </c>
    </row>
    <row r="366" spans="1:7">
      <c r="A366" s="3254" t="s">
        <v>2837</v>
      </c>
      <c r="B366" s="3243" t="s">
        <v>2882</v>
      </c>
      <c r="C366" s="3244">
        <v>0.15</v>
      </c>
      <c r="D366" s="3244">
        <v>0.15</v>
      </c>
      <c r="E366" s="3244">
        <v>0.15</v>
      </c>
      <c r="F366" s="3244">
        <v>0.15</v>
      </c>
      <c r="G366" s="3245">
        <v>0.15</v>
      </c>
    </row>
    <row r="367" spans="1:7">
      <c r="A367" s="3254" t="s">
        <v>2837</v>
      </c>
      <c r="B367" s="3243" t="s">
        <v>2885</v>
      </c>
      <c r="C367" s="3244">
        <v>0.15</v>
      </c>
      <c r="D367" s="3244">
        <v>0.15</v>
      </c>
      <c r="E367" s="3244">
        <v>0.15</v>
      </c>
      <c r="F367" s="3244">
        <v>0.14699999999999999</v>
      </c>
      <c r="G367" s="3245">
        <v>0.15</v>
      </c>
    </row>
    <row r="368" spans="1:7">
      <c r="A368" s="3254" t="s">
        <v>2837</v>
      </c>
      <c r="B368" s="3243" t="s">
        <v>2890</v>
      </c>
      <c r="C368" s="3244">
        <v>0.15</v>
      </c>
      <c r="D368" s="3244">
        <v>0.15</v>
      </c>
      <c r="E368" s="3244">
        <v>0.15</v>
      </c>
      <c r="F368" s="3244">
        <v>0.13600000000000001</v>
      </c>
      <c r="G368" s="3245">
        <v>0.15</v>
      </c>
    </row>
    <row r="369" spans="1:7">
      <c r="A369" s="3254" t="s">
        <v>2837</v>
      </c>
      <c r="B369" s="3243" t="s">
        <v>214</v>
      </c>
      <c r="C369" s="3244">
        <v>0.15</v>
      </c>
      <c r="D369" s="3244">
        <v>0.15</v>
      </c>
      <c r="E369" s="3244">
        <v>0.15</v>
      </c>
      <c r="F369" s="3244">
        <v>0.14399999999999999</v>
      </c>
      <c r="G369" s="3245">
        <v>0.15</v>
      </c>
    </row>
    <row r="370" spans="1:7">
      <c r="A370" s="3254" t="s">
        <v>2837</v>
      </c>
      <c r="B370" s="3243" t="s">
        <v>221</v>
      </c>
      <c r="C370" s="3244">
        <v>0.15</v>
      </c>
      <c r="D370" s="3244">
        <v>0.15</v>
      </c>
      <c r="E370" s="3244">
        <v>0.15</v>
      </c>
      <c r="F370" s="3244">
        <v>0.14599999999999999</v>
      </c>
      <c r="G370" s="3245">
        <v>0.15</v>
      </c>
    </row>
    <row r="371" spans="1:7">
      <c r="A371" s="3254" t="s">
        <v>2837</v>
      </c>
      <c r="B371" s="3243" t="s">
        <v>229</v>
      </c>
      <c r="C371" s="3244">
        <v>0.15</v>
      </c>
      <c r="D371" s="3244">
        <v>0.15</v>
      </c>
      <c r="E371" s="3244">
        <v>0.15</v>
      </c>
      <c r="F371" s="3244">
        <v>0.12</v>
      </c>
      <c r="G371" s="3245">
        <v>0.15</v>
      </c>
    </row>
    <row r="372" spans="1:7">
      <c r="A372" s="3254" t="s">
        <v>2837</v>
      </c>
      <c r="B372" s="3243" t="s">
        <v>2898</v>
      </c>
      <c r="C372" s="3244">
        <v>0.15</v>
      </c>
      <c r="D372" s="3244">
        <v>0.15</v>
      </c>
      <c r="E372" s="3244">
        <v>0.15</v>
      </c>
      <c r="F372" s="3244">
        <v>0.14299999999999999</v>
      </c>
      <c r="G372" s="3245">
        <v>0.15</v>
      </c>
    </row>
    <row r="373" spans="1:7">
      <c r="A373" s="3254" t="s">
        <v>2837</v>
      </c>
      <c r="B373" s="3243" t="s">
        <v>258</v>
      </c>
      <c r="C373" s="3244">
        <v>0.15</v>
      </c>
      <c r="D373" s="3244">
        <v>0.15</v>
      </c>
      <c r="E373" s="3244">
        <v>0.15</v>
      </c>
      <c r="F373" s="3244">
        <v>0.14599999999999999</v>
      </c>
      <c r="G373" s="3245">
        <v>0.15</v>
      </c>
    </row>
    <row r="374" spans="1:7">
      <c r="A374" s="3254" t="s">
        <v>2837</v>
      </c>
      <c r="B374" s="3243" t="s">
        <v>266</v>
      </c>
      <c r="C374" s="3244">
        <v>0.15</v>
      </c>
      <c r="D374" s="3244">
        <v>0.15</v>
      </c>
      <c r="E374" s="3244">
        <v>0.15</v>
      </c>
      <c r="F374" s="3244">
        <v>0.14399999999999999</v>
      </c>
      <c r="G374" s="3245">
        <v>0.15</v>
      </c>
    </row>
    <row r="375" spans="1:7">
      <c r="A375" s="3254" t="s">
        <v>2837</v>
      </c>
      <c r="B375" s="3243" t="s">
        <v>2906</v>
      </c>
      <c r="C375" s="3244">
        <v>0.15</v>
      </c>
      <c r="D375" s="3244">
        <v>0.15</v>
      </c>
      <c r="E375" s="3244">
        <v>0.15</v>
      </c>
      <c r="F375" s="3244">
        <v>0.13</v>
      </c>
      <c r="G375" s="3245">
        <v>0.15</v>
      </c>
    </row>
    <row r="376" spans="1:7">
      <c r="A376" s="3254" t="s">
        <v>2837</v>
      </c>
      <c r="B376" s="3243" t="s">
        <v>277</v>
      </c>
      <c r="C376" s="3244">
        <v>0.15</v>
      </c>
      <c r="D376" s="3244">
        <v>0.15</v>
      </c>
      <c r="E376" s="3244">
        <v>0.15</v>
      </c>
      <c r="F376" s="3244">
        <v>0.14199999999999999</v>
      </c>
      <c r="G376" s="3245">
        <v>0.15</v>
      </c>
    </row>
    <row r="377" spans="1:7" ht="14.25" thickBot="1">
      <c r="A377" s="3257" t="s">
        <v>2837</v>
      </c>
      <c r="B377" s="3247" t="s">
        <v>2912</v>
      </c>
      <c r="C377" s="3248">
        <v>0.15</v>
      </c>
      <c r="D377" s="3248">
        <v>0.15</v>
      </c>
      <c r="E377" s="3248">
        <v>0.15</v>
      </c>
      <c r="F377" s="3248">
        <v>0.14000000000000001</v>
      </c>
      <c r="G377" s="3250">
        <v>0.15</v>
      </c>
    </row>
    <row r="378" spans="1:7">
      <c r="A378" s="3253" t="s">
        <v>2838</v>
      </c>
      <c r="B378" s="3239" t="s">
        <v>2852</v>
      </c>
      <c r="C378" s="3240">
        <v>0.15</v>
      </c>
      <c r="D378" s="3240">
        <v>0.15</v>
      </c>
      <c r="E378" s="3240">
        <v>0.15</v>
      </c>
      <c r="F378" s="3240">
        <v>0.107</v>
      </c>
      <c r="G378" s="3241">
        <v>0.15</v>
      </c>
    </row>
    <row r="379" spans="1:7">
      <c r="A379" s="3254" t="s">
        <v>2838</v>
      </c>
      <c r="B379" s="3243" t="s">
        <v>2858</v>
      </c>
      <c r="C379" s="3244">
        <v>0.15</v>
      </c>
      <c r="D379" s="3244">
        <v>0.15</v>
      </c>
      <c r="E379" s="3244">
        <v>0.15</v>
      </c>
      <c r="F379" s="3244">
        <v>0.115</v>
      </c>
      <c r="G379" s="3245">
        <v>0.14899999999999999</v>
      </c>
    </row>
    <row r="380" spans="1:7">
      <c r="A380" s="3254" t="s">
        <v>2838</v>
      </c>
      <c r="B380" s="3243" t="s">
        <v>2864</v>
      </c>
      <c r="C380" s="3244">
        <v>0.15</v>
      </c>
      <c r="D380" s="3244">
        <v>0.15</v>
      </c>
      <c r="E380" s="3244">
        <v>0.15</v>
      </c>
      <c r="F380" s="3244">
        <v>0.1</v>
      </c>
      <c r="G380" s="3245">
        <v>0.14799999999999999</v>
      </c>
    </row>
    <row r="381" spans="1:7">
      <c r="A381" s="3254" t="s">
        <v>2838</v>
      </c>
      <c r="B381" s="3243" t="s">
        <v>2867</v>
      </c>
      <c r="C381" s="3244">
        <v>0.15</v>
      </c>
      <c r="D381" s="3244">
        <v>0.15</v>
      </c>
      <c r="E381" s="3244">
        <v>0.15</v>
      </c>
      <c r="F381" s="3244">
        <v>0.126</v>
      </c>
      <c r="G381" s="3245">
        <v>0.15</v>
      </c>
    </row>
    <row r="382" spans="1:7">
      <c r="A382" s="3254" t="s">
        <v>2838</v>
      </c>
      <c r="B382" s="3243" t="s">
        <v>2871</v>
      </c>
      <c r="C382" s="3244">
        <v>0.15</v>
      </c>
      <c r="D382" s="3244">
        <v>0.15</v>
      </c>
      <c r="E382" s="3244">
        <v>0.15</v>
      </c>
      <c r="F382" s="3244">
        <v>0.15</v>
      </c>
      <c r="G382" s="3245">
        <v>0.15</v>
      </c>
    </row>
    <row r="383" spans="1:7">
      <c r="A383" s="3254" t="s">
        <v>2838</v>
      </c>
      <c r="B383" s="3243" t="s">
        <v>2876</v>
      </c>
      <c r="C383" s="3244">
        <v>0.15</v>
      </c>
      <c r="D383" s="3244">
        <v>0.15</v>
      </c>
      <c r="E383" s="3244">
        <v>0.15</v>
      </c>
      <c r="F383" s="3244">
        <v>0.14699999999999999</v>
      </c>
      <c r="G383" s="3245">
        <v>0.15</v>
      </c>
    </row>
    <row r="384" spans="1:7" ht="14.25" thickBot="1">
      <c r="A384" s="3264" t="s">
        <v>2838</v>
      </c>
      <c r="B384" s="3265" t="s">
        <v>2880</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778" t="s">
        <v>3219</v>
      </c>
      <c r="B1" s="3778"/>
      <c r="C1" s="3778"/>
      <c r="D1" s="3778"/>
      <c r="E1" s="3778"/>
      <c r="F1" s="3779"/>
    </row>
    <row r="2" spans="1:6">
      <c r="A2" s="3270" t="s">
        <v>3220</v>
      </c>
      <c r="B2" s="3271"/>
      <c r="C2" s="3271"/>
      <c r="D2" s="3271"/>
      <c r="E2" s="3271"/>
      <c r="F2" s="3271"/>
    </row>
    <row r="3" spans="1:6">
      <c r="A3" s="3270" t="s">
        <v>3221</v>
      </c>
      <c r="B3" s="3271"/>
      <c r="C3" s="3271"/>
      <c r="D3" s="3271"/>
      <c r="E3" s="3271"/>
      <c r="F3" s="3272" t="s">
        <v>3222</v>
      </c>
    </row>
    <row r="4" spans="1:6">
      <c r="A4" s="3273" t="s">
        <v>672</v>
      </c>
      <c r="B4" s="3273" t="s">
        <v>673</v>
      </c>
      <c r="C4" s="3273" t="s">
        <v>21</v>
      </c>
      <c r="D4" s="3273" t="s">
        <v>674</v>
      </c>
      <c r="E4" s="3273" t="s">
        <v>3</v>
      </c>
      <c r="F4" s="3273" t="s">
        <v>3223</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0">
        <f>基准地价修正!G23</f>
        <v>45420</v>
      </c>
      <c r="B1" s="3189" t="s">
        <v>3358</v>
      </c>
      <c r="C1" s="3190"/>
      <c r="D1" s="3190"/>
      <c r="E1" s="3190"/>
      <c r="F1" s="3190"/>
      <c r="G1" s="3190"/>
      <c r="H1" s="3190"/>
      <c r="I1" s="3190"/>
      <c r="J1" s="3144"/>
      <c r="K1" s="3190" t="s">
        <v>454</v>
      </c>
      <c r="L1" s="3190"/>
      <c r="M1" s="3190"/>
      <c r="N1" s="3190"/>
      <c r="O1" s="3190"/>
      <c r="P1" s="3190"/>
      <c r="Q1" s="3144"/>
      <c r="R1" s="3780" t="s">
        <v>456</v>
      </c>
      <c r="S1" s="3781"/>
      <c r="T1" s="3781"/>
      <c r="U1" s="3781"/>
      <c r="V1" s="3781"/>
      <c r="W1" s="3781"/>
      <c r="X1" s="3144"/>
      <c r="Y1" s="3780" t="s">
        <v>457</v>
      </c>
      <c r="Z1" s="3781"/>
      <c r="AA1" s="3781"/>
      <c r="AB1" s="3781"/>
      <c r="AC1" s="3781"/>
      <c r="AD1" s="3781"/>
    </row>
    <row r="2" spans="1:30" s="3122" customFormat="1" ht="14.25" thickBot="1">
      <c r="B2" s="3123"/>
      <c r="C2" s="3124"/>
      <c r="D2" s="3125" t="s">
        <v>2797</v>
      </c>
      <c r="E2" s="3126" t="s">
        <v>2798</v>
      </c>
      <c r="F2" s="3126" t="s">
        <v>2799</v>
      </c>
      <c r="G2" s="3126" t="s">
        <v>2800</v>
      </c>
      <c r="H2" s="3126" t="s">
        <v>2801</v>
      </c>
      <c r="I2" s="3126" t="s">
        <v>2618</v>
      </c>
      <c r="J2" s="3127"/>
      <c r="K2" s="3125" t="s">
        <v>2797</v>
      </c>
      <c r="L2" s="3126" t="s">
        <v>2798</v>
      </c>
      <c r="M2" s="3126" t="s">
        <v>2799</v>
      </c>
      <c r="N2" s="3126" t="s">
        <v>2800</v>
      </c>
      <c r="O2" s="3126" t="s">
        <v>2802</v>
      </c>
      <c r="P2" s="3126" t="s">
        <v>2618</v>
      </c>
      <c r="Q2" s="3127"/>
      <c r="R2" s="3125" t="s">
        <v>2797</v>
      </c>
      <c r="S2" s="3126" t="s">
        <v>2798</v>
      </c>
      <c r="T2" s="3126" t="s">
        <v>2799</v>
      </c>
      <c r="U2" s="3126" t="s">
        <v>2803</v>
      </c>
      <c r="V2" s="3126" t="s">
        <v>2804</v>
      </c>
      <c r="W2" s="3126" t="s">
        <v>2618</v>
      </c>
      <c r="X2" s="3127"/>
      <c r="Y2" s="3125" t="s">
        <v>2797</v>
      </c>
      <c r="Z2" s="3126" t="s">
        <v>2798</v>
      </c>
      <c r="AA2" s="3126" t="s">
        <v>2799</v>
      </c>
      <c r="AB2" s="3126" t="s">
        <v>2805</v>
      </c>
      <c r="AC2" s="3126" t="s">
        <v>2804</v>
      </c>
      <c r="AD2" s="3126" t="s">
        <v>2618</v>
      </c>
    </row>
    <row r="3" spans="1:30" s="3140" customFormat="1" ht="12.75">
      <c r="A3" s="3128" t="s">
        <v>2806</v>
      </c>
      <c r="B3" s="3129"/>
      <c r="C3" s="3130"/>
      <c r="D3" s="3130">
        <f>ROUND(AVERAGEIF(D4:D18,"&lt;&gt;0"),2)</f>
        <v>0.73</v>
      </c>
      <c r="E3" s="3130">
        <f t="shared" ref="E3:H3" si="0">ROUND(AVERAGEIF(E4:E18,"&lt;&gt;0"),2)</f>
        <v>0.4</v>
      </c>
      <c r="F3" s="3130">
        <f t="shared" si="0"/>
        <v>0.2</v>
      </c>
      <c r="G3" s="3130">
        <f t="shared" si="0"/>
        <v>0.78</v>
      </c>
      <c r="H3" s="3130">
        <f t="shared" si="0"/>
        <v>0.63</v>
      </c>
      <c r="I3" s="3130">
        <f>F3</f>
        <v>0.2</v>
      </c>
      <c r="J3" s="3131"/>
      <c r="K3" s="3132">
        <f>ROUND(AVERAGEIF(K4:K18,"&lt;&gt;0"),4)</f>
        <v>7.3000000000000001E-3</v>
      </c>
      <c r="L3" s="3133">
        <f t="shared" ref="L3:O3" si="1">ROUND(AVERAGEIF(L4:L18,"&lt;&gt;0"),4)</f>
        <v>4.0000000000000001E-3</v>
      </c>
      <c r="M3" s="3133">
        <f t="shared" si="1"/>
        <v>2E-3</v>
      </c>
      <c r="N3" s="3133">
        <f t="shared" si="1"/>
        <v>7.7999999999999996E-3</v>
      </c>
      <c r="O3" s="3133">
        <f t="shared" si="1"/>
        <v>6.3E-3</v>
      </c>
      <c r="P3" s="3133">
        <f>M3</f>
        <v>2E-3</v>
      </c>
      <c r="Q3" s="3131"/>
      <c r="R3" s="3134">
        <f>ROUND(SUMPRODUCT(PRODUCT(1+K4:K18)),4)</f>
        <v>1.0908</v>
      </c>
      <c r="S3" s="3135">
        <f t="shared" ref="S3:V3" si="2">ROUND(SUMPRODUCT(PRODUCT(1+L4:L18)),4)</f>
        <v>1.0488</v>
      </c>
      <c r="T3" s="3135">
        <f t="shared" si="2"/>
        <v>1.024</v>
      </c>
      <c r="U3" s="3135">
        <f t="shared" si="2"/>
        <v>1.0980000000000001</v>
      </c>
      <c r="V3" s="3135">
        <f t="shared" si="2"/>
        <v>1.0779000000000001</v>
      </c>
      <c r="W3" s="3134">
        <f>T3</f>
        <v>1.024</v>
      </c>
      <c r="X3" s="3131"/>
      <c r="Y3" s="3136">
        <f>ROUND(AVERAGEIF(Y5:Y18,"&lt;&gt;0"),4)</f>
        <v>8.6999999999999994E-3</v>
      </c>
      <c r="Z3" s="3137">
        <f t="shared" ref="Z3:AC3" si="3">ROUND(AVERAGEIF(Z5:Z18,"&lt;&gt;0"),4)</f>
        <v>3.5000000000000001E-3</v>
      </c>
      <c r="AA3" s="3138">
        <f t="shared" si="3"/>
        <v>8.9999999999999998E-4</v>
      </c>
      <c r="AB3" s="3136">
        <f t="shared" si="3"/>
        <v>9.4999999999999998E-3</v>
      </c>
      <c r="AC3" s="3139">
        <f t="shared" si="3"/>
        <v>6.1000000000000004E-3</v>
      </c>
      <c r="AD3" s="3136">
        <f>AA3</f>
        <v>8.9999999999999998E-4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2205" t="s">
        <v>3361</v>
      </c>
      <c r="B5" s="3156">
        <v>2024</v>
      </c>
      <c r="C5" s="3157">
        <v>2</v>
      </c>
      <c r="D5" s="3158">
        <v>0</v>
      </c>
      <c r="E5" s="3158">
        <v>0</v>
      </c>
      <c r="F5" s="3158">
        <v>0</v>
      </c>
      <c r="G5" s="3158">
        <v>0</v>
      </c>
      <c r="H5" s="3158">
        <v>0</v>
      </c>
      <c r="I5" s="3159">
        <f t="shared" ref="I5:I18" si="4">F5</f>
        <v>0</v>
      </c>
      <c r="J5" s="3160"/>
      <c r="K5" s="3161">
        <f t="shared" ref="K5:O18" si="5">D5/100</f>
        <v>0</v>
      </c>
      <c r="L5" s="3151">
        <f t="shared" si="5"/>
        <v>0</v>
      </c>
      <c r="M5" s="3151">
        <f t="shared" si="5"/>
        <v>0</v>
      </c>
      <c r="N5" s="3151">
        <f t="shared" si="5"/>
        <v>0</v>
      </c>
      <c r="O5" s="3151">
        <f t="shared" si="5"/>
        <v>0</v>
      </c>
      <c r="P5" s="3151">
        <f>M5</f>
        <v>0</v>
      </c>
      <c r="Q5" s="3160"/>
      <c r="R5" s="3162">
        <f>ROUND(IF(项目基本情况!$B$8="出让",SUMPRODUCT(PRODUCT(1+K5:$K$18)),SUMPRODUCT(PRODUCT(1+K5:$K$17))),4)</f>
        <v>1.0804</v>
      </c>
      <c r="S5" s="3162">
        <f>ROUND(IF(项目基本情况!$B$8="出让",SUMPRODUCT(PRODUCT(1+L5:$L$18)),SUMPRODUCT(PRODUCT(1+L5:$L$17))),4)</f>
        <v>1.0471999999999999</v>
      </c>
      <c r="T5" s="3162">
        <f>ROUND(IF(项目基本情况!$B$8="出让",SUMPRODUCT(PRODUCT(1+M5:$M$18)),SUMPRODUCT(PRODUCT(1+M5:$M$17))),4)</f>
        <v>1.0266</v>
      </c>
      <c r="U5" s="3162">
        <f>ROUND(IF(项目基本情况!$B$8="出让",SUMPRODUCT(PRODUCT(1+N5:$N$18)),SUMPRODUCT(PRODUCT(1+N5:$N$17))),4)</f>
        <v>1.0859000000000001</v>
      </c>
      <c r="V5" s="3162">
        <f>ROUND(IF(项目基本情况!$B$8="出让",SUMPRODUCT(PRODUCT(1+O5:$O$18)),SUMPRODUCT(PRODUCT(1+O5:$O$17))),4)</f>
        <v>1.0741000000000001</v>
      </c>
      <c r="W5" s="3162">
        <f>T5</f>
        <v>1.0266</v>
      </c>
      <c r="X5" s="3160"/>
      <c r="Y5" s="3163">
        <f>IF(D5=0,0,ROUND(AVERAGE(D5:D18)/100,4))</f>
        <v>0</v>
      </c>
      <c r="Z5" s="3163">
        <f t="shared" ref="Z5:AC5" si="6">IF(E5=0,0,ROUND(AVERAGE(E5:E18)/100,4))</f>
        <v>0</v>
      </c>
      <c r="AA5" s="3163">
        <f t="shared" si="6"/>
        <v>0</v>
      </c>
      <c r="AB5" s="3163">
        <f t="shared" si="6"/>
        <v>0</v>
      </c>
      <c r="AC5" s="3163">
        <f t="shared" si="6"/>
        <v>0</v>
      </c>
      <c r="AD5" s="3163">
        <f t="shared" ref="AD5:AD17" si="7">AA5</f>
        <v>0</v>
      </c>
    </row>
    <row r="6" spans="1:30" s="3164" customFormat="1" ht="12.75">
      <c r="A6" s="2205" t="s">
        <v>3362</v>
      </c>
      <c r="B6" s="3156">
        <v>2024</v>
      </c>
      <c r="C6" s="3157">
        <v>1</v>
      </c>
      <c r="D6" s="3158">
        <v>0</v>
      </c>
      <c r="E6" s="3158">
        <v>0</v>
      </c>
      <c r="F6" s="3158">
        <v>0</v>
      </c>
      <c r="G6" s="3158">
        <v>0</v>
      </c>
      <c r="H6" s="3175">
        <v>0</v>
      </c>
      <c r="I6" s="3159">
        <v>0</v>
      </c>
      <c r="J6" s="3160"/>
      <c r="K6" s="3161">
        <f t="shared" ref="K6" si="8">D6/100</f>
        <v>0</v>
      </c>
      <c r="L6" s="3151">
        <f t="shared" ref="L6" si="9">E6/100</f>
        <v>0</v>
      </c>
      <c r="M6" s="3151">
        <f t="shared" ref="M6" si="10">F6/100</f>
        <v>0</v>
      </c>
      <c r="N6" s="3151">
        <f t="shared" ref="N6" si="11">G6/100</f>
        <v>0</v>
      </c>
      <c r="O6" s="3151">
        <f t="shared" ref="O6" si="12">H6/100</f>
        <v>0</v>
      </c>
      <c r="P6" s="3151">
        <f t="shared" ref="P6" si="13">M6</f>
        <v>0</v>
      </c>
      <c r="Q6" s="3160"/>
      <c r="R6" s="3162">
        <f>ROUND(IF(项目基本情况!$B$8="出让",SUMPRODUCT(PRODUCT(1+K6:$K$18)),SUMPRODUCT(PRODUCT(1+K6:$K$17))),4)</f>
        <v>1.0804</v>
      </c>
      <c r="S6" s="3162">
        <f>ROUND(IF(项目基本情况!$B$8="出让",SUMPRODUCT(PRODUCT(1+L6:$L$18)),SUMPRODUCT(PRODUCT(1+L6:$L$17))),4)</f>
        <v>1.0471999999999999</v>
      </c>
      <c r="T6" s="3162">
        <f>ROUND(IF(项目基本情况!$B$8="出让",SUMPRODUCT(PRODUCT(1+M6:$M$18)),SUMPRODUCT(PRODUCT(1+M6:$M$17))),4)</f>
        <v>1.0266</v>
      </c>
      <c r="U6" s="3162">
        <f>ROUND(IF(项目基本情况!$B$8="出让",SUMPRODUCT(PRODUCT(1+N6:$N$18)),SUMPRODUCT(PRODUCT(1+N6:$N$17))),4)</f>
        <v>1.0859000000000001</v>
      </c>
      <c r="V6" s="3162">
        <f>ROUND(IF(项目基本情况!$B$8="出让",SUMPRODUCT(PRODUCT(1+O6:$O$18)),SUMPRODUCT(PRODUCT(1+O6:$O$17))),4)</f>
        <v>1.0741000000000001</v>
      </c>
      <c r="W6" s="3162">
        <f t="shared" ref="W6" si="14">T6</f>
        <v>1.0266</v>
      </c>
      <c r="X6" s="3160"/>
      <c r="Y6" s="3163"/>
      <c r="Z6" s="3163"/>
      <c r="AA6" s="3163"/>
      <c r="AB6" s="3163"/>
      <c r="AC6" s="3163"/>
      <c r="AD6" s="3163"/>
    </row>
    <row r="7" spans="1:30" s="3174" customFormat="1" ht="12.75">
      <c r="A7" s="3165" t="s">
        <v>3364</v>
      </c>
      <c r="B7" s="3166">
        <v>2023</v>
      </c>
      <c r="C7" s="3167">
        <v>4</v>
      </c>
      <c r="D7" s="3168">
        <v>0.19</v>
      </c>
      <c r="E7" s="3168">
        <v>0.24</v>
      </c>
      <c r="F7" s="3168">
        <v>-0.16</v>
      </c>
      <c r="G7" s="3168">
        <v>0.17</v>
      </c>
      <c r="H7" s="3169">
        <v>0.61</v>
      </c>
      <c r="I7" s="3170">
        <f>F7</f>
        <v>-0.16</v>
      </c>
      <c r="J7" s="3171"/>
      <c r="K7" s="3172">
        <f t="shared" si="5"/>
        <v>1.9E-3</v>
      </c>
      <c r="L7" s="3173">
        <f t="shared" si="5"/>
        <v>2.3999999999999998E-3</v>
      </c>
      <c r="M7" s="3173">
        <f t="shared" si="5"/>
        <v>-1.6000000000000001E-3</v>
      </c>
      <c r="N7" s="3173">
        <f t="shared" si="5"/>
        <v>1.7000000000000001E-3</v>
      </c>
      <c r="O7" s="3173">
        <f t="shared" si="5"/>
        <v>6.0999999999999995E-3</v>
      </c>
      <c r="P7" s="3173">
        <f t="shared" ref="P7" si="15">M7</f>
        <v>-1.6000000000000001E-3</v>
      </c>
      <c r="Q7" s="3171"/>
      <c r="R7" s="3171">
        <f>ROUND(IF(项目基本情况!$B$8="出让",SUMPRODUCT(PRODUCT(1+K7:$K$18)),SUMPRODUCT(PRODUCT(1+K7:$K$17))),4)</f>
        <v>1.0804</v>
      </c>
      <c r="S7" s="3171">
        <f>ROUND(IF(项目基本情况!$B$8="出让",SUMPRODUCT(PRODUCT(1+L7:$L$18)),SUMPRODUCT(PRODUCT(1+L7:$L$17))),4)</f>
        <v>1.0471999999999999</v>
      </c>
      <c r="T7" s="3171">
        <f>ROUND(IF(项目基本情况!$B$8="出让",SUMPRODUCT(PRODUCT(1+M7:$M$18)),SUMPRODUCT(PRODUCT(1+M7:$M$17))),4)</f>
        <v>1.0266</v>
      </c>
      <c r="U7" s="3171">
        <f>ROUND(IF(项目基本情况!$B$8="出让",SUMPRODUCT(PRODUCT(1+N7:$N$18)),SUMPRODUCT(PRODUCT(1+N7:$N$17))),4)</f>
        <v>1.0859000000000001</v>
      </c>
      <c r="V7" s="3171">
        <f>ROUND(IF(项目基本情况!$B$8="出让",SUMPRODUCT(PRODUCT(1+O7:$O$18)),SUMPRODUCT(PRODUCT(1+O7:$O$17))),4)</f>
        <v>1.0741000000000001</v>
      </c>
      <c r="W7" s="3171">
        <f t="shared" ref="W7" si="16">T7</f>
        <v>1.0266</v>
      </c>
      <c r="X7" s="3171"/>
      <c r="Y7" s="3173"/>
      <c r="Z7" s="3173"/>
      <c r="AA7" s="3173"/>
      <c r="AB7" s="3173"/>
      <c r="AC7" s="3173"/>
      <c r="AD7" s="3173"/>
    </row>
    <row r="8" spans="1:30" s="3164" customFormat="1" ht="12.75">
      <c r="A8" s="3155" t="s">
        <v>3365</v>
      </c>
      <c r="B8" s="3156">
        <v>2023</v>
      </c>
      <c r="C8" s="3157">
        <v>3</v>
      </c>
      <c r="D8" s="3158">
        <v>0.25</v>
      </c>
      <c r="E8" s="3158">
        <v>0.5</v>
      </c>
      <c r="F8" s="3158">
        <v>0.31</v>
      </c>
      <c r="G8" s="3158">
        <v>0.21</v>
      </c>
      <c r="H8" s="3175">
        <v>0.43</v>
      </c>
      <c r="I8" s="3159">
        <f t="shared" si="4"/>
        <v>0.31</v>
      </c>
      <c r="J8" s="3160"/>
      <c r="K8" s="3161">
        <f t="shared" ref="K8:K10" si="17">D8/100</f>
        <v>2.5000000000000001E-3</v>
      </c>
      <c r="L8" s="3151">
        <f t="shared" ref="L8:L10" si="18">E8/100</f>
        <v>5.0000000000000001E-3</v>
      </c>
      <c r="M8" s="3151">
        <f t="shared" ref="M8:M10" si="19">F8/100</f>
        <v>3.0999999999999999E-3</v>
      </c>
      <c r="N8" s="3151">
        <f t="shared" ref="N8:N10" si="20">G8/100</f>
        <v>2.0999999999999999E-3</v>
      </c>
      <c r="O8" s="3151">
        <f t="shared" ref="O8:O10" si="21">H8/100</f>
        <v>4.3E-3</v>
      </c>
      <c r="P8" s="3151">
        <f t="shared" ref="P8:P10" si="22">M8</f>
        <v>3.0999999999999999E-3</v>
      </c>
      <c r="Q8" s="3160"/>
      <c r="R8" s="3162">
        <f>ROUND(IF(项目基本情况!$B$8="出让",SUMPRODUCT(PRODUCT(1+K8:$K$18)),SUMPRODUCT(PRODUCT(1+K8:$K$17))),4)</f>
        <v>1.0783</v>
      </c>
      <c r="S8" s="3162">
        <f>ROUND(IF(项目基本情况!$B$8="出让",SUMPRODUCT(PRODUCT(1+L8:$L$18)),SUMPRODUCT(PRODUCT(1+L8:$L$17))),4)</f>
        <v>1.0447</v>
      </c>
      <c r="T8" s="3162">
        <f>ROUND(IF(项目基本情况!$B$8="出让",SUMPRODUCT(PRODUCT(1+M8:$M$18)),SUMPRODUCT(PRODUCT(1+M8:$M$17))),4)</f>
        <v>1.0282</v>
      </c>
      <c r="U8" s="3162">
        <f>ROUND(IF(项目基本情况!$B$8="出让",SUMPRODUCT(PRODUCT(1+N8:$N$18)),SUMPRODUCT(PRODUCT(1+N8:$N$17))),4)</f>
        <v>1.0841000000000001</v>
      </c>
      <c r="V8" s="3162">
        <f>ROUND(IF(项目基本情况!$B$8="出让",SUMPRODUCT(PRODUCT(1+O8:$O$18)),SUMPRODUCT(PRODUCT(1+O8:$O$17))),4)</f>
        <v>1.0674999999999999</v>
      </c>
      <c r="W8" s="3162">
        <f t="shared" ref="W8:W9" si="23">T8</f>
        <v>1.0282</v>
      </c>
      <c r="X8" s="3160"/>
      <c r="Y8" s="3163"/>
      <c r="Z8" s="3163"/>
      <c r="AA8" s="3163"/>
      <c r="AB8" s="3163"/>
      <c r="AC8" s="3163"/>
      <c r="AD8" s="3163"/>
    </row>
    <row r="9" spans="1:30" s="3164" customFormat="1" ht="12.75">
      <c r="A9" s="3155" t="s">
        <v>3357</v>
      </c>
      <c r="B9" s="3156">
        <v>2023</v>
      </c>
      <c r="C9" s="3157">
        <v>2</v>
      </c>
      <c r="D9" s="3158">
        <v>0.91</v>
      </c>
      <c r="E9" s="3158">
        <v>0.66</v>
      </c>
      <c r="F9" s="3158">
        <v>0.47</v>
      </c>
      <c r="G9" s="3158">
        <v>0.96</v>
      </c>
      <c r="H9" s="3175">
        <v>0.71</v>
      </c>
      <c r="I9" s="3159">
        <f t="shared" si="4"/>
        <v>0.47</v>
      </c>
      <c r="J9" s="3160"/>
      <c r="K9" s="3161">
        <f t="shared" si="17"/>
        <v>9.1000000000000004E-3</v>
      </c>
      <c r="L9" s="3151">
        <f t="shared" si="18"/>
        <v>6.6E-3</v>
      </c>
      <c r="M9" s="3151">
        <f t="shared" si="19"/>
        <v>4.6999999999999993E-3</v>
      </c>
      <c r="N9" s="3151">
        <f t="shared" si="20"/>
        <v>9.5999999999999992E-3</v>
      </c>
      <c r="O9" s="3151">
        <f t="shared" si="21"/>
        <v>7.0999999999999995E-3</v>
      </c>
      <c r="P9" s="3151">
        <f t="shared" si="22"/>
        <v>4.6999999999999993E-3</v>
      </c>
      <c r="Q9" s="3160"/>
      <c r="R9" s="3162">
        <f>ROUND(IF(项目基本情况!$B$8="出让",SUMPRODUCT(PRODUCT(1+K9:$K$18)),SUMPRODUCT(PRODUCT(1+K9:$K$17))),4)</f>
        <v>1.0755999999999999</v>
      </c>
      <c r="S9" s="3162">
        <f>ROUND(IF(项目基本情况!$B$8="出让",SUMPRODUCT(PRODUCT(1+L9:$L$18)),SUMPRODUCT(PRODUCT(1+L9:$L$17))),4)</f>
        <v>1.0395000000000001</v>
      </c>
      <c r="T9" s="3162">
        <f>ROUND(IF(项目基本情况!$B$8="出让",SUMPRODUCT(PRODUCT(1+M9:$M$18)),SUMPRODUCT(PRODUCT(1+M9:$M$17))),4)</f>
        <v>1.0250999999999999</v>
      </c>
      <c r="U9" s="3162">
        <f>ROUND(IF(项目基本情况!$B$8="出让",SUMPRODUCT(PRODUCT(1+N9:$N$18)),SUMPRODUCT(PRODUCT(1+N9:$N$17))),4)</f>
        <v>1.0818000000000001</v>
      </c>
      <c r="V9" s="3162">
        <f>ROUND(IF(项目基本情况!$B$8="出让",SUMPRODUCT(PRODUCT(1+O9:$O$18)),SUMPRODUCT(PRODUCT(1+O9:$O$17))),4)</f>
        <v>1.0629999999999999</v>
      </c>
      <c r="W9" s="3162">
        <f t="shared" si="23"/>
        <v>1.0250999999999999</v>
      </c>
      <c r="X9" s="3160"/>
      <c r="Y9" s="3163"/>
      <c r="Z9" s="3163"/>
      <c r="AA9" s="3163"/>
      <c r="AB9" s="3163"/>
      <c r="AC9" s="3163"/>
      <c r="AD9" s="3163"/>
    </row>
    <row r="10" spans="1:30" s="3164" customFormat="1" ht="12.75">
      <c r="A10" s="3155" t="s">
        <v>3356</v>
      </c>
      <c r="B10" s="3156">
        <v>2023</v>
      </c>
      <c r="C10" s="3157">
        <v>1</v>
      </c>
      <c r="D10" s="3158">
        <v>0.89</v>
      </c>
      <c r="E10" s="3158">
        <v>0.74</v>
      </c>
      <c r="F10" s="3158">
        <v>0.56999999999999995</v>
      </c>
      <c r="G10" s="3158">
        <v>0.92</v>
      </c>
      <c r="H10" s="3175">
        <v>0.5</v>
      </c>
      <c r="I10" s="3159">
        <f t="shared" si="4"/>
        <v>0.56999999999999995</v>
      </c>
      <c r="J10" s="3160"/>
      <c r="K10" s="3161">
        <f t="shared" si="17"/>
        <v>8.8999999999999999E-3</v>
      </c>
      <c r="L10" s="3151">
        <f t="shared" si="18"/>
        <v>7.4000000000000003E-3</v>
      </c>
      <c r="M10" s="3151">
        <f t="shared" si="19"/>
        <v>5.6999999999999993E-3</v>
      </c>
      <c r="N10" s="3151">
        <f t="shared" si="20"/>
        <v>9.1999999999999998E-3</v>
      </c>
      <c r="O10" s="3151">
        <f t="shared" si="21"/>
        <v>5.0000000000000001E-3</v>
      </c>
      <c r="P10" s="3151">
        <f t="shared" si="22"/>
        <v>5.6999999999999993E-3</v>
      </c>
      <c r="Q10" s="3160"/>
      <c r="R10" s="3162">
        <f>ROUND(IF(项目基本情况!$B$8="出让",SUMPRODUCT(PRODUCT(1+K10:$K$18)),SUMPRODUCT(PRODUCT(1+K10:$K$17))),4)</f>
        <v>1.0659000000000001</v>
      </c>
      <c r="S10" s="3162">
        <f>ROUND(IF(项目基本情况!$B$8="出让",SUMPRODUCT(PRODUCT(1+L10:$L$18)),SUMPRODUCT(PRODUCT(1+L10:$L$17))),4)</f>
        <v>1.0326</v>
      </c>
      <c r="T10" s="3162">
        <f>ROUND(IF(项目基本情况!$B$8="出让",SUMPRODUCT(PRODUCT(1+M10:$M$18)),SUMPRODUCT(PRODUCT(1+M10:$M$17))),4)</f>
        <v>1.0203</v>
      </c>
      <c r="U10" s="3162">
        <f>ROUND(IF(项目基本情况!$B$8="出让",SUMPRODUCT(PRODUCT(1+N10:$N$18)),SUMPRODUCT(PRODUCT(1+N10:$N$17))),4)</f>
        <v>1.0714999999999999</v>
      </c>
      <c r="V10" s="3162">
        <f>ROUND(IF(项目基本情况!$B$8="出让",SUMPRODUCT(PRODUCT(1+O10:$O$18)),SUMPRODUCT(PRODUCT(1+O10:$O$17))),4)</f>
        <v>1.0555000000000001</v>
      </c>
      <c r="W10" s="3162">
        <f t="shared" ref="W10:W17" si="24">T10</f>
        <v>1.0203</v>
      </c>
      <c r="X10" s="3160"/>
      <c r="Y10" s="3163"/>
      <c r="Z10" s="3163"/>
      <c r="AA10" s="3163"/>
      <c r="AB10" s="3163"/>
      <c r="AC10" s="3163"/>
      <c r="AD10" s="3163"/>
    </row>
    <row r="11" spans="1:30" s="3164" customFormat="1" ht="12.75">
      <c r="A11" s="3155" t="s">
        <v>3355</v>
      </c>
      <c r="B11" s="3156">
        <v>2022</v>
      </c>
      <c r="C11" s="3157">
        <v>4</v>
      </c>
      <c r="D11" s="3158">
        <v>0.62</v>
      </c>
      <c r="E11" s="3158">
        <v>0.2</v>
      </c>
      <c r="F11" s="3158">
        <v>0.11</v>
      </c>
      <c r="G11" s="3158">
        <v>0.69</v>
      </c>
      <c r="H11" s="3175">
        <v>0.53</v>
      </c>
      <c r="I11" s="3159">
        <f t="shared" si="4"/>
        <v>0.11</v>
      </c>
      <c r="J11" s="3160"/>
      <c r="K11" s="3161">
        <f t="shared" si="5"/>
        <v>6.1999999999999998E-3</v>
      </c>
      <c r="L11" s="3151">
        <f t="shared" si="5"/>
        <v>2E-3</v>
      </c>
      <c r="M11" s="3151">
        <f t="shared" si="5"/>
        <v>1.1000000000000001E-3</v>
      </c>
      <c r="N11" s="3151">
        <f t="shared" si="5"/>
        <v>6.8999999999999999E-3</v>
      </c>
      <c r="O11" s="3151">
        <f t="shared" si="5"/>
        <v>5.3E-3</v>
      </c>
      <c r="P11" s="3151">
        <f t="shared" ref="P11:P18" si="25">M11</f>
        <v>1.1000000000000001E-3</v>
      </c>
      <c r="Q11" s="3160"/>
      <c r="R11" s="3162">
        <f>ROUND(IF(项目基本情况!$B$8="出让",SUMPRODUCT(PRODUCT(1+K11:$K$18)),SUMPRODUCT(PRODUCT(1+K11:$K$17))),4)</f>
        <v>1.0565</v>
      </c>
      <c r="S11" s="3162">
        <f>ROUND(IF(项目基本情况!$B$8="出让",SUMPRODUCT(PRODUCT(1+L11:$L$18)),SUMPRODUCT(PRODUCT(1+L11:$L$17))),4)</f>
        <v>1.0250999999999999</v>
      </c>
      <c r="T11" s="3162">
        <f>ROUND(IF(项目基本情况!$B$8="出让",SUMPRODUCT(PRODUCT(1+M11:$M$18)),SUMPRODUCT(PRODUCT(1+M11:$M$17))),4)</f>
        <v>1.0145</v>
      </c>
      <c r="U11" s="3162">
        <f>ROUND(IF(项目基本情况!$B$8="出让",SUMPRODUCT(PRODUCT(1+N11:$N$18)),SUMPRODUCT(PRODUCT(1+N11:$N$17))),4)</f>
        <v>1.0618000000000001</v>
      </c>
      <c r="V11" s="3162">
        <f>ROUND(IF(项目基本情况!$B$8="出让",SUMPRODUCT(PRODUCT(1+O11:$O$18)),SUMPRODUCT(PRODUCT(1+O11:$O$17))),4)</f>
        <v>1.0502</v>
      </c>
      <c r="W11" s="3162">
        <f t="shared" si="24"/>
        <v>1.0145</v>
      </c>
      <c r="X11" s="3160"/>
      <c r="Y11" s="3163">
        <f>IF(D11=0,0,ROUND(AVERAGE(D11:D19)/100,4))</f>
        <v>8.0999999999999996E-3</v>
      </c>
      <c r="Z11" s="3163">
        <f t="shared" ref="Z11:AC11" si="26">IF(E11=0,0,ROUND(AVERAGE(E11:E18)/100,4))</f>
        <v>3.3E-3</v>
      </c>
      <c r="AA11" s="3163">
        <f t="shared" si="26"/>
        <v>1.5E-3</v>
      </c>
      <c r="AB11" s="3163">
        <f t="shared" si="26"/>
        <v>8.8999999999999999E-3</v>
      </c>
      <c r="AC11" s="3163">
        <f t="shared" si="26"/>
        <v>6.6E-3</v>
      </c>
      <c r="AD11" s="3163">
        <f t="shared" si="7"/>
        <v>1.5E-3</v>
      </c>
    </row>
    <row r="12" spans="1:30" s="3164" customFormat="1" ht="12.75">
      <c r="A12" s="3155" t="s">
        <v>3351</v>
      </c>
      <c r="B12" s="3156">
        <v>2022</v>
      </c>
      <c r="C12" s="3157">
        <v>3</v>
      </c>
      <c r="D12" s="3158">
        <v>0.66</v>
      </c>
      <c r="E12" s="3158">
        <v>0.32</v>
      </c>
      <c r="F12" s="3158">
        <v>0.23</v>
      </c>
      <c r="G12" s="3158">
        <v>0.72</v>
      </c>
      <c r="H12" s="3175">
        <v>0.63</v>
      </c>
      <c r="I12" s="3159">
        <f t="shared" si="4"/>
        <v>0.23</v>
      </c>
      <c r="J12" s="3160"/>
      <c r="K12" s="3161">
        <f t="shared" si="5"/>
        <v>6.6E-3</v>
      </c>
      <c r="L12" s="3151">
        <f t="shared" si="5"/>
        <v>3.2000000000000002E-3</v>
      </c>
      <c r="M12" s="3151">
        <f t="shared" si="5"/>
        <v>2.3E-3</v>
      </c>
      <c r="N12" s="3151">
        <f t="shared" si="5"/>
        <v>7.1999999999999998E-3</v>
      </c>
      <c r="O12" s="3151">
        <f t="shared" si="5"/>
        <v>6.3E-3</v>
      </c>
      <c r="P12" s="3151">
        <f t="shared" si="25"/>
        <v>2.3E-3</v>
      </c>
      <c r="Q12" s="3160"/>
      <c r="R12" s="3162">
        <f>ROUND(IF(项目基本情况!$B$8="出让",SUMPRODUCT(PRODUCT(1+K12:$K$18)),SUMPRODUCT(PRODUCT(1+K12:$K$17))),4)</f>
        <v>1.05</v>
      </c>
      <c r="S12" s="3162">
        <f>ROUND(IF(项目基本情况!$B$8="出让",SUMPRODUCT(PRODUCT(1+L12:$L$18)),SUMPRODUCT(PRODUCT(1+L12:$L$17))),4)</f>
        <v>1.0229999999999999</v>
      </c>
      <c r="T12" s="3162">
        <f>ROUND(IF(项目基本情况!$B$8="出让",SUMPRODUCT(PRODUCT(1+M12:$M$18)),SUMPRODUCT(PRODUCT(1+M12:$M$17))),4)</f>
        <v>1.0134000000000001</v>
      </c>
      <c r="U12" s="3162">
        <f>ROUND(IF(项目基本情况!$B$8="出让",SUMPRODUCT(PRODUCT(1+N12:$N$18)),SUMPRODUCT(PRODUCT(1+N12:$N$17))),4)</f>
        <v>1.0545</v>
      </c>
      <c r="V12" s="3162">
        <f>ROUND(IF(项目基本情况!$B$8="出让",SUMPRODUCT(PRODUCT(1+O12:$O$18)),SUMPRODUCT(PRODUCT(1+O12:$O$17))),4)</f>
        <v>1.0447</v>
      </c>
      <c r="W12" s="3162">
        <f t="shared" si="24"/>
        <v>1.0134000000000001</v>
      </c>
      <c r="X12" s="3160"/>
      <c r="Y12" s="3163">
        <f>IF(D12=0,0,ROUND(AVERAGE(D12:D18)/100,4))</f>
        <v>8.3999999999999995E-3</v>
      </c>
      <c r="Z12" s="3163">
        <f t="shared" ref="Z12:AC12" si="27">IF(E12=0,0,ROUND(AVERAGE(E12:E18)/100,4))</f>
        <v>3.5000000000000001E-3</v>
      </c>
      <c r="AA12" s="3163">
        <f t="shared" si="27"/>
        <v>1.5E-3</v>
      </c>
      <c r="AB12" s="3163">
        <f t="shared" si="27"/>
        <v>9.1999999999999998E-3</v>
      </c>
      <c r="AC12" s="3163">
        <f t="shared" si="27"/>
        <v>6.7999999999999996E-3</v>
      </c>
      <c r="AD12" s="3163">
        <f t="shared" si="7"/>
        <v>1.5E-3</v>
      </c>
    </row>
    <row r="13" spans="1:30" s="3164" customFormat="1" ht="12.75">
      <c r="A13" s="3155" t="s">
        <v>3342</v>
      </c>
      <c r="B13" s="3156">
        <v>2022</v>
      </c>
      <c r="C13" s="3157">
        <v>2</v>
      </c>
      <c r="D13" s="3158">
        <v>0.93</v>
      </c>
      <c r="E13" s="3158">
        <v>0.15</v>
      </c>
      <c r="F13" s="3158">
        <v>0.01</v>
      </c>
      <c r="G13" s="3158">
        <v>1.05</v>
      </c>
      <c r="H13" s="3175">
        <v>1.08</v>
      </c>
      <c r="I13" s="3159">
        <f t="shared" si="4"/>
        <v>0.01</v>
      </c>
      <c r="J13" s="3160"/>
      <c r="K13" s="3161">
        <f t="shared" si="5"/>
        <v>9.300000000000001E-3</v>
      </c>
      <c r="L13" s="3151">
        <f t="shared" si="5"/>
        <v>1.5E-3</v>
      </c>
      <c r="M13" s="3151">
        <f t="shared" si="5"/>
        <v>1E-4</v>
      </c>
      <c r="N13" s="3151">
        <f t="shared" si="5"/>
        <v>1.0500000000000001E-2</v>
      </c>
      <c r="O13" s="3151">
        <f t="shared" si="5"/>
        <v>1.0800000000000001E-2</v>
      </c>
      <c r="P13" s="3151">
        <f t="shared" si="25"/>
        <v>1E-4</v>
      </c>
      <c r="Q13" s="3160"/>
      <c r="R13" s="3162">
        <f>ROUND(IF(项目基本情况!$B$8="出让",SUMPRODUCT(PRODUCT(1+K13:$K$18)),SUMPRODUCT(PRODUCT(1+K13:$K$17))),4)</f>
        <v>1.0430999999999999</v>
      </c>
      <c r="S13" s="3162">
        <f>ROUND(IF(项目基本情况!$B$8="出让",SUMPRODUCT(PRODUCT(1+L13:$L$18)),SUMPRODUCT(PRODUCT(1+L13:$L$17))),4)</f>
        <v>1.0197000000000001</v>
      </c>
      <c r="T13" s="3162">
        <f>ROUND(IF(项目基本情况!$B$8="出让",SUMPRODUCT(PRODUCT(1+M13:$M$18)),SUMPRODUCT(PRODUCT(1+M13:$M$17))),4)</f>
        <v>1.0109999999999999</v>
      </c>
      <c r="U13" s="3162">
        <f>ROUND(IF(项目基本情况!$B$8="出让",SUMPRODUCT(PRODUCT(1+N13:$N$18)),SUMPRODUCT(PRODUCT(1+N13:$N$17))),4)</f>
        <v>1.0468999999999999</v>
      </c>
      <c r="V13" s="3162">
        <f>ROUND(IF(项目基本情况!$B$8="出让",SUMPRODUCT(PRODUCT(1+O13:$O$18)),SUMPRODUCT(PRODUCT(1+O13:$O$17))),4)</f>
        <v>1.0382</v>
      </c>
      <c r="W13" s="3162">
        <f t="shared" si="24"/>
        <v>1.0109999999999999</v>
      </c>
      <c r="X13" s="3160"/>
      <c r="Y13" s="3163">
        <f>IF(D13=0,0,ROUND(AVERAGE(D13:D18)/100,4))</f>
        <v>8.6999999999999994E-3</v>
      </c>
      <c r="Z13" s="3163">
        <f t="shared" ref="Z13:AC13" si="28">IF(E13=0,0,ROUND(AVERAGE(E13:E18)/100,4))</f>
        <v>3.5000000000000001E-3</v>
      </c>
      <c r="AA13" s="3163">
        <f t="shared" si="28"/>
        <v>1.4E-3</v>
      </c>
      <c r="AB13" s="3163">
        <f t="shared" si="28"/>
        <v>9.4999999999999998E-3</v>
      </c>
      <c r="AC13" s="3163">
        <f t="shared" si="28"/>
        <v>6.8999999999999999E-3</v>
      </c>
      <c r="AD13" s="3163">
        <f t="shared" si="7"/>
        <v>1.4E-3</v>
      </c>
    </row>
    <row r="14" spans="1:30" s="3164" customFormat="1" ht="12.75">
      <c r="A14" s="3155" t="s">
        <v>2807</v>
      </c>
      <c r="B14" s="3156">
        <v>2022</v>
      </c>
      <c r="C14" s="3157">
        <v>1</v>
      </c>
      <c r="D14" s="3158">
        <v>0.89</v>
      </c>
      <c r="E14" s="3158">
        <v>0.44</v>
      </c>
      <c r="F14" s="3158">
        <v>0.37</v>
      </c>
      <c r="G14" s="3158">
        <v>0.96</v>
      </c>
      <c r="H14" s="3175">
        <v>0.64</v>
      </c>
      <c r="I14" s="3159">
        <f t="shared" si="4"/>
        <v>0.37</v>
      </c>
      <c r="J14" s="3160"/>
      <c r="K14" s="3161">
        <f t="shared" si="5"/>
        <v>8.8999999999999999E-3</v>
      </c>
      <c r="L14" s="3151">
        <f t="shared" si="5"/>
        <v>4.4000000000000003E-3</v>
      </c>
      <c r="M14" s="3151">
        <f t="shared" si="5"/>
        <v>3.7000000000000002E-3</v>
      </c>
      <c r="N14" s="3151">
        <f t="shared" si="5"/>
        <v>9.5999999999999992E-3</v>
      </c>
      <c r="O14" s="3151">
        <f t="shared" si="5"/>
        <v>6.4000000000000003E-3</v>
      </c>
      <c r="P14" s="3151">
        <f t="shared" si="25"/>
        <v>3.7000000000000002E-3</v>
      </c>
      <c r="Q14" s="3160"/>
      <c r="R14" s="3162">
        <f>ROUND(IF(项目基本情况!$B$8="出让",SUMPRODUCT(PRODUCT(1+K14:$K$18)),SUMPRODUCT(PRODUCT(1+K14:$K$17))),4)</f>
        <v>1.0335000000000001</v>
      </c>
      <c r="S14" s="3162">
        <f>ROUND(IF(项目基本情况!$B$8="出让",SUMPRODUCT(PRODUCT(1+L14:$L$18)),SUMPRODUCT(PRODUCT(1+L14:$L$17))),4)</f>
        <v>1.0182</v>
      </c>
      <c r="T14" s="3162">
        <f>ROUND(IF(项目基本情况!$B$8="出让",SUMPRODUCT(PRODUCT(1+M14:$M$18)),SUMPRODUCT(PRODUCT(1+M14:$M$17))),4)</f>
        <v>1.0108999999999999</v>
      </c>
      <c r="U14" s="3162">
        <f>ROUND(IF(项目基本情况!$B$8="出让",SUMPRODUCT(PRODUCT(1+N14:$N$18)),SUMPRODUCT(PRODUCT(1+N14:$N$17))),4)</f>
        <v>1.0361</v>
      </c>
      <c r="V14" s="3162">
        <f>ROUND(IF(项目基本情况!$B$8="出让",SUMPRODUCT(PRODUCT(1+O14:$O$18)),SUMPRODUCT(PRODUCT(1+O14:$O$17))),4)</f>
        <v>1.0270999999999999</v>
      </c>
      <c r="W14" s="3162">
        <f t="shared" si="24"/>
        <v>1.0108999999999999</v>
      </c>
      <c r="X14" s="3160"/>
      <c r="Y14" s="3163">
        <f>IF(D14=0,0,ROUND(AVERAGE(D14:D18)/100,4))</f>
        <v>8.6E-3</v>
      </c>
      <c r="Z14" s="3163">
        <f t="shared" ref="Z14:AC14" si="29">IF(E14=0,0,ROUND(AVERAGE(E14:E18)/100,4))</f>
        <v>3.8999999999999998E-3</v>
      </c>
      <c r="AA14" s="3163">
        <f t="shared" si="29"/>
        <v>1.6999999999999999E-3</v>
      </c>
      <c r="AB14" s="3163">
        <f t="shared" si="29"/>
        <v>9.2999999999999992E-3</v>
      </c>
      <c r="AC14" s="3163">
        <f t="shared" si="29"/>
        <v>6.1000000000000004E-3</v>
      </c>
      <c r="AD14" s="3163">
        <f t="shared" si="7"/>
        <v>1.6999999999999999E-3</v>
      </c>
    </row>
    <row r="15" spans="1:30" s="3164" customFormat="1" ht="12.75">
      <c r="A15" s="3155" t="s">
        <v>2808</v>
      </c>
      <c r="B15" s="3156">
        <v>2021</v>
      </c>
      <c r="C15" s="3157">
        <v>4</v>
      </c>
      <c r="D15" s="3158">
        <v>1.03</v>
      </c>
      <c r="E15" s="3158">
        <v>0.24</v>
      </c>
      <c r="F15" s="3158">
        <v>7.0000000000000007E-2</v>
      </c>
      <c r="G15" s="3158">
        <v>1.17</v>
      </c>
      <c r="H15" s="3175">
        <v>0.55000000000000004</v>
      </c>
      <c r="I15" s="3159">
        <f t="shared" si="4"/>
        <v>7.0000000000000007E-2</v>
      </c>
      <c r="J15" s="3160"/>
      <c r="K15" s="3161">
        <f t="shared" si="5"/>
        <v>1.03E-2</v>
      </c>
      <c r="L15" s="3151">
        <f t="shared" si="5"/>
        <v>2.3999999999999998E-3</v>
      </c>
      <c r="M15" s="3151">
        <f t="shared" si="5"/>
        <v>7.000000000000001E-4</v>
      </c>
      <c r="N15" s="3151">
        <f t="shared" si="5"/>
        <v>1.1699999999999999E-2</v>
      </c>
      <c r="O15" s="3151">
        <f t="shared" si="5"/>
        <v>5.5000000000000005E-3</v>
      </c>
      <c r="P15" s="3151">
        <f t="shared" si="25"/>
        <v>7.000000000000001E-4</v>
      </c>
      <c r="Q15" s="3160"/>
      <c r="R15" s="3162">
        <f>ROUND(IF(项目基本情况!$B$8="出让",SUMPRODUCT(PRODUCT(1+K15:$K$18)),SUMPRODUCT(PRODUCT(1+K15:$K$17))),4)</f>
        <v>1.0244</v>
      </c>
      <c r="S15" s="3162">
        <f>ROUND(IF(项目基本情况!$B$8="出让",SUMPRODUCT(PRODUCT(1+L15:$L$18)),SUMPRODUCT(PRODUCT(1+L15:$L$17))),4)</f>
        <v>1.0138</v>
      </c>
      <c r="T15" s="3162">
        <f>ROUND(IF(项目基本情况!$B$8="出让",SUMPRODUCT(PRODUCT(1+M15:$M$18)),SUMPRODUCT(PRODUCT(1+M15:$M$17))),4)</f>
        <v>1.0072000000000001</v>
      </c>
      <c r="U15" s="3162">
        <f>ROUND(IF(项目基本情况!$B$8="出让",SUMPRODUCT(PRODUCT(1+N15:$N$18)),SUMPRODUCT(PRODUCT(1+N15:$N$17))),4)</f>
        <v>1.0262</v>
      </c>
      <c r="V15" s="3162">
        <f>ROUND(IF(项目基本情况!$B$8="出让",SUMPRODUCT(PRODUCT(1+O15:$O$18)),SUMPRODUCT(PRODUCT(1+O15:$O$17))),4)</f>
        <v>1.0205</v>
      </c>
      <c r="W15" s="3162">
        <f t="shared" si="24"/>
        <v>1.0072000000000001</v>
      </c>
      <c r="X15" s="3160"/>
      <c r="Y15" s="3163">
        <f>IF(D15=0,0,ROUND(AVERAGE(D15:D18)/100,4))</f>
        <v>8.5000000000000006E-3</v>
      </c>
      <c r="Z15" s="3163">
        <f t="shared" ref="Z15:AC15" si="30">IF(E15=0,0,ROUND(AVERAGE(E15:E18)/100,4))</f>
        <v>3.8E-3</v>
      </c>
      <c r="AA15" s="3163">
        <f t="shared" si="30"/>
        <v>1.1999999999999999E-3</v>
      </c>
      <c r="AB15" s="3163">
        <f t="shared" si="30"/>
        <v>9.2999999999999992E-3</v>
      </c>
      <c r="AC15" s="3163">
        <f t="shared" si="30"/>
        <v>6.0000000000000001E-3</v>
      </c>
      <c r="AD15" s="3163">
        <f t="shared" si="7"/>
        <v>1.1999999999999999E-3</v>
      </c>
    </row>
    <row r="16" spans="1:30" s="3164" customFormat="1" ht="12.75">
      <c r="A16" s="3155" t="s">
        <v>2809</v>
      </c>
      <c r="B16" s="3156">
        <v>2021</v>
      </c>
      <c r="C16" s="3157">
        <v>3</v>
      </c>
      <c r="D16" s="3158">
        <v>0.47</v>
      </c>
      <c r="E16" s="3158">
        <v>0.41</v>
      </c>
      <c r="F16" s="3158">
        <v>0.24</v>
      </c>
      <c r="G16" s="3158">
        <v>0.48</v>
      </c>
      <c r="H16" s="3175">
        <v>0.48</v>
      </c>
      <c r="I16" s="3159">
        <f t="shared" si="4"/>
        <v>0.24</v>
      </c>
      <c r="J16" s="3160"/>
      <c r="K16" s="3161">
        <f t="shared" si="5"/>
        <v>4.6999999999999993E-3</v>
      </c>
      <c r="L16" s="3151">
        <f t="shared" si="5"/>
        <v>4.0999999999999995E-3</v>
      </c>
      <c r="M16" s="3151">
        <f t="shared" si="5"/>
        <v>2.3999999999999998E-3</v>
      </c>
      <c r="N16" s="3151">
        <f t="shared" si="5"/>
        <v>4.7999999999999996E-3</v>
      </c>
      <c r="O16" s="3151">
        <f t="shared" si="5"/>
        <v>4.7999999999999996E-3</v>
      </c>
      <c r="P16" s="3151">
        <f t="shared" si="25"/>
        <v>2.3999999999999998E-3</v>
      </c>
      <c r="Q16" s="3160"/>
      <c r="R16" s="3162">
        <f>ROUND(IF(项目基本情况!$B$8="出让",SUMPRODUCT(PRODUCT(1+K16:$K$18)),SUMPRODUCT(PRODUCT(1+K16:$K$17))),4)</f>
        <v>1.0139</v>
      </c>
      <c r="S16" s="3162">
        <f>ROUND(IF(项目基本情况!$B$8="出让",SUMPRODUCT(PRODUCT(1+L16:$L$18)),SUMPRODUCT(PRODUCT(1+L16:$L$17))),4)</f>
        <v>1.0113000000000001</v>
      </c>
      <c r="T16" s="3162">
        <f>ROUND(IF(项目基本情况!$B$8="出让",SUMPRODUCT(PRODUCT(1+M16:$M$18)),SUMPRODUCT(PRODUCT(1+M16:$M$17))),4)</f>
        <v>1.0065</v>
      </c>
      <c r="U16" s="3162">
        <f>ROUND(IF(项目基本情况!$B$8="出让",SUMPRODUCT(PRODUCT(1+N16:$N$18)),SUMPRODUCT(PRODUCT(1+N16:$N$17))),4)</f>
        <v>1.0143</v>
      </c>
      <c r="V16" s="3162">
        <f>ROUND(IF(项目基本情况!$B$8="出让",SUMPRODUCT(PRODUCT(1+O16:$O$18)),SUMPRODUCT(PRODUCT(1+O16:$O$17))),4)</f>
        <v>1.0148999999999999</v>
      </c>
      <c r="W16" s="3162">
        <f t="shared" si="24"/>
        <v>1.0065</v>
      </c>
      <c r="X16" s="3160"/>
      <c r="Y16" s="3163">
        <f>IF(D16=0,0,ROUND(AVERAGE(D16:D18)/100,4))</f>
        <v>7.9000000000000008E-3</v>
      </c>
      <c r="Z16" s="3163">
        <f>IF(E16=0,0,ROUND(AVERAGE(E16:E18)/100,4))</f>
        <v>4.3E-3</v>
      </c>
      <c r="AA16" s="3163">
        <f>IF(F16=0,0,ROUND(AVERAGE(F16:F18)/100,4))</f>
        <v>1.2999999999999999E-3</v>
      </c>
      <c r="AB16" s="3163">
        <f>IF(G16=0,0,ROUND(AVERAGE(G16:G18)/100,4))</f>
        <v>8.5000000000000006E-3</v>
      </c>
      <c r="AC16" s="3163">
        <f>IF(H16=0,0,ROUND(AVERAGE(H16:H18)/100,4))</f>
        <v>6.1999999999999998E-3</v>
      </c>
      <c r="AD16" s="3163">
        <f t="shared" si="7"/>
        <v>1.2999999999999999E-3</v>
      </c>
    </row>
    <row r="17" spans="1:30" s="3164" customFormat="1" ht="12.75">
      <c r="A17" s="3155" t="s">
        <v>2810</v>
      </c>
      <c r="B17" s="3156">
        <v>2021</v>
      </c>
      <c r="C17" s="3157">
        <v>2</v>
      </c>
      <c r="D17" s="3158">
        <v>0.92</v>
      </c>
      <c r="E17" s="3158">
        <v>0.72</v>
      </c>
      <c r="F17" s="3158">
        <v>0.41</v>
      </c>
      <c r="G17" s="3158">
        <v>0.95</v>
      </c>
      <c r="H17" s="3175">
        <v>1.01</v>
      </c>
      <c r="I17" s="3159">
        <f t="shared" si="4"/>
        <v>0.41</v>
      </c>
      <c r="J17" s="3160"/>
      <c r="K17" s="3161">
        <f t="shared" si="5"/>
        <v>9.1999999999999998E-3</v>
      </c>
      <c r="L17" s="3151">
        <f t="shared" si="5"/>
        <v>7.1999999999999998E-3</v>
      </c>
      <c r="M17" s="3151">
        <f t="shared" si="5"/>
        <v>4.0999999999999995E-3</v>
      </c>
      <c r="N17" s="3151">
        <f t="shared" si="5"/>
        <v>9.4999999999999998E-3</v>
      </c>
      <c r="O17" s="3151">
        <f t="shared" si="5"/>
        <v>1.01E-2</v>
      </c>
      <c r="P17" s="3151">
        <f t="shared" si="25"/>
        <v>4.0999999999999995E-3</v>
      </c>
      <c r="Q17" s="3160"/>
      <c r="R17" s="3162">
        <f>ROUND(IF(项目基本情况!$B$8="出让",SUMPRODUCT(PRODUCT(1+K17:$K$18)),SUMPRODUCT(PRODUCT(1+K17:$K$17))),4)</f>
        <v>1.0092000000000001</v>
      </c>
      <c r="S17" s="3162">
        <f>ROUND(IF(项目基本情况!$B$8="出让",SUMPRODUCT(PRODUCT(1+L17:$L$18)),SUMPRODUCT(PRODUCT(1+L17:$L$17))),4)</f>
        <v>1.0072000000000001</v>
      </c>
      <c r="T17" s="3162">
        <f>ROUND(IF(项目基本情况!$B$8="出让",SUMPRODUCT(PRODUCT(1+M17:$M$18)),SUMPRODUCT(PRODUCT(1+M17:$M$17))),4)</f>
        <v>1.0041</v>
      </c>
      <c r="U17" s="3162">
        <f>ROUND(IF(项目基本情况!$B$8="出让",SUMPRODUCT(PRODUCT(1+N17:$N$18)),SUMPRODUCT(PRODUCT(1+N17:$N$17))),4)</f>
        <v>1.0095000000000001</v>
      </c>
      <c r="V17" s="3162">
        <f>ROUND(IF(项目基本情况!$B$8="出让",SUMPRODUCT(PRODUCT(1+O17:$O$18)),SUMPRODUCT(PRODUCT(1+O17:$O$17))),4)</f>
        <v>1.0101</v>
      </c>
      <c r="W17" s="3162">
        <f t="shared" si="24"/>
        <v>1.0041</v>
      </c>
      <c r="X17" s="3160"/>
      <c r="Y17" s="3163">
        <f>IF(D17=0,0,ROUND(AVERAGE(D17:D18)/100,4))</f>
        <v>9.4999999999999998E-3</v>
      </c>
      <c r="Z17" s="3163">
        <f>IF(E17=0,0,ROUND(AVERAGE(E17:E18)/100,4))</f>
        <v>4.4000000000000003E-3</v>
      </c>
      <c r="AA17" s="3163">
        <f>IF(F17=0,0,ROUND(AVERAGE(F17:F18)/100,4))</f>
        <v>8.0000000000000004E-4</v>
      </c>
      <c r="AB17" s="3163">
        <f>IF(G17=0,0,ROUND(AVERAGE(G17:G18)/100,4))</f>
        <v>1.03E-2</v>
      </c>
      <c r="AC17" s="3163">
        <f>IF(H17=0,0,ROUND(AVERAGE(H17:H18)/100,4))</f>
        <v>6.8999999999999999E-3</v>
      </c>
      <c r="AD17" s="3163">
        <f t="shared" si="7"/>
        <v>8.0000000000000004E-4</v>
      </c>
    </row>
    <row r="18" spans="1:30" s="3186" customFormat="1" thickBot="1">
      <c r="A18" s="3176" t="s">
        <v>2811</v>
      </c>
      <c r="B18" s="3177">
        <v>2021</v>
      </c>
      <c r="C18" s="3178">
        <v>1</v>
      </c>
      <c r="D18" s="3179">
        <v>0.97</v>
      </c>
      <c r="E18" s="3179">
        <v>0.16</v>
      </c>
      <c r="F18" s="3179">
        <v>-0.25</v>
      </c>
      <c r="G18" s="3179">
        <v>1.1100000000000001</v>
      </c>
      <c r="H18" s="3180">
        <v>0.36</v>
      </c>
      <c r="I18" s="3181">
        <f t="shared" si="4"/>
        <v>-0.25</v>
      </c>
      <c r="J18" s="3182"/>
      <c r="K18" s="3183">
        <f t="shared" si="5"/>
        <v>9.7000000000000003E-3</v>
      </c>
      <c r="L18" s="3184">
        <f t="shared" si="5"/>
        <v>1.6000000000000001E-3</v>
      </c>
      <c r="M18" s="3184">
        <f>F18/100</f>
        <v>-2.5000000000000001E-3</v>
      </c>
      <c r="N18" s="3184">
        <f t="shared" si="5"/>
        <v>1.11E-2</v>
      </c>
      <c r="O18" s="3184">
        <f t="shared" si="5"/>
        <v>3.5999999999999999E-3</v>
      </c>
      <c r="P18" s="3184">
        <f t="shared" si="25"/>
        <v>-2.5000000000000001E-3</v>
      </c>
      <c r="Q18" s="3182"/>
      <c r="R18" s="3185">
        <v>1</v>
      </c>
      <c r="S18" s="3185">
        <v>1</v>
      </c>
      <c r="T18" s="3185">
        <v>1</v>
      </c>
      <c r="U18" s="3185">
        <v>1</v>
      </c>
      <c r="V18" s="3185">
        <v>1</v>
      </c>
      <c r="W18" s="3185">
        <f t="shared" ref="W18" si="31">T18</f>
        <v>1</v>
      </c>
      <c r="X18" s="3182"/>
      <c r="Y18" s="3184">
        <f>IF(D18=0,0,ROUND(AVERAGE(D18:D18)/100,4))</f>
        <v>9.7000000000000003E-3</v>
      </c>
      <c r="Z18" s="3184">
        <f>IF(E18=0,0,ROUND(AVERAGE(E18:E18)/100,4))</f>
        <v>1.6000000000000001E-3</v>
      </c>
      <c r="AA18" s="3184">
        <f>IF(F18=0,0,ROUND(AVERAGE(F18:F18)/100,4))</f>
        <v>-2.5000000000000001E-3</v>
      </c>
      <c r="AB18" s="3184">
        <f>IF(G18=0,0,ROUND(AVERAGE(G18:G18)/100,4))</f>
        <v>1.11E-2</v>
      </c>
      <c r="AC18" s="3184">
        <f>IF(H18=0,0,ROUND(AVERAGE(H18:H18)/100,4))</f>
        <v>3.5999999999999999E-3</v>
      </c>
      <c r="AD18" s="3184">
        <f>AA18</f>
        <v>-2.5000000000000001E-3</v>
      </c>
    </row>
    <row r="19" spans="1:30" s="2988" customFormat="1" ht="14.25" thickTop="1"/>
    <row r="20" spans="1:30" s="2988" customFormat="1">
      <c r="A20" s="3427" t="s">
        <v>3353</v>
      </c>
    </row>
    <row r="21" spans="1:30" s="2988" customFormat="1">
      <c r="I21" s="3187" t="s">
        <v>2812</v>
      </c>
    </row>
    <row r="22" spans="1:30" s="2988" customFormat="1"/>
    <row r="23" spans="1:30" s="3188" customFormat="1" ht="12.75">
      <c r="B23" s="3189" t="s">
        <v>3359</v>
      </c>
      <c r="C23" s="3190"/>
      <c r="D23" s="3190"/>
      <c r="E23" s="3190"/>
      <c r="F23" s="3190"/>
      <c r="G23" s="3190"/>
      <c r="H23" s="3190"/>
      <c r="I23" s="3190"/>
      <c r="J23" s="3144"/>
      <c r="K23" s="3190" t="s">
        <v>2813</v>
      </c>
      <c r="L23" s="3190"/>
      <c r="M23" s="3190"/>
      <c r="N23" s="3190"/>
      <c r="O23" s="3190"/>
      <c r="P23" s="3190"/>
      <c r="Q23" s="3144"/>
      <c r="R23" s="3780" t="s">
        <v>2814</v>
      </c>
      <c r="S23" s="3781"/>
      <c r="T23" s="3781"/>
      <c r="U23" s="3781"/>
      <c r="V23" s="3781"/>
      <c r="W23" s="3781"/>
      <c r="X23" s="3144"/>
      <c r="Y23" s="3780" t="s">
        <v>2815</v>
      </c>
      <c r="Z23" s="3781"/>
      <c r="AA23" s="3781"/>
      <c r="AB23" s="3781"/>
      <c r="AC23" s="3781"/>
      <c r="AD23" s="3781"/>
    </row>
    <row r="24" spans="1:30" s="3122" customFormat="1" ht="14.25" thickBot="1">
      <c r="B24" s="3123"/>
      <c r="C24" s="3124"/>
      <c r="D24" s="3125" t="s">
        <v>2816</v>
      </c>
      <c r="E24" s="3126" t="s">
        <v>2817</v>
      </c>
      <c r="F24" s="3126" t="s">
        <v>2818</v>
      </c>
      <c r="G24" s="3126" t="s">
        <v>2819</v>
      </c>
      <c r="H24" s="3126"/>
      <c r="I24" s="3126" t="s">
        <v>2820</v>
      </c>
      <c r="J24" s="3127"/>
      <c r="K24" s="3125" t="s">
        <v>2816</v>
      </c>
      <c r="L24" s="3126" t="s">
        <v>2817</v>
      </c>
      <c r="M24" s="3126" t="s">
        <v>2818</v>
      </c>
      <c r="N24" s="3126" t="s">
        <v>2819</v>
      </c>
      <c r="O24" s="3126"/>
      <c r="P24" s="3126" t="s">
        <v>2820</v>
      </c>
      <c r="Q24" s="3127"/>
      <c r="R24" s="3125" t="s">
        <v>2816</v>
      </c>
      <c r="S24" s="3126" t="s">
        <v>2817</v>
      </c>
      <c r="T24" s="3126" t="s">
        <v>2818</v>
      </c>
      <c r="U24" s="3126" t="s">
        <v>2819</v>
      </c>
      <c r="V24" s="3126"/>
      <c r="W24" s="3126" t="s">
        <v>2820</v>
      </c>
      <c r="X24" s="3127"/>
      <c r="Y24" s="3125" t="s">
        <v>2816</v>
      </c>
      <c r="Z24" s="3126" t="s">
        <v>2817</v>
      </c>
      <c r="AA24" s="3126" t="s">
        <v>2818</v>
      </c>
      <c r="AB24" s="3126" t="s">
        <v>2819</v>
      </c>
      <c r="AC24" s="3126"/>
      <c r="AD24" s="3126" t="s">
        <v>2820</v>
      </c>
    </row>
    <row r="25" spans="1:30" s="3140" customFormat="1" ht="12.75">
      <c r="A25" s="3128" t="s">
        <v>2821</v>
      </c>
      <c r="B25" s="3129"/>
      <c r="C25" s="3130"/>
      <c r="D25" s="3130"/>
      <c r="E25" s="3130">
        <f t="shared" ref="E25:G25" si="32">ROUND(AVERAGEIF(E26:E40,"&lt;&gt;0"),2)</f>
        <v>0.39</v>
      </c>
      <c r="F25" s="3130">
        <f t="shared" si="32"/>
        <v>0.28000000000000003</v>
      </c>
      <c r="G25" s="3130">
        <f t="shared" si="32"/>
        <v>0.67</v>
      </c>
      <c r="H25" s="3130"/>
      <c r="I25" s="3130">
        <f>F25</f>
        <v>0.28000000000000003</v>
      </c>
      <c r="J25" s="3131"/>
      <c r="K25" s="3132"/>
      <c r="L25" s="3133">
        <f t="shared" ref="L25:N25" si="33">ROUND(AVERAGEIF(L26:L40,"&lt;&gt;0"),4)</f>
        <v>3.8999999999999998E-3</v>
      </c>
      <c r="M25" s="3133">
        <f t="shared" si="33"/>
        <v>2.8E-3</v>
      </c>
      <c r="N25" s="3133">
        <f t="shared" si="33"/>
        <v>6.7000000000000002E-3</v>
      </c>
      <c r="O25" s="3133"/>
      <c r="P25" s="3133">
        <f>M25</f>
        <v>2.8E-3</v>
      </c>
      <c r="Q25" s="3131"/>
      <c r="R25" s="3134"/>
      <c r="S25" s="3135">
        <f>ROUND(SUMPRODUCT(PRODUCT(1+L26:L40)),4)</f>
        <v>1.0476000000000001</v>
      </c>
      <c r="T25" s="3135">
        <f t="shared" ref="T25:U25" si="34">ROUND(SUMPRODUCT(PRODUCT(1+M26:M40)),4)</f>
        <v>1.0346</v>
      </c>
      <c r="U25" s="3135">
        <f t="shared" si="34"/>
        <v>1.0831999999999999</v>
      </c>
      <c r="V25" s="3135"/>
      <c r="W25" s="3134">
        <f>T25</f>
        <v>1.0346</v>
      </c>
      <c r="X25" s="3131"/>
      <c r="Y25" s="3136"/>
      <c r="Z25" s="3137">
        <f t="shared" ref="Z25:AB25" si="35">ROUND(AVERAGEIF(Z26:Z40,"&lt;&gt;0"),4)</f>
        <v>4.3E-3</v>
      </c>
      <c r="AA25" s="3138">
        <f t="shared" si="35"/>
        <v>3.5999999999999999E-3</v>
      </c>
      <c r="AB25" s="3136">
        <f t="shared" si="35"/>
        <v>8.8999999999999999E-3</v>
      </c>
      <c r="AC25" s="3139"/>
      <c r="AD25" s="3136">
        <f>AA25</f>
        <v>3.5999999999999999E-3</v>
      </c>
    </row>
    <row r="26" spans="1:30" s="3141" customFormat="1" ht="12.75">
      <c r="B26" s="3142"/>
      <c r="C26" s="3143"/>
      <c r="D26" s="3143"/>
      <c r="E26" s="3143"/>
      <c r="F26" s="3143"/>
      <c r="G26" s="3143"/>
      <c r="H26" s="3143"/>
      <c r="I26" s="3143"/>
      <c r="J26" s="3144"/>
      <c r="K26" s="3145"/>
      <c r="L26" s="3146"/>
      <c r="M26" s="3146"/>
      <c r="N26" s="3146"/>
      <c r="O26" s="3146"/>
      <c r="P26" s="3146"/>
      <c r="Q26" s="3144"/>
      <c r="R26" s="3147"/>
      <c r="S26" s="3148"/>
      <c r="T26" s="3149"/>
      <c r="U26" s="3147"/>
      <c r="V26" s="3150"/>
      <c r="W26" s="3147"/>
      <c r="X26" s="3144"/>
      <c r="Y26" s="3151"/>
      <c r="Z26" s="3152"/>
      <c r="AA26" s="3153"/>
      <c r="AB26" s="3151"/>
      <c r="AC26" s="3154"/>
      <c r="AD26" s="3151"/>
    </row>
    <row r="27" spans="1:30" s="3164" customFormat="1" ht="12.75">
      <c r="A27" s="2205" t="s">
        <v>3361</v>
      </c>
      <c r="B27" s="3156">
        <v>2024</v>
      </c>
      <c r="C27" s="3157">
        <v>2</v>
      </c>
      <c r="D27" s="3158"/>
      <c r="E27" s="3158">
        <v>0</v>
      </c>
      <c r="F27" s="3158">
        <v>0</v>
      </c>
      <c r="G27" s="3158">
        <v>0</v>
      </c>
      <c r="H27" s="3158"/>
      <c r="I27" s="3159">
        <f t="shared" ref="I27:I40" si="36">F27</f>
        <v>0</v>
      </c>
      <c r="J27" s="3160"/>
      <c r="K27" s="3161"/>
      <c r="L27" s="3151">
        <f t="shared" ref="L27:N40" si="37">E27/100</f>
        <v>0</v>
      </c>
      <c r="M27" s="3151">
        <f t="shared" si="37"/>
        <v>0</v>
      </c>
      <c r="N27" s="3151">
        <f t="shared" si="37"/>
        <v>0</v>
      </c>
      <c r="O27" s="3151"/>
      <c r="P27" s="3151">
        <f>M27</f>
        <v>0</v>
      </c>
      <c r="Q27" s="3160"/>
      <c r="R27" s="3162"/>
      <c r="S27" s="3162">
        <f>ROUND(IF(项目基本情况!$B$8="出让",SUMPRODUCT(PRODUCT(1+L27:L$40)),SUMPRODUCT(PRODUCT(1+L27:L$39))),4)</f>
        <v>1.0439000000000001</v>
      </c>
      <c r="T27" s="3162">
        <f>ROUND(IF(项目基本情况!$B$8="出让",SUMPRODUCT(PRODUCT(1+M27:M$40)),SUMPRODUCT(PRODUCT(1+M27:M$39))),4)</f>
        <v>1.0297000000000001</v>
      </c>
      <c r="U27" s="3162">
        <f>ROUND(IF(项目基本情况!$B$8="出让",SUMPRODUCT(PRODUCT(1+N27:N$40)),SUMPRODUCT(PRODUCT(1+N27:N$39))),4)</f>
        <v>1.0727</v>
      </c>
      <c r="V27" s="3162"/>
      <c r="W27" s="3162">
        <f>T27</f>
        <v>1.0297000000000001</v>
      </c>
      <c r="X27" s="3160"/>
      <c r="Y27" s="3163"/>
      <c r="Z27" s="3191">
        <f>IF(E27=0,0,ROUND(AVERAGE(E27:E40)/100,4))</f>
        <v>0</v>
      </c>
      <c r="AA27" s="3191">
        <f>IF(F27=0,0,ROUND(AVERAGE(F27:F40)/100,4))</f>
        <v>0</v>
      </c>
      <c r="AB27" s="3191">
        <f>IF(G27=0,0,ROUND(AVERAGE(G27:G40)/100,4))</f>
        <v>0</v>
      </c>
      <c r="AC27" s="3192"/>
      <c r="AD27" s="3163">
        <f>IF(I27=0,0,ROUND(AVERAGE(I27:I40)/100,4))</f>
        <v>0</v>
      </c>
    </row>
    <row r="28" spans="1:30" s="3164" customFormat="1" ht="12.75">
      <c r="A28" s="2205" t="s">
        <v>3362</v>
      </c>
      <c r="B28" s="3156">
        <v>2024</v>
      </c>
      <c r="C28" s="3157">
        <v>1</v>
      </c>
      <c r="D28" s="3158"/>
      <c r="E28" s="3158">
        <v>0</v>
      </c>
      <c r="F28" s="3158">
        <v>0</v>
      </c>
      <c r="G28" s="3158">
        <v>0</v>
      </c>
      <c r="H28" s="3158"/>
      <c r="I28" s="3159">
        <f t="shared" ref="I28:I29" si="38">F28</f>
        <v>0</v>
      </c>
      <c r="J28" s="3160"/>
      <c r="K28" s="3161"/>
      <c r="L28" s="3151">
        <f t="shared" ref="L28" si="39">E28/100</f>
        <v>0</v>
      </c>
      <c r="M28" s="3151">
        <f t="shared" ref="M28" si="40">F28/100</f>
        <v>0</v>
      </c>
      <c r="N28" s="3151">
        <f t="shared" ref="N28" si="41">G28/100</f>
        <v>0</v>
      </c>
      <c r="O28" s="3151"/>
      <c r="P28" s="3151">
        <f t="shared" ref="P28" si="42">M28</f>
        <v>0</v>
      </c>
      <c r="Q28" s="3160"/>
      <c r="R28" s="3162"/>
      <c r="S28" s="3162">
        <f>ROUND(IF(项目基本情况!$B$8="出让",SUMPRODUCT(PRODUCT(1+L28:L$40)),SUMPRODUCT(PRODUCT(1+L28:L$39))),4)</f>
        <v>1.0439000000000001</v>
      </c>
      <c r="T28" s="3162">
        <f>ROUND(IF(项目基本情况!$B$8="出让",SUMPRODUCT(PRODUCT(1+M28:M$40)),SUMPRODUCT(PRODUCT(1+M28:M$39))),4)</f>
        <v>1.0297000000000001</v>
      </c>
      <c r="U28" s="3162">
        <f>ROUND(IF(项目基本情况!$B$8="出让",SUMPRODUCT(PRODUCT(1+N28:N$40)),SUMPRODUCT(PRODUCT(1+N28:N$39))),4)</f>
        <v>1.0727</v>
      </c>
      <c r="V28" s="3162"/>
      <c r="W28" s="3162">
        <f t="shared" ref="W28" si="43">T28</f>
        <v>1.0297000000000001</v>
      </c>
      <c r="X28" s="3160"/>
      <c r="Y28" s="3163"/>
      <c r="Z28" s="3191"/>
      <c r="AA28" s="3193"/>
      <c r="AB28" s="3163"/>
      <c r="AC28" s="3192"/>
      <c r="AD28" s="3163"/>
    </row>
    <row r="29" spans="1:30" s="3174" customFormat="1" ht="12.75">
      <c r="A29" s="3165" t="s">
        <v>3366</v>
      </c>
      <c r="B29" s="3166">
        <v>2023</v>
      </c>
      <c r="C29" s="3167">
        <v>4</v>
      </c>
      <c r="D29" s="3168"/>
      <c r="E29" s="3168">
        <v>7.0000000000000007E-2</v>
      </c>
      <c r="F29" s="3168">
        <v>0.09</v>
      </c>
      <c r="G29" s="3168">
        <v>0.03</v>
      </c>
      <c r="H29" s="3169"/>
      <c r="I29" s="3170">
        <f t="shared" si="38"/>
        <v>0.09</v>
      </c>
      <c r="J29" s="3171"/>
      <c r="K29" s="3172"/>
      <c r="L29" s="3173">
        <f t="shared" si="37"/>
        <v>7.000000000000001E-4</v>
      </c>
      <c r="M29" s="3173">
        <f t="shared" si="37"/>
        <v>8.9999999999999998E-4</v>
      </c>
      <c r="N29" s="3173">
        <f t="shared" si="37"/>
        <v>2.9999999999999997E-4</v>
      </c>
      <c r="O29" s="3173"/>
      <c r="P29" s="3173">
        <f t="shared" ref="P29" si="44">M29</f>
        <v>8.9999999999999998E-4</v>
      </c>
      <c r="Q29" s="3171"/>
      <c r="R29" s="3171"/>
      <c r="S29" s="3171">
        <f>ROUND(IF(项目基本情况!$B$8="出让",SUMPRODUCT(PRODUCT(1+L29:L$40)),SUMPRODUCT(PRODUCT(1+L29:L$39))),4)</f>
        <v>1.0439000000000001</v>
      </c>
      <c r="T29" s="3171">
        <f>ROUND(IF(项目基本情况!$B$8="出让",SUMPRODUCT(PRODUCT(1+M29:M$40)),SUMPRODUCT(PRODUCT(1+M29:M$39))),4)</f>
        <v>1.0297000000000001</v>
      </c>
      <c r="U29" s="3171">
        <f>ROUND(IF(项目基本情况!$B$8="出让",SUMPRODUCT(PRODUCT(1+N29:N$40)),SUMPRODUCT(PRODUCT(1+N29:N$39))),4)</f>
        <v>1.0727</v>
      </c>
      <c r="V29" s="3171"/>
      <c r="W29" s="3171">
        <f t="shared" ref="W29" si="45">T29</f>
        <v>1.0297000000000001</v>
      </c>
      <c r="X29" s="3171"/>
      <c r="Y29" s="3173"/>
      <c r="Z29" s="3194"/>
      <c r="AA29" s="3195"/>
      <c r="AB29" s="3173"/>
      <c r="AC29" s="3196"/>
      <c r="AD29" s="3173"/>
    </row>
    <row r="30" spans="1:30" s="3164" customFormat="1" ht="12.75">
      <c r="A30" s="3155" t="s">
        <v>3365</v>
      </c>
      <c r="B30" s="3156">
        <v>2023</v>
      </c>
      <c r="C30" s="3157">
        <v>3</v>
      </c>
      <c r="D30" s="3158"/>
      <c r="E30" s="3158">
        <v>0.35</v>
      </c>
      <c r="F30" s="3158">
        <v>0.17</v>
      </c>
      <c r="G30" s="3158">
        <v>0.52</v>
      </c>
      <c r="H30" s="3175"/>
      <c r="I30" s="3159">
        <f t="shared" si="36"/>
        <v>0.17</v>
      </c>
      <c r="J30" s="3160"/>
      <c r="K30" s="3161"/>
      <c r="L30" s="3151">
        <f t="shared" ref="L30:L32" si="46">E30/100</f>
        <v>3.4999999999999996E-3</v>
      </c>
      <c r="M30" s="3151">
        <f t="shared" ref="M30:M32" si="47">F30/100</f>
        <v>1.7000000000000001E-3</v>
      </c>
      <c r="N30" s="3151">
        <f t="shared" ref="N30:N32" si="48">G30/100</f>
        <v>5.1999999999999998E-3</v>
      </c>
      <c r="O30" s="3151"/>
      <c r="P30" s="3151">
        <f t="shared" ref="P30:P32" si="49">M30</f>
        <v>1.7000000000000001E-3</v>
      </c>
      <c r="Q30" s="3160"/>
      <c r="R30" s="3162"/>
      <c r="S30" s="3162">
        <f>ROUND(IF(项目基本情况!$B$8="出让",SUMPRODUCT(PRODUCT(1+L30:L$40)),SUMPRODUCT(PRODUCT(1+L30:L$39))),4)</f>
        <v>1.0431999999999999</v>
      </c>
      <c r="T30" s="3162">
        <f>ROUND(IF(项目基本情况!$B$8="出让",SUMPRODUCT(PRODUCT(1+M30:M$40)),SUMPRODUCT(PRODUCT(1+M30:M$39))),4)</f>
        <v>1.0286999999999999</v>
      </c>
      <c r="U30" s="3162">
        <f>ROUND(IF(项目基本情况!$B$8="出让",SUMPRODUCT(PRODUCT(1+N30:N$40)),SUMPRODUCT(PRODUCT(1+N30:N$39))),4)</f>
        <v>1.0723</v>
      </c>
      <c r="V30" s="3162"/>
      <c r="W30" s="3162">
        <f t="shared" ref="W30:W32" si="50">T30</f>
        <v>1.0286999999999999</v>
      </c>
      <c r="X30" s="3160"/>
      <c r="Y30" s="3163"/>
      <c r="Z30" s="3191"/>
      <c r="AA30" s="3193"/>
      <c r="AB30" s="3163"/>
      <c r="AC30" s="3192"/>
      <c r="AD30" s="3163"/>
    </row>
    <row r="31" spans="1:30" s="3164" customFormat="1" ht="12.75">
      <c r="A31" s="3155" t="s">
        <v>3360</v>
      </c>
      <c r="B31" s="3156">
        <v>2023</v>
      </c>
      <c r="C31" s="3157">
        <v>2</v>
      </c>
      <c r="D31" s="3158"/>
      <c r="E31" s="3158">
        <v>0.5</v>
      </c>
      <c r="F31" s="3158">
        <v>0.45</v>
      </c>
      <c r="G31" s="3158">
        <v>0.89</v>
      </c>
      <c r="H31" s="3175"/>
      <c r="I31" s="3159">
        <f t="shared" si="36"/>
        <v>0.45</v>
      </c>
      <c r="J31" s="3160"/>
      <c r="K31" s="3161"/>
      <c r="L31" s="3151">
        <f t="shared" si="46"/>
        <v>5.0000000000000001E-3</v>
      </c>
      <c r="M31" s="3151">
        <f t="shared" si="47"/>
        <v>4.5000000000000005E-3</v>
      </c>
      <c r="N31" s="3151">
        <f t="shared" si="48"/>
        <v>8.8999999999999999E-3</v>
      </c>
      <c r="O31" s="3151"/>
      <c r="P31" s="3151">
        <f t="shared" si="49"/>
        <v>4.5000000000000005E-3</v>
      </c>
      <c r="Q31" s="3160"/>
      <c r="R31" s="3162"/>
      <c r="S31" s="3162">
        <f>ROUND(IF(项目基本情况!$B$8="出让",SUMPRODUCT(PRODUCT(1+L31:L$40)),SUMPRODUCT(PRODUCT(1+L31:L$39))),4)</f>
        <v>1.0396000000000001</v>
      </c>
      <c r="T31" s="3162">
        <f>ROUND(IF(项目基本情况!$B$8="出让",SUMPRODUCT(PRODUCT(1+M31:M$40)),SUMPRODUCT(PRODUCT(1+M31:M$39))),4)</f>
        <v>1.0269999999999999</v>
      </c>
      <c r="U31" s="3162">
        <f>ROUND(IF(项目基本情况!$B$8="出让",SUMPRODUCT(PRODUCT(1+N31:N$40)),SUMPRODUCT(PRODUCT(1+N31:N$39))),4)</f>
        <v>1.0668</v>
      </c>
      <c r="V31" s="3162"/>
      <c r="W31" s="3162">
        <f t="shared" si="50"/>
        <v>1.0269999999999999</v>
      </c>
      <c r="X31" s="3160"/>
      <c r="Y31" s="3163"/>
      <c r="Z31" s="3191"/>
      <c r="AA31" s="3193"/>
      <c r="AB31" s="3163"/>
      <c r="AC31" s="3192"/>
      <c r="AD31" s="3163"/>
    </row>
    <row r="32" spans="1:30" s="3164" customFormat="1" ht="12.75">
      <c r="A32" s="3155" t="s">
        <v>3356</v>
      </c>
      <c r="B32" s="3156">
        <v>2023</v>
      </c>
      <c r="C32" s="3157">
        <v>1</v>
      </c>
      <c r="D32" s="3158"/>
      <c r="E32" s="3158">
        <v>0.55000000000000004</v>
      </c>
      <c r="F32" s="3158">
        <v>0.59</v>
      </c>
      <c r="G32" s="3158">
        <v>0.64</v>
      </c>
      <c r="H32" s="3175"/>
      <c r="I32" s="3159">
        <f t="shared" si="36"/>
        <v>0.59</v>
      </c>
      <c r="J32" s="3160"/>
      <c r="K32" s="3161"/>
      <c r="L32" s="3151">
        <f t="shared" si="46"/>
        <v>5.5000000000000005E-3</v>
      </c>
      <c r="M32" s="3151">
        <f t="shared" si="47"/>
        <v>5.8999999999999999E-3</v>
      </c>
      <c r="N32" s="3151">
        <f t="shared" si="48"/>
        <v>6.4000000000000003E-3</v>
      </c>
      <c r="O32" s="3151"/>
      <c r="P32" s="3151">
        <f t="shared" si="49"/>
        <v>5.8999999999999999E-3</v>
      </c>
      <c r="Q32" s="3160"/>
      <c r="R32" s="3162"/>
      <c r="S32" s="3162">
        <f>ROUND(IF(项目基本情况!$B$8="出让",SUMPRODUCT(PRODUCT(1+L32:L$40)),SUMPRODUCT(PRODUCT(1+L32:L$39))),4)</f>
        <v>1.0344</v>
      </c>
      <c r="T32" s="3162">
        <f>ROUND(IF(项目基本情况!$B$8="出让",SUMPRODUCT(PRODUCT(1+M32:M$40)),SUMPRODUCT(PRODUCT(1+M32:M$39))),4)</f>
        <v>1.0224</v>
      </c>
      <c r="U32" s="3162">
        <f>ROUND(IF(项目基本情况!$B$8="出让",SUMPRODUCT(PRODUCT(1+N32:N$40)),SUMPRODUCT(PRODUCT(1+N32:N$39))),4)</f>
        <v>1.0573999999999999</v>
      </c>
      <c r="V32" s="3162"/>
      <c r="W32" s="3162">
        <f t="shared" si="50"/>
        <v>1.0224</v>
      </c>
      <c r="X32" s="3160"/>
      <c r="Y32" s="3163"/>
      <c r="Z32" s="3191"/>
      <c r="AA32" s="3193"/>
      <c r="AB32" s="3163"/>
      <c r="AC32" s="3192"/>
      <c r="AD32" s="3163"/>
    </row>
    <row r="33" spans="1:30" s="3164" customFormat="1" ht="12.75">
      <c r="A33" s="3155" t="s">
        <v>3355</v>
      </c>
      <c r="B33" s="3156">
        <v>2022</v>
      </c>
      <c r="C33" s="3157">
        <v>4</v>
      </c>
      <c r="D33" s="3158"/>
      <c r="E33" s="3158">
        <v>0.45</v>
      </c>
      <c r="F33" s="3158">
        <v>0.2</v>
      </c>
      <c r="G33" s="3158">
        <v>0.38</v>
      </c>
      <c r="H33" s="3175"/>
      <c r="I33" s="3159">
        <f t="shared" si="36"/>
        <v>0.2</v>
      </c>
      <c r="J33" s="3160"/>
      <c r="K33" s="3161"/>
      <c r="L33" s="3151">
        <f t="shared" si="37"/>
        <v>4.5000000000000005E-3</v>
      </c>
      <c r="M33" s="3151">
        <f t="shared" si="37"/>
        <v>2E-3</v>
      </c>
      <c r="N33" s="3151">
        <f t="shared" si="37"/>
        <v>3.8E-3</v>
      </c>
      <c r="O33" s="3151"/>
      <c r="P33" s="3151">
        <f t="shared" ref="P33:P40" si="51">M33</f>
        <v>2E-3</v>
      </c>
      <c r="Q33" s="3160"/>
      <c r="R33" s="3162"/>
      <c r="S33" s="3162">
        <f>ROUND(IF(项目基本情况!$B$8="出让",SUMPRODUCT(PRODUCT(1+L33:L$40)),SUMPRODUCT(PRODUCT(1+L33:L$39))),4)</f>
        <v>1.0286999999999999</v>
      </c>
      <c r="T33" s="3162">
        <f>ROUND(IF(项目基本情况!$B$8="出让",SUMPRODUCT(PRODUCT(1+M33:M$40)),SUMPRODUCT(PRODUCT(1+M33:M$39))),4)</f>
        <v>1.0164</v>
      </c>
      <c r="U33" s="3162">
        <f>ROUND(IF(项目基本情况!$B$8="出让",SUMPRODUCT(PRODUCT(1+N33:N$40)),SUMPRODUCT(PRODUCT(1+N33:N$39))),4)</f>
        <v>1.0506</v>
      </c>
      <c r="V33" s="3162"/>
      <c r="W33" s="3162">
        <f t="shared" ref="W33:W40" si="52">T33</f>
        <v>1.0164</v>
      </c>
      <c r="X33" s="3160"/>
      <c r="Y33" s="3163"/>
      <c r="Z33" s="3191">
        <f t="shared" ref="Z33:AD40" si="53">IF(E33=0,0,ROUND(AVERAGE(E33:E41)/100,4))</f>
        <v>4.0000000000000001E-3</v>
      </c>
      <c r="AA33" s="3193">
        <f t="shared" si="53"/>
        <v>2.5999999999999999E-3</v>
      </c>
      <c r="AB33" s="3163">
        <f t="shared" si="53"/>
        <v>7.4000000000000003E-3</v>
      </c>
      <c r="AC33" s="3192"/>
      <c r="AD33" s="3163">
        <f t="shared" si="53"/>
        <v>2.5999999999999999E-3</v>
      </c>
    </row>
    <row r="34" spans="1:30" s="3164" customFormat="1" ht="12.75">
      <c r="A34" s="3155" t="s">
        <v>3352</v>
      </c>
      <c r="B34" s="3156">
        <v>2022</v>
      </c>
      <c r="C34" s="3157">
        <v>3</v>
      </c>
      <c r="D34" s="3158"/>
      <c r="E34" s="3158">
        <v>0.3</v>
      </c>
      <c r="F34" s="3158">
        <v>0.28999999999999998</v>
      </c>
      <c r="G34" s="3158">
        <v>0.83</v>
      </c>
      <c r="H34" s="3175"/>
      <c r="I34" s="3159">
        <f t="shared" si="36"/>
        <v>0.28999999999999998</v>
      </c>
      <c r="J34" s="3160"/>
      <c r="K34" s="3161"/>
      <c r="L34" s="3151">
        <f t="shared" si="37"/>
        <v>3.0000000000000001E-3</v>
      </c>
      <c r="M34" s="3151">
        <f t="shared" si="37"/>
        <v>2.8999999999999998E-3</v>
      </c>
      <c r="N34" s="3151">
        <f t="shared" si="37"/>
        <v>8.3000000000000001E-3</v>
      </c>
      <c r="O34" s="3151"/>
      <c r="P34" s="3151">
        <f t="shared" si="51"/>
        <v>2.8999999999999998E-3</v>
      </c>
      <c r="Q34" s="3160"/>
      <c r="R34" s="3162"/>
      <c r="S34" s="3162">
        <f>ROUND(IF(项目基本情况!$B$8="出让",SUMPRODUCT(PRODUCT(1+L34:L$40)),SUMPRODUCT(PRODUCT(1+L34:L$39))),4)</f>
        <v>1.0241</v>
      </c>
      <c r="T34" s="3162">
        <f>ROUND(IF(项目基本情况!$B$8="出让",SUMPRODUCT(PRODUCT(1+M34:M$40)),SUMPRODUCT(PRODUCT(1+M34:M$39))),4)</f>
        <v>1.0144</v>
      </c>
      <c r="U34" s="3162">
        <f>ROUND(IF(项目基本情况!$B$8="出让",SUMPRODUCT(PRODUCT(1+N34:N$40)),SUMPRODUCT(PRODUCT(1+N34:N$39))),4)</f>
        <v>1.0467</v>
      </c>
      <c r="V34" s="3162"/>
      <c r="W34" s="3162">
        <f t="shared" si="52"/>
        <v>1.0144</v>
      </c>
      <c r="X34" s="3160"/>
      <c r="Y34" s="3163"/>
      <c r="Z34" s="3191">
        <f t="shared" si="53"/>
        <v>3.8999999999999998E-3</v>
      </c>
      <c r="AA34" s="3193">
        <f t="shared" si="53"/>
        <v>2.7000000000000001E-3</v>
      </c>
      <c r="AB34" s="3163">
        <f t="shared" si="53"/>
        <v>7.9000000000000008E-3</v>
      </c>
      <c r="AC34" s="3192"/>
      <c r="AD34" s="3163">
        <f t="shared" si="53"/>
        <v>2.7000000000000001E-3</v>
      </c>
    </row>
    <row r="35" spans="1:30" s="3164" customFormat="1" ht="12.75">
      <c r="A35" s="3155" t="s">
        <v>3342</v>
      </c>
      <c r="B35" s="3156">
        <v>2022</v>
      </c>
      <c r="C35" s="3157">
        <v>2</v>
      </c>
      <c r="D35" s="3158"/>
      <c r="E35" s="3158">
        <v>-0.11</v>
      </c>
      <c r="F35" s="3158">
        <v>-0.13</v>
      </c>
      <c r="G35" s="3158">
        <v>0.53</v>
      </c>
      <c r="H35" s="3175"/>
      <c r="I35" s="3159">
        <f t="shared" si="36"/>
        <v>-0.13</v>
      </c>
      <c r="J35" s="3160"/>
      <c r="K35" s="3161"/>
      <c r="L35" s="3151">
        <f t="shared" si="37"/>
        <v>-1.1000000000000001E-3</v>
      </c>
      <c r="M35" s="3151">
        <f t="shared" si="37"/>
        <v>-1.2999999999999999E-3</v>
      </c>
      <c r="N35" s="3151">
        <f t="shared" si="37"/>
        <v>5.3E-3</v>
      </c>
      <c r="O35" s="3151"/>
      <c r="P35" s="3151">
        <f t="shared" si="51"/>
        <v>-1.2999999999999999E-3</v>
      </c>
      <c r="Q35" s="3160"/>
      <c r="R35" s="3162"/>
      <c r="S35" s="3162">
        <f>ROUND(IF(项目基本情况!$B$8="出让",SUMPRODUCT(PRODUCT(1+L35:L$40)),SUMPRODUCT(PRODUCT(1+L35:L$39))),4)</f>
        <v>1.0210999999999999</v>
      </c>
      <c r="T35" s="3162">
        <f>ROUND(IF(项目基本情况!$B$8="出让",SUMPRODUCT(PRODUCT(1+M35:M$40)),SUMPRODUCT(PRODUCT(1+M35:M$39))),4)</f>
        <v>1.0114000000000001</v>
      </c>
      <c r="U35" s="3162">
        <f>ROUND(IF(项目基本情况!$B$8="出让",SUMPRODUCT(PRODUCT(1+N35:N$40)),SUMPRODUCT(PRODUCT(1+N35:N$39))),4)</f>
        <v>1.0381</v>
      </c>
      <c r="V35" s="3162"/>
      <c r="W35" s="3162">
        <f t="shared" si="52"/>
        <v>1.0114000000000001</v>
      </c>
      <c r="X35" s="3160"/>
      <c r="Y35" s="3163"/>
      <c r="Z35" s="3191">
        <f t="shared" si="53"/>
        <v>4.1000000000000003E-3</v>
      </c>
      <c r="AA35" s="3193">
        <f t="shared" si="53"/>
        <v>2.7000000000000001E-3</v>
      </c>
      <c r="AB35" s="3163">
        <f t="shared" si="53"/>
        <v>7.9000000000000008E-3</v>
      </c>
      <c r="AC35" s="3192"/>
      <c r="AD35" s="3163">
        <f t="shared" si="53"/>
        <v>2.7000000000000001E-3</v>
      </c>
    </row>
    <row r="36" spans="1:30" s="3164" customFormat="1" ht="12.75">
      <c r="A36" s="3155" t="s">
        <v>2822</v>
      </c>
      <c r="B36" s="3156">
        <v>2022</v>
      </c>
      <c r="C36" s="3157">
        <v>1</v>
      </c>
      <c r="D36" s="3158"/>
      <c r="E36" s="3158">
        <v>0.6</v>
      </c>
      <c r="F36" s="3158">
        <v>0.45</v>
      </c>
      <c r="G36" s="3158">
        <v>0.53</v>
      </c>
      <c r="H36" s="3175"/>
      <c r="I36" s="3159">
        <f t="shared" si="36"/>
        <v>0.45</v>
      </c>
      <c r="J36" s="3160"/>
      <c r="K36" s="3161"/>
      <c r="L36" s="3151">
        <f t="shared" si="37"/>
        <v>6.0000000000000001E-3</v>
      </c>
      <c r="M36" s="3151">
        <f t="shared" si="37"/>
        <v>4.5000000000000005E-3</v>
      </c>
      <c r="N36" s="3151">
        <f t="shared" si="37"/>
        <v>5.3E-3</v>
      </c>
      <c r="O36" s="3151"/>
      <c r="P36" s="3151">
        <f t="shared" si="51"/>
        <v>4.5000000000000005E-3</v>
      </c>
      <c r="Q36" s="3160"/>
      <c r="R36" s="3162"/>
      <c r="S36" s="3162">
        <f>ROUND(IF(项目基本情况!$B$8="出让",SUMPRODUCT(PRODUCT(1+L36:L$40)),SUMPRODUCT(PRODUCT(1+L36:L$39))),4)</f>
        <v>1.0222</v>
      </c>
      <c r="T36" s="3162">
        <f>ROUND(IF(项目基本情况!$B$8="出让",SUMPRODUCT(PRODUCT(1+M36:M$40)),SUMPRODUCT(PRODUCT(1+M36:M$39))),4)</f>
        <v>1.0127999999999999</v>
      </c>
      <c r="U36" s="3162">
        <f>ROUND(IF(项目基本情况!$B$8="出让",SUMPRODUCT(PRODUCT(1+N36:N$40)),SUMPRODUCT(PRODUCT(1+N36:N$39))),4)</f>
        <v>1.0326</v>
      </c>
      <c r="V36" s="3162"/>
      <c r="W36" s="3162">
        <f t="shared" si="52"/>
        <v>1.0127999999999999</v>
      </c>
      <c r="X36" s="3160"/>
      <c r="Y36" s="3163"/>
      <c r="Z36" s="3191">
        <f t="shared" si="53"/>
        <v>5.1000000000000004E-3</v>
      </c>
      <c r="AA36" s="3193">
        <f t="shared" si="53"/>
        <v>3.5000000000000001E-3</v>
      </c>
      <c r="AB36" s="3163">
        <f t="shared" si="53"/>
        <v>8.3999999999999995E-3</v>
      </c>
      <c r="AC36" s="3192"/>
      <c r="AD36" s="3163">
        <f t="shared" si="53"/>
        <v>3.5000000000000001E-3</v>
      </c>
    </row>
    <row r="37" spans="1:30" s="3164" customFormat="1" ht="12.75">
      <c r="A37" s="3155" t="s">
        <v>2823</v>
      </c>
      <c r="B37" s="3156">
        <v>2021</v>
      </c>
      <c r="C37" s="3157">
        <v>4</v>
      </c>
      <c r="D37" s="3158"/>
      <c r="E37" s="3158">
        <v>0.57999999999999996</v>
      </c>
      <c r="F37" s="3158">
        <v>0.08</v>
      </c>
      <c r="G37" s="3158">
        <v>0.68</v>
      </c>
      <c r="H37" s="3175"/>
      <c r="I37" s="3159">
        <f t="shared" si="36"/>
        <v>0.08</v>
      </c>
      <c r="J37" s="3160"/>
      <c r="K37" s="3161"/>
      <c r="L37" s="3151">
        <f t="shared" si="37"/>
        <v>5.7999999999999996E-3</v>
      </c>
      <c r="M37" s="3151">
        <f t="shared" si="37"/>
        <v>8.0000000000000004E-4</v>
      </c>
      <c r="N37" s="3151">
        <f t="shared" si="37"/>
        <v>6.8000000000000005E-3</v>
      </c>
      <c r="O37" s="3151"/>
      <c r="P37" s="3151">
        <f t="shared" si="51"/>
        <v>8.0000000000000004E-4</v>
      </c>
      <c r="Q37" s="3160"/>
      <c r="R37" s="3162"/>
      <c r="S37" s="3162">
        <f>ROUND(IF(项目基本情况!$B$8="出让",SUMPRODUCT(PRODUCT(1+L37:L$40)),SUMPRODUCT(PRODUCT(1+L37:L$39))),4)</f>
        <v>1.0161</v>
      </c>
      <c r="T37" s="3162">
        <f>ROUND(IF(项目基本情况!$B$8="出让",SUMPRODUCT(PRODUCT(1+M37:M$40)),SUMPRODUCT(PRODUCT(1+M37:M$39))),4)</f>
        <v>1.0082</v>
      </c>
      <c r="U37" s="3162">
        <f>ROUND(IF(项目基本情况!$B$8="出让",SUMPRODUCT(PRODUCT(1+N37:N$40)),SUMPRODUCT(PRODUCT(1+N37:N$39))),4)</f>
        <v>1.0270999999999999</v>
      </c>
      <c r="V37" s="3162"/>
      <c r="W37" s="3162">
        <f t="shared" si="52"/>
        <v>1.0082</v>
      </c>
      <c r="X37" s="3160"/>
      <c r="Y37" s="3163"/>
      <c r="Z37" s="3191">
        <f t="shared" si="53"/>
        <v>4.8999999999999998E-3</v>
      </c>
      <c r="AA37" s="3193">
        <f t="shared" si="53"/>
        <v>3.3E-3</v>
      </c>
      <c r="AB37" s="3163">
        <f t="shared" si="53"/>
        <v>9.1999999999999998E-3</v>
      </c>
      <c r="AC37" s="3192"/>
      <c r="AD37" s="3163">
        <f t="shared" si="53"/>
        <v>3.3E-3</v>
      </c>
    </row>
    <row r="38" spans="1:30" s="3164" customFormat="1" ht="12.75">
      <c r="A38" s="3155" t="s">
        <v>2824</v>
      </c>
      <c r="B38" s="3156">
        <v>2021</v>
      </c>
      <c r="C38" s="3157">
        <v>3</v>
      </c>
      <c r="D38" s="3158"/>
      <c r="E38" s="3158">
        <v>0.47</v>
      </c>
      <c r="F38" s="3158">
        <v>0.28000000000000003</v>
      </c>
      <c r="G38" s="3158">
        <v>0.91</v>
      </c>
      <c r="H38" s="3175"/>
      <c r="I38" s="3159">
        <f t="shared" si="36"/>
        <v>0.28000000000000003</v>
      </c>
      <c r="J38" s="3160"/>
      <c r="K38" s="3161"/>
      <c r="L38" s="3151">
        <f t="shared" si="37"/>
        <v>4.6999999999999993E-3</v>
      </c>
      <c r="M38" s="3151">
        <f t="shared" si="37"/>
        <v>2.8000000000000004E-3</v>
      </c>
      <c r="N38" s="3151">
        <f t="shared" si="37"/>
        <v>9.1000000000000004E-3</v>
      </c>
      <c r="O38" s="3151"/>
      <c r="P38" s="3151">
        <f t="shared" si="51"/>
        <v>2.8000000000000004E-3</v>
      </c>
      <c r="Q38" s="3160"/>
      <c r="R38" s="3162"/>
      <c r="S38" s="3162">
        <f>ROUND(IF(项目基本情况!$B$8="出让",SUMPRODUCT(PRODUCT(1+L38:L$40)),SUMPRODUCT(PRODUCT(1+L38:L$39))),4)</f>
        <v>1.0102</v>
      </c>
      <c r="T38" s="3162">
        <f>ROUND(IF(项目基本情况!$B$8="出让",SUMPRODUCT(PRODUCT(1+M38:M$40)),SUMPRODUCT(PRODUCT(1+M38:M$39))),4)</f>
        <v>1.0074000000000001</v>
      </c>
      <c r="U38" s="3162">
        <f>ROUND(IF(项目基本情况!$B$8="出让",SUMPRODUCT(PRODUCT(1+N38:N$40)),SUMPRODUCT(PRODUCT(1+N38:N$39))),4)</f>
        <v>1.0202</v>
      </c>
      <c r="V38" s="3162"/>
      <c r="W38" s="3162">
        <f t="shared" si="52"/>
        <v>1.0074000000000001</v>
      </c>
      <c r="X38" s="3160"/>
      <c r="Y38" s="3163"/>
      <c r="Z38" s="3191">
        <f t="shared" si="53"/>
        <v>4.5999999999999999E-3</v>
      </c>
      <c r="AA38" s="3193">
        <f t="shared" si="53"/>
        <v>4.1000000000000003E-3</v>
      </c>
      <c r="AB38" s="3163">
        <f t="shared" si="53"/>
        <v>0.01</v>
      </c>
      <c r="AC38" s="3192"/>
      <c r="AD38" s="3163">
        <f t="shared" si="53"/>
        <v>4.1000000000000003E-3</v>
      </c>
    </row>
    <row r="39" spans="1:30" s="3164" customFormat="1" ht="12.75">
      <c r="A39" s="3155" t="s">
        <v>2825</v>
      </c>
      <c r="B39" s="3156">
        <v>2021</v>
      </c>
      <c r="C39" s="3157">
        <v>2</v>
      </c>
      <c r="D39" s="3158"/>
      <c r="E39" s="3158">
        <v>0.55000000000000004</v>
      </c>
      <c r="F39" s="3158">
        <v>0.46</v>
      </c>
      <c r="G39" s="3158">
        <v>1.1000000000000001</v>
      </c>
      <c r="H39" s="3175"/>
      <c r="I39" s="3159">
        <f t="shared" si="36"/>
        <v>0.46</v>
      </c>
      <c r="J39" s="3160"/>
      <c r="K39" s="3161"/>
      <c r="L39" s="3151">
        <f t="shared" si="37"/>
        <v>5.5000000000000005E-3</v>
      </c>
      <c r="M39" s="3151">
        <f t="shared" si="37"/>
        <v>4.5999999999999999E-3</v>
      </c>
      <c r="N39" s="3151">
        <f t="shared" si="37"/>
        <v>1.1000000000000001E-2</v>
      </c>
      <c r="O39" s="3151"/>
      <c r="P39" s="3151">
        <f t="shared" si="51"/>
        <v>4.5999999999999999E-3</v>
      </c>
      <c r="Q39" s="3160"/>
      <c r="R39" s="3162"/>
      <c r="S39" s="3162">
        <f>ROUND(IF(项目基本情况!$B$8="出让",SUMPRODUCT(PRODUCT(1+L39:L$40)),SUMPRODUCT(PRODUCT(1+L39:L$39))),4)</f>
        <v>1.0055000000000001</v>
      </c>
      <c r="T39" s="3162">
        <f>ROUND(IF(项目基本情况!$B$8="出让",SUMPRODUCT(PRODUCT(1+M39:M$40)),SUMPRODUCT(PRODUCT(1+M39:M$39))),4)</f>
        <v>1.0045999999999999</v>
      </c>
      <c r="U39" s="3162">
        <f>ROUND(IF(项目基本情况!$B$8="出让",SUMPRODUCT(PRODUCT(1+N39:N$40)),SUMPRODUCT(PRODUCT(1+N39:N$39))),4)</f>
        <v>1.0109999999999999</v>
      </c>
      <c r="V39" s="3162"/>
      <c r="W39" s="3162">
        <f t="shared" si="52"/>
        <v>1.0045999999999999</v>
      </c>
      <c r="X39" s="3160"/>
      <c r="Y39" s="3163"/>
      <c r="Z39" s="3191">
        <f t="shared" si="53"/>
        <v>4.4999999999999997E-3</v>
      </c>
      <c r="AA39" s="3193">
        <f t="shared" si="53"/>
        <v>4.7000000000000002E-3</v>
      </c>
      <c r="AB39" s="3163">
        <f t="shared" si="53"/>
        <v>1.04E-2</v>
      </c>
      <c r="AC39" s="3192"/>
      <c r="AD39" s="3163">
        <f t="shared" si="53"/>
        <v>4.7000000000000002E-3</v>
      </c>
    </row>
    <row r="40" spans="1:30" s="3186" customFormat="1" thickBot="1">
      <c r="A40" s="3176" t="s">
        <v>2811</v>
      </c>
      <c r="B40" s="3177">
        <v>2021</v>
      </c>
      <c r="C40" s="3178">
        <v>1</v>
      </c>
      <c r="D40" s="3179"/>
      <c r="E40" s="3179">
        <v>0.35</v>
      </c>
      <c r="F40" s="3179">
        <v>0.48</v>
      </c>
      <c r="G40" s="3179">
        <v>0.98</v>
      </c>
      <c r="H40" s="3180"/>
      <c r="I40" s="3181">
        <f t="shared" si="36"/>
        <v>0.48</v>
      </c>
      <c r="J40" s="3182"/>
      <c r="K40" s="3183"/>
      <c r="L40" s="3184">
        <f t="shared" si="37"/>
        <v>3.4999999999999996E-3</v>
      </c>
      <c r="M40" s="3184">
        <f>F40/100</f>
        <v>4.7999999999999996E-3</v>
      </c>
      <c r="N40" s="3184">
        <f t="shared" si="37"/>
        <v>9.7999999999999997E-3</v>
      </c>
      <c r="O40" s="3184"/>
      <c r="P40" s="3184">
        <f t="shared" si="51"/>
        <v>4.7999999999999996E-3</v>
      </c>
      <c r="Q40" s="3182"/>
      <c r="R40" s="3185"/>
      <c r="S40" s="3185">
        <v>1</v>
      </c>
      <c r="T40" s="3185">
        <v>1</v>
      </c>
      <c r="U40" s="3185">
        <v>1</v>
      </c>
      <c r="V40" s="3185"/>
      <c r="W40" s="3185">
        <f t="shared" si="52"/>
        <v>1</v>
      </c>
      <c r="X40" s="3182"/>
      <c r="Y40" s="3184"/>
      <c r="Z40" s="3197">
        <f t="shared" si="53"/>
        <v>3.5000000000000001E-3</v>
      </c>
      <c r="AA40" s="3198">
        <f t="shared" si="53"/>
        <v>4.7999999999999996E-3</v>
      </c>
      <c r="AB40" s="3184">
        <f t="shared" si="53"/>
        <v>9.7999999999999997E-3</v>
      </c>
      <c r="AC40" s="3199"/>
      <c r="AD40" s="3184">
        <f t="shared" si="53"/>
        <v>4.7999999999999996E-3</v>
      </c>
    </row>
    <row r="41" spans="1:30" ht="14.25" thickTop="1"/>
    <row r="42" spans="1:30">
      <c r="A42" s="3427" t="s">
        <v>3354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2097</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2098</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2113</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2111</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2110</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2109</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2107</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2106</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2108</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2104</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2103</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2096</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2094</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2095</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45420</v>
      </c>
      <c r="D1" s="1302" t="s">
        <v>603</v>
      </c>
      <c r="E1" s="1297">
        <f>'数据-取费表'!B22</f>
        <v>2.5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45159</v>
      </c>
      <c r="D13" s="2801">
        <v>3.45</v>
      </c>
      <c r="E13" s="2801">
        <f>D13</f>
        <v>3.45</v>
      </c>
      <c r="F13" s="2801">
        <f>D13</f>
        <v>3.45</v>
      </c>
      <c r="G13" s="2801">
        <f>D13</f>
        <v>3.45</v>
      </c>
      <c r="H13" s="280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45097</v>
      </c>
      <c r="D14" s="2796">
        <v>3.55</v>
      </c>
      <c r="E14" s="2796">
        <f>D14</f>
        <v>3.55</v>
      </c>
      <c r="F14" s="2796">
        <f>D14</f>
        <v>3.55</v>
      </c>
      <c r="G14" s="2796">
        <f>D14</f>
        <v>3.55</v>
      </c>
      <c r="H14" s="2796">
        <v>4.2</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44795</v>
      </c>
      <c r="D15" s="2796">
        <v>3.65</v>
      </c>
      <c r="E15" s="2796">
        <v>3.65</v>
      </c>
      <c r="F15" s="2796">
        <v>3.65</v>
      </c>
      <c r="G15" s="2796">
        <v>3.65</v>
      </c>
      <c r="H15" s="2796">
        <v>4.3</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5"/>
      <c r="C16" s="2797">
        <v>44701</v>
      </c>
      <c r="D16" s="2796">
        <v>3.7</v>
      </c>
      <c r="E16" s="2796">
        <f>D16</f>
        <v>3.7</v>
      </c>
      <c r="F16" s="2796">
        <f>D16</f>
        <v>3.7</v>
      </c>
      <c r="G16" s="2796">
        <f>D16</f>
        <v>3.7</v>
      </c>
      <c r="H16" s="2796">
        <v>4.45</v>
      </c>
      <c r="I16" s="2801"/>
      <c r="J16" s="280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5"/>
      <c r="C17" s="2797">
        <v>44581</v>
      </c>
      <c r="D17" s="2796">
        <v>3.7</v>
      </c>
      <c r="E17" s="2796">
        <f>D17</f>
        <v>3.7</v>
      </c>
      <c r="F17" s="2796">
        <f>D17</f>
        <v>3.7</v>
      </c>
      <c r="G17" s="2796">
        <f>D17</f>
        <v>3.7</v>
      </c>
      <c r="H17" s="2796">
        <v>4.5999999999999996</v>
      </c>
      <c r="I17" s="2801"/>
      <c r="J17" s="280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6"/>
      <c r="C18" s="2797">
        <v>44550</v>
      </c>
      <c r="D18" s="2796">
        <v>3.8</v>
      </c>
      <c r="E18" s="2796">
        <f>D18</f>
        <v>3.8</v>
      </c>
      <c r="F18" s="2796">
        <f>D18</f>
        <v>3.8</v>
      </c>
      <c r="G18" s="2796">
        <f>D18</f>
        <v>3.8</v>
      </c>
      <c r="H18" s="2796">
        <v>4.6500000000000004</v>
      </c>
      <c r="I18" s="2796"/>
      <c r="J18" s="2801"/>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6"/>
      <c r="C19" s="2797">
        <v>43941</v>
      </c>
      <c r="D19" s="2796">
        <v>3.85</v>
      </c>
      <c r="E19" s="2796">
        <v>3.85</v>
      </c>
      <c r="F19" s="2796">
        <v>3.85</v>
      </c>
      <c r="G19" s="2796">
        <v>3.85</v>
      </c>
      <c r="H19" s="2796">
        <v>4.6500000000000004</v>
      </c>
      <c r="I19" s="2796"/>
      <c r="J19" s="279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6"/>
      <c r="C20" s="2797">
        <v>43881</v>
      </c>
      <c r="D20" s="2796">
        <v>4.05</v>
      </c>
      <c r="E20" s="2796">
        <v>4.05</v>
      </c>
      <c r="F20" s="2796">
        <v>4.05</v>
      </c>
      <c r="G20" s="2796">
        <v>4.05</v>
      </c>
      <c r="H20" s="2796">
        <v>4.75</v>
      </c>
      <c r="I20" s="2796"/>
      <c r="J20" s="279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6"/>
      <c r="C21" s="2797">
        <v>43789</v>
      </c>
      <c r="D21" s="2796">
        <v>4.1500000000000004</v>
      </c>
      <c r="E21" s="2796">
        <v>4.1500000000000004</v>
      </c>
      <c r="F21" s="2796">
        <v>4.1500000000000004</v>
      </c>
      <c r="G21" s="2796">
        <v>4.1500000000000004</v>
      </c>
      <c r="H21" s="2796">
        <v>4.8</v>
      </c>
      <c r="I21" s="2796"/>
      <c r="J21" s="279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6"/>
      <c r="C22" s="2797">
        <v>43728</v>
      </c>
      <c r="D22" s="2796">
        <v>4.2</v>
      </c>
      <c r="E22" s="2796">
        <v>4.2</v>
      </c>
      <c r="F22" s="2796">
        <v>4.2</v>
      </c>
      <c r="G22" s="2796">
        <v>4.2</v>
      </c>
      <c r="H22" s="2796">
        <v>4.8499999999999996</v>
      </c>
      <c r="I22" s="2796"/>
      <c r="J22" s="279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2"/>
      <c r="B23" s="2795" t="s">
        <v>2296</v>
      </c>
      <c r="C23" s="2798">
        <v>43697</v>
      </c>
      <c r="D23" s="2799">
        <v>4.25</v>
      </c>
      <c r="E23" s="2799">
        <v>4.25</v>
      </c>
      <c r="F23" s="2799">
        <v>4.25</v>
      </c>
      <c r="G23" s="2799">
        <v>4.25</v>
      </c>
      <c r="H23" s="2799">
        <v>4.8499999999999996</v>
      </c>
      <c r="I23" s="2799"/>
      <c r="J23" s="279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3"/>
      <c r="C24" s="2804">
        <v>42301</v>
      </c>
      <c r="D24" s="2805">
        <v>4.3499999999999996</v>
      </c>
      <c r="E24" s="2805">
        <v>4.3499999999999996</v>
      </c>
      <c r="F24" s="2805">
        <v>4.75</v>
      </c>
      <c r="G24" s="2805">
        <v>4.75</v>
      </c>
      <c r="H24" s="2805">
        <v>4.9000000000000004</v>
      </c>
      <c r="I24" s="2805"/>
      <c r="J24" s="280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V32"/>
  <sheetViews>
    <sheetView workbookViewId="0">
      <selection activeCell="L21" sqref="L21"/>
    </sheetView>
  </sheetViews>
  <sheetFormatPr defaultColWidth="8.875" defaultRowHeight="12"/>
  <cols>
    <col min="1" max="1" width="8.875" style="3431"/>
    <col min="2" max="2" width="19.75" style="3437" customWidth="1"/>
    <col min="3" max="3" width="9.375" style="3437" bestFit="1" customWidth="1"/>
    <col min="4" max="4" width="36.625" style="3431" customWidth="1"/>
    <col min="5" max="5" width="21.375" style="3437" customWidth="1"/>
    <col min="6" max="7" width="8.875" style="3431"/>
    <col min="8" max="8" width="10.25" style="3431" bestFit="1" customWidth="1"/>
    <col min="9" max="9" width="5.625" style="3431" customWidth="1"/>
    <col min="10" max="10" width="12.75" style="3431" bestFit="1" customWidth="1"/>
    <col min="11" max="16350" width="8.875" style="3431"/>
    <col min="16351" max="16384" width="8.875" style="3438"/>
  </cols>
  <sheetData>
    <row r="1" spans="1:16350" s="3431" customFormat="1">
      <c r="A1" s="3793" t="s">
        <v>3429</v>
      </c>
      <c r="B1" s="3793" t="s">
        <v>3430</v>
      </c>
      <c r="C1" s="3430" t="s">
        <v>3431</v>
      </c>
      <c r="D1" s="3793" t="s">
        <v>3432</v>
      </c>
      <c r="E1" s="3793" t="s">
        <v>3433</v>
      </c>
    </row>
    <row r="2" spans="1:16350" s="3431" customFormat="1" ht="24">
      <c r="A2" s="3793"/>
      <c r="B2" s="3793"/>
      <c r="C2" s="3430" t="s">
        <v>3434</v>
      </c>
      <c r="D2" s="3793"/>
      <c r="E2" s="3793"/>
      <c r="F2" s="3431" t="s">
        <v>3435</v>
      </c>
      <c r="G2" s="3431" t="s">
        <v>3436</v>
      </c>
      <c r="H2" s="3431" t="s">
        <v>3437</v>
      </c>
      <c r="I2" s="3431" t="s">
        <v>3438</v>
      </c>
      <c r="J2" s="3431" t="s">
        <v>3439</v>
      </c>
    </row>
    <row r="3" spans="1:16350" s="3432" customFormat="1" ht="36">
      <c r="A3" s="3430">
        <v>1</v>
      </c>
      <c r="B3" s="3430" t="s">
        <v>3440</v>
      </c>
      <c r="C3" s="3430">
        <v>15740</v>
      </c>
      <c r="D3" s="3430" t="s">
        <v>3441</v>
      </c>
      <c r="E3" s="3430" t="s">
        <v>3442</v>
      </c>
      <c r="F3" s="3432">
        <v>1.53</v>
      </c>
      <c r="G3" s="3432" t="s">
        <v>3443</v>
      </c>
      <c r="H3" s="3432">
        <v>216.7398</v>
      </c>
      <c r="I3" s="3432">
        <v>1.61</v>
      </c>
      <c r="J3" s="3432">
        <f>I3*C3*365/10000</f>
        <v>924.96109999999999</v>
      </c>
    </row>
    <row r="4" spans="1:16350" s="3432" customFormat="1" ht="36">
      <c r="A4" s="3430">
        <v>2</v>
      </c>
      <c r="B4" s="3430" t="s">
        <v>3444</v>
      </c>
      <c r="C4" s="3430">
        <v>3437.73</v>
      </c>
      <c r="D4" s="3430" t="s">
        <v>3441</v>
      </c>
      <c r="E4" s="3430" t="s">
        <v>3445</v>
      </c>
      <c r="F4" s="3432">
        <v>1.44</v>
      </c>
      <c r="G4" s="3432" t="s">
        <v>3443</v>
      </c>
      <c r="H4" s="3432">
        <v>43.315398000000002</v>
      </c>
      <c r="I4" s="3432">
        <v>1.52</v>
      </c>
      <c r="J4" s="3432">
        <f t="shared" ref="J4:J30" si="0">I4*C4*365/10000</f>
        <v>190.72526040000002</v>
      </c>
    </row>
    <row r="5" spans="1:16350" s="3432" customFormat="1">
      <c r="A5" s="3430">
        <v>3</v>
      </c>
      <c r="B5" s="3430" t="s">
        <v>3394</v>
      </c>
      <c r="C5" s="3430">
        <v>3437.73</v>
      </c>
      <c r="D5" s="3430" t="s">
        <v>3441</v>
      </c>
      <c r="E5" s="3430" t="s">
        <v>3445</v>
      </c>
      <c r="F5" s="3432">
        <v>1.69</v>
      </c>
      <c r="G5" s="3432" t="s">
        <v>3446</v>
      </c>
      <c r="H5" s="3432">
        <v>68.555211999999997</v>
      </c>
      <c r="I5" s="3432">
        <v>1.9</v>
      </c>
      <c r="J5" s="3432">
        <f t="shared" si="0"/>
        <v>238.4065755</v>
      </c>
    </row>
    <row r="6" spans="1:16350" s="3432" customFormat="1">
      <c r="A6" s="3430">
        <v>4</v>
      </c>
      <c r="B6" s="3430" t="s">
        <v>3395</v>
      </c>
      <c r="C6" s="3430">
        <v>3437.73</v>
      </c>
      <c r="D6" s="3430" t="s">
        <v>3441</v>
      </c>
      <c r="E6" s="3430" t="s">
        <v>3442</v>
      </c>
      <c r="F6" s="3432">
        <v>2.5</v>
      </c>
      <c r="G6" s="3432" t="s">
        <v>3446</v>
      </c>
      <c r="I6" s="3432">
        <v>2.58</v>
      </c>
      <c r="J6" s="3432">
        <f t="shared" si="0"/>
        <v>323.73103409999999</v>
      </c>
    </row>
    <row r="7" spans="1:16350" s="3432" customFormat="1">
      <c r="A7" s="3430">
        <v>5</v>
      </c>
      <c r="B7" s="3430" t="s">
        <v>3396</v>
      </c>
      <c r="C7" s="3430">
        <v>2404.84</v>
      </c>
      <c r="D7" s="3430" t="s">
        <v>3441</v>
      </c>
      <c r="E7" s="3430" t="s">
        <v>3447</v>
      </c>
      <c r="F7" s="3432">
        <v>2.5</v>
      </c>
      <c r="G7" s="3432" t="s">
        <v>3446</v>
      </c>
      <c r="I7" s="3432">
        <v>2.58</v>
      </c>
      <c r="J7" s="3432">
        <f t="shared" si="0"/>
        <v>226.46378280000002</v>
      </c>
    </row>
    <row r="8" spans="1:16350" s="3432" customFormat="1">
      <c r="A8" s="3430">
        <v>6</v>
      </c>
      <c r="B8" s="3430" t="s">
        <v>3397</v>
      </c>
      <c r="C8" s="3430">
        <v>2443.09</v>
      </c>
      <c r="D8" s="3430" t="s">
        <v>3448</v>
      </c>
      <c r="E8" s="3430" t="s">
        <v>3449</v>
      </c>
      <c r="F8" s="3432">
        <v>3.4</v>
      </c>
      <c r="G8" s="3432" t="s">
        <v>3450</v>
      </c>
      <c r="H8" s="3432">
        <v>74.758554000000004</v>
      </c>
      <c r="I8" s="3432">
        <v>3.6</v>
      </c>
      <c r="J8" s="3432">
        <f t="shared" si="0"/>
        <v>321.0220260000001</v>
      </c>
    </row>
    <row r="9" spans="1:16350" s="3432" customFormat="1" ht="36">
      <c r="A9" s="3430">
        <v>7</v>
      </c>
      <c r="B9" s="3430" t="s">
        <v>3398</v>
      </c>
      <c r="C9" s="3430">
        <v>2404.84</v>
      </c>
      <c r="D9" s="3430" t="s">
        <v>3441</v>
      </c>
      <c r="E9" s="3430" t="s">
        <v>3445</v>
      </c>
      <c r="F9" s="3432">
        <v>1.67</v>
      </c>
      <c r="G9" s="3432" t="s">
        <v>3451</v>
      </c>
      <c r="H9" s="3432">
        <v>35.062567000000001</v>
      </c>
      <c r="I9" s="3432">
        <v>1.77</v>
      </c>
      <c r="J9" s="3432">
        <f t="shared" si="0"/>
        <v>155.36468820000002</v>
      </c>
    </row>
    <row r="10" spans="1:16350" s="3432" customFormat="1" ht="36">
      <c r="A10" s="3430">
        <v>8</v>
      </c>
      <c r="B10" s="3430" t="s">
        <v>3399</v>
      </c>
      <c r="C10" s="3430">
        <v>2404.84</v>
      </c>
      <c r="D10" s="3430" t="s">
        <v>3441</v>
      </c>
      <c r="E10" s="3430" t="s">
        <v>3442</v>
      </c>
      <c r="F10" s="3431">
        <v>1.59</v>
      </c>
      <c r="G10" s="3432" t="s">
        <v>3451</v>
      </c>
      <c r="H10" s="3431" t="s">
        <v>3452</v>
      </c>
      <c r="I10" s="3431">
        <v>1.69</v>
      </c>
      <c r="J10" s="3432">
        <f t="shared" si="0"/>
        <v>148.34255540000001</v>
      </c>
      <c r="K10" s="3431"/>
      <c r="L10" s="3431"/>
      <c r="M10" s="3431"/>
      <c r="N10" s="3431"/>
      <c r="O10" s="3431"/>
      <c r="P10" s="3431"/>
      <c r="Q10" s="3431"/>
      <c r="R10" s="3431"/>
      <c r="S10" s="3431"/>
      <c r="T10" s="3431"/>
      <c r="U10" s="3431"/>
      <c r="V10" s="3431"/>
      <c r="W10" s="3431"/>
      <c r="X10" s="3431"/>
      <c r="Y10" s="3431"/>
      <c r="Z10" s="3431"/>
      <c r="AA10" s="3431"/>
      <c r="AB10" s="3431"/>
      <c r="AC10" s="3431"/>
      <c r="AD10" s="3431"/>
      <c r="AE10" s="3431"/>
      <c r="AF10" s="3431"/>
      <c r="AG10" s="3431"/>
      <c r="AH10" s="3431"/>
      <c r="AI10" s="3431"/>
      <c r="AJ10" s="3431"/>
      <c r="AK10" s="3431"/>
      <c r="AL10" s="3431"/>
      <c r="AM10" s="3431"/>
      <c r="AN10" s="3431"/>
      <c r="AO10" s="3431"/>
      <c r="AP10" s="3431"/>
      <c r="AQ10" s="3431"/>
      <c r="AR10" s="3431"/>
      <c r="AS10" s="3431"/>
      <c r="AT10" s="3431"/>
      <c r="AU10" s="3431"/>
      <c r="AV10" s="3431"/>
      <c r="AW10" s="3431"/>
      <c r="AX10" s="3431"/>
      <c r="AY10" s="3431"/>
      <c r="AZ10" s="3431"/>
      <c r="BA10" s="3431"/>
      <c r="BB10" s="3431"/>
      <c r="BC10" s="3431"/>
      <c r="BD10" s="3431"/>
      <c r="BE10" s="3431"/>
      <c r="BF10" s="3431"/>
      <c r="BG10" s="3431"/>
      <c r="BH10" s="3431"/>
      <c r="BI10" s="3431"/>
      <c r="BJ10" s="3431"/>
      <c r="BK10" s="3431"/>
      <c r="BL10" s="3431"/>
      <c r="BM10" s="3431"/>
      <c r="BN10" s="3431"/>
      <c r="BO10" s="3431"/>
      <c r="BP10" s="3431"/>
      <c r="BQ10" s="3431"/>
      <c r="BR10" s="3431"/>
      <c r="BS10" s="3431"/>
      <c r="BT10" s="3431"/>
      <c r="BU10" s="3431"/>
      <c r="BV10" s="3431"/>
      <c r="BW10" s="3431"/>
      <c r="BX10" s="3431"/>
      <c r="BY10" s="3431"/>
      <c r="BZ10" s="3431"/>
      <c r="CA10" s="3431"/>
      <c r="CB10" s="3431"/>
      <c r="CC10" s="3431"/>
      <c r="CD10" s="3431"/>
      <c r="CE10" s="3431"/>
      <c r="CF10" s="3431"/>
      <c r="CG10" s="3431"/>
      <c r="CH10" s="3431"/>
      <c r="CI10" s="3431"/>
      <c r="CJ10" s="3431"/>
      <c r="CK10" s="3431"/>
      <c r="CL10" s="3431"/>
      <c r="CM10" s="3431"/>
      <c r="CN10" s="3431"/>
      <c r="CO10" s="3431"/>
      <c r="CP10" s="3431"/>
      <c r="CQ10" s="3431"/>
      <c r="CR10" s="3431"/>
      <c r="CS10" s="3431"/>
      <c r="CT10" s="3431"/>
      <c r="CU10" s="3431"/>
      <c r="CV10" s="3431"/>
      <c r="CW10" s="3431"/>
      <c r="CX10" s="3431"/>
      <c r="CY10" s="3431"/>
      <c r="CZ10" s="3431"/>
      <c r="DA10" s="3431"/>
      <c r="DB10" s="3431"/>
      <c r="DC10" s="3431"/>
      <c r="DD10" s="3431"/>
      <c r="DE10" s="3431"/>
      <c r="DF10" s="3431"/>
      <c r="DG10" s="3431"/>
      <c r="DH10" s="3431"/>
      <c r="DI10" s="3431"/>
      <c r="DJ10" s="3431"/>
      <c r="DK10" s="3431"/>
      <c r="DL10" s="3431"/>
      <c r="DM10" s="3431"/>
      <c r="DN10" s="3431"/>
      <c r="DO10" s="3431"/>
      <c r="DP10" s="3431"/>
      <c r="DQ10" s="3431"/>
      <c r="DR10" s="3431"/>
      <c r="DS10" s="3431"/>
      <c r="DT10" s="3431"/>
      <c r="DU10" s="3431"/>
      <c r="DV10" s="3431"/>
      <c r="DW10" s="3431"/>
      <c r="DX10" s="3431"/>
      <c r="DY10" s="3431"/>
      <c r="DZ10" s="3431"/>
      <c r="EA10" s="3431"/>
      <c r="EB10" s="3431"/>
      <c r="EC10" s="3431"/>
      <c r="ED10" s="3431"/>
      <c r="EE10" s="3431"/>
      <c r="EF10" s="3431"/>
      <c r="EG10" s="3431"/>
      <c r="EH10" s="3431"/>
      <c r="EI10" s="3431"/>
      <c r="EJ10" s="3431"/>
      <c r="EK10" s="3431"/>
      <c r="EL10" s="3431"/>
      <c r="EM10" s="3431"/>
      <c r="EN10" s="3431"/>
      <c r="EO10" s="3431"/>
      <c r="EP10" s="3431"/>
      <c r="EQ10" s="3431"/>
      <c r="ER10" s="3431"/>
      <c r="ES10" s="3431"/>
      <c r="ET10" s="3431"/>
      <c r="EU10" s="3431"/>
      <c r="EV10" s="3431"/>
      <c r="EW10" s="3431"/>
      <c r="EX10" s="3431"/>
      <c r="EY10" s="3431"/>
      <c r="EZ10" s="3431"/>
      <c r="FA10" s="3431"/>
      <c r="FB10" s="3431"/>
      <c r="FC10" s="3431"/>
      <c r="FD10" s="3431"/>
      <c r="FE10" s="3431"/>
      <c r="FF10" s="3431"/>
      <c r="FG10" s="3431"/>
      <c r="FH10" s="3431"/>
      <c r="FI10" s="3431"/>
      <c r="FJ10" s="3431"/>
      <c r="FK10" s="3431"/>
      <c r="FL10" s="3431"/>
      <c r="FM10" s="3431"/>
      <c r="FN10" s="3431"/>
      <c r="FO10" s="3431"/>
      <c r="FP10" s="3431"/>
      <c r="FQ10" s="3431"/>
      <c r="FR10" s="3431"/>
      <c r="FS10" s="3431"/>
      <c r="FT10" s="3431"/>
      <c r="FU10" s="3431"/>
      <c r="FV10" s="3431"/>
      <c r="FW10" s="3431"/>
      <c r="FX10" s="3431"/>
      <c r="FY10" s="3431"/>
      <c r="FZ10" s="3431"/>
      <c r="GA10" s="3431"/>
      <c r="GB10" s="3431"/>
      <c r="GC10" s="3431"/>
      <c r="GD10" s="3431"/>
      <c r="GE10" s="3431"/>
      <c r="GF10" s="3431"/>
      <c r="GG10" s="3431"/>
      <c r="GH10" s="3431"/>
      <c r="GI10" s="3431"/>
      <c r="GJ10" s="3431"/>
      <c r="GK10" s="3431"/>
      <c r="GL10" s="3431"/>
      <c r="GM10" s="3431"/>
      <c r="GN10" s="3431"/>
      <c r="GO10" s="3431"/>
      <c r="GP10" s="3431"/>
      <c r="GQ10" s="3431"/>
      <c r="GR10" s="3431"/>
      <c r="GS10" s="3431"/>
      <c r="GT10" s="3431"/>
      <c r="GU10" s="3431"/>
      <c r="GV10" s="3431"/>
      <c r="GW10" s="3431"/>
      <c r="GX10" s="3431"/>
      <c r="GY10" s="3431"/>
      <c r="GZ10" s="3431"/>
      <c r="HA10" s="3431"/>
      <c r="HB10" s="3431"/>
      <c r="HC10" s="3431"/>
      <c r="HD10" s="3431"/>
      <c r="HE10" s="3431"/>
      <c r="HF10" s="3431"/>
      <c r="HG10" s="3431"/>
      <c r="HH10" s="3431"/>
      <c r="HI10" s="3431"/>
      <c r="HJ10" s="3431"/>
      <c r="HK10" s="3431"/>
      <c r="HL10" s="3431"/>
      <c r="HM10" s="3431"/>
      <c r="HN10" s="3431"/>
      <c r="HO10" s="3431"/>
      <c r="HP10" s="3431"/>
      <c r="HQ10" s="3431"/>
      <c r="HR10" s="3431"/>
      <c r="HS10" s="3431"/>
      <c r="HT10" s="3431"/>
      <c r="HU10" s="3431"/>
      <c r="HV10" s="3431"/>
      <c r="HW10" s="3431"/>
      <c r="HX10" s="3431"/>
      <c r="HY10" s="3431"/>
      <c r="HZ10" s="3431"/>
      <c r="IA10" s="3431"/>
      <c r="IB10" s="3431"/>
      <c r="IC10" s="3431"/>
      <c r="ID10" s="3431"/>
      <c r="IE10" s="3431"/>
      <c r="IF10" s="3431"/>
      <c r="IG10" s="3431"/>
      <c r="IH10" s="3431"/>
      <c r="II10" s="3431"/>
      <c r="IJ10" s="3431"/>
      <c r="IK10" s="3431"/>
      <c r="IL10" s="3431"/>
      <c r="IM10" s="3431"/>
      <c r="IN10" s="3431"/>
      <c r="IO10" s="3431"/>
      <c r="IP10" s="3431"/>
      <c r="IQ10" s="3431"/>
      <c r="IR10" s="3431"/>
      <c r="IS10" s="3431"/>
      <c r="IT10" s="3431"/>
      <c r="IU10" s="3431"/>
      <c r="IV10" s="3431"/>
      <c r="IW10" s="3431"/>
      <c r="IX10" s="3431"/>
      <c r="IY10" s="3431"/>
      <c r="IZ10" s="3431"/>
      <c r="JA10" s="3431"/>
      <c r="JB10" s="3431"/>
      <c r="JC10" s="3431"/>
      <c r="JD10" s="3431"/>
      <c r="JE10" s="3431"/>
      <c r="JF10" s="3431"/>
      <c r="JG10" s="3431"/>
      <c r="JH10" s="3431"/>
      <c r="JI10" s="3431"/>
      <c r="JJ10" s="3431"/>
      <c r="JK10" s="3431"/>
      <c r="JL10" s="3431"/>
      <c r="JM10" s="3431"/>
      <c r="JN10" s="3431"/>
      <c r="JO10" s="3431"/>
      <c r="JP10" s="3431"/>
      <c r="JQ10" s="3431"/>
      <c r="JR10" s="3431"/>
      <c r="JS10" s="3431"/>
      <c r="JT10" s="3431"/>
      <c r="JU10" s="3431"/>
      <c r="JV10" s="3431"/>
      <c r="JW10" s="3431"/>
      <c r="JX10" s="3431"/>
      <c r="JY10" s="3431"/>
      <c r="JZ10" s="3431"/>
      <c r="KA10" s="3431"/>
      <c r="KB10" s="3431"/>
      <c r="KC10" s="3431"/>
      <c r="KD10" s="3431"/>
      <c r="KE10" s="3431"/>
      <c r="KF10" s="3431"/>
      <c r="KG10" s="3431"/>
      <c r="KH10" s="3431"/>
      <c r="KI10" s="3431"/>
      <c r="KJ10" s="3431"/>
      <c r="KK10" s="3431"/>
      <c r="KL10" s="3431"/>
      <c r="KM10" s="3431"/>
      <c r="KN10" s="3431"/>
      <c r="KO10" s="3431"/>
      <c r="KP10" s="3431"/>
      <c r="KQ10" s="3431"/>
      <c r="KR10" s="3431"/>
      <c r="KS10" s="3431"/>
      <c r="KT10" s="3431"/>
      <c r="KU10" s="3431"/>
      <c r="KV10" s="3431"/>
      <c r="KW10" s="3431"/>
      <c r="KX10" s="3431"/>
      <c r="KY10" s="3431"/>
      <c r="KZ10" s="3431"/>
      <c r="LA10" s="3431"/>
      <c r="LB10" s="3431"/>
      <c r="LC10" s="3431"/>
      <c r="LD10" s="3431"/>
      <c r="LE10" s="3431"/>
      <c r="LF10" s="3431"/>
      <c r="LG10" s="3431"/>
      <c r="LH10" s="3431"/>
      <c r="LI10" s="3431"/>
      <c r="LJ10" s="3431"/>
      <c r="LK10" s="3431"/>
      <c r="LL10" s="3431"/>
      <c r="LM10" s="3431"/>
      <c r="LN10" s="3431"/>
      <c r="LO10" s="3431"/>
      <c r="LP10" s="3431"/>
      <c r="LQ10" s="3431"/>
      <c r="LR10" s="3431"/>
      <c r="LS10" s="3431"/>
      <c r="LT10" s="3431"/>
      <c r="LU10" s="3431"/>
      <c r="LV10" s="3431"/>
      <c r="LW10" s="3431"/>
      <c r="LX10" s="3431"/>
      <c r="LY10" s="3431"/>
      <c r="LZ10" s="3431"/>
      <c r="MA10" s="3431"/>
      <c r="MB10" s="3431"/>
      <c r="MC10" s="3431"/>
      <c r="MD10" s="3431"/>
      <c r="ME10" s="3431"/>
      <c r="MF10" s="3431"/>
      <c r="MG10" s="3431"/>
      <c r="MH10" s="3431"/>
      <c r="MI10" s="3431"/>
      <c r="MJ10" s="3431"/>
      <c r="MK10" s="3431"/>
      <c r="ML10" s="3431"/>
      <c r="MM10" s="3431"/>
      <c r="MN10" s="3431"/>
      <c r="MO10" s="3431"/>
      <c r="MP10" s="3431"/>
      <c r="MQ10" s="3431"/>
      <c r="MR10" s="3431"/>
      <c r="MS10" s="3431"/>
      <c r="MT10" s="3431"/>
      <c r="MU10" s="3431"/>
      <c r="MV10" s="3431"/>
      <c r="MW10" s="3431"/>
      <c r="MX10" s="3431"/>
      <c r="MY10" s="3431"/>
      <c r="MZ10" s="3431"/>
      <c r="NA10" s="3431"/>
      <c r="NB10" s="3431"/>
      <c r="NC10" s="3431"/>
      <c r="ND10" s="3431"/>
      <c r="NE10" s="3431"/>
      <c r="NF10" s="3431"/>
      <c r="NG10" s="3431"/>
      <c r="NH10" s="3431"/>
      <c r="NI10" s="3431"/>
      <c r="NJ10" s="3431"/>
      <c r="NK10" s="3431"/>
      <c r="NL10" s="3431"/>
      <c r="NM10" s="3431"/>
      <c r="NN10" s="3431"/>
      <c r="NO10" s="3431"/>
      <c r="NP10" s="3431"/>
      <c r="NQ10" s="3431"/>
      <c r="NR10" s="3431"/>
      <c r="NS10" s="3431"/>
      <c r="NT10" s="3431"/>
      <c r="NU10" s="3431"/>
      <c r="NV10" s="3431"/>
      <c r="NW10" s="3431"/>
      <c r="NX10" s="3431"/>
      <c r="NY10" s="3431"/>
      <c r="NZ10" s="3431"/>
      <c r="OA10" s="3431"/>
      <c r="OB10" s="3431"/>
      <c r="OC10" s="3431"/>
      <c r="OD10" s="3431"/>
      <c r="OE10" s="3431"/>
      <c r="OF10" s="3431"/>
      <c r="OG10" s="3431"/>
      <c r="OH10" s="3431"/>
      <c r="OI10" s="3431"/>
      <c r="OJ10" s="3431"/>
      <c r="OK10" s="3431"/>
      <c r="OL10" s="3431"/>
      <c r="OM10" s="3431"/>
      <c r="ON10" s="3431"/>
      <c r="OO10" s="3431"/>
      <c r="OP10" s="3431"/>
      <c r="OQ10" s="3431"/>
      <c r="OR10" s="3431"/>
      <c r="OS10" s="3431"/>
      <c r="OT10" s="3431"/>
      <c r="OU10" s="3431"/>
      <c r="OV10" s="3431"/>
      <c r="OW10" s="3431"/>
      <c r="OX10" s="3431"/>
      <c r="OY10" s="3431"/>
      <c r="OZ10" s="3431"/>
      <c r="PA10" s="3431"/>
      <c r="PB10" s="3431"/>
      <c r="PC10" s="3431"/>
      <c r="PD10" s="3431"/>
      <c r="PE10" s="3431"/>
      <c r="PF10" s="3431"/>
      <c r="PG10" s="3431"/>
      <c r="PH10" s="3431"/>
      <c r="PI10" s="3431"/>
      <c r="PJ10" s="3431"/>
      <c r="PK10" s="3431"/>
      <c r="PL10" s="3431"/>
      <c r="PM10" s="3431"/>
      <c r="PN10" s="3431"/>
      <c r="PO10" s="3431"/>
      <c r="PP10" s="3431"/>
      <c r="PQ10" s="3431"/>
      <c r="PR10" s="3431"/>
      <c r="PS10" s="3431"/>
      <c r="PT10" s="3431"/>
      <c r="PU10" s="3431"/>
      <c r="PV10" s="3431"/>
      <c r="PW10" s="3431"/>
      <c r="PX10" s="3431"/>
      <c r="PY10" s="3431"/>
      <c r="PZ10" s="3431"/>
      <c r="QA10" s="3431"/>
      <c r="QB10" s="3431"/>
      <c r="QC10" s="3431"/>
      <c r="QD10" s="3431"/>
      <c r="QE10" s="3431"/>
      <c r="QF10" s="3431"/>
      <c r="QG10" s="3431"/>
      <c r="QH10" s="3431"/>
      <c r="QI10" s="3431"/>
      <c r="QJ10" s="3431"/>
      <c r="QK10" s="3431"/>
      <c r="QL10" s="3431"/>
      <c r="QM10" s="3431"/>
      <c r="QN10" s="3431"/>
      <c r="QO10" s="3431"/>
      <c r="QP10" s="3431"/>
      <c r="QQ10" s="3431"/>
      <c r="QR10" s="3431"/>
      <c r="QS10" s="3431"/>
      <c r="QT10" s="3431"/>
      <c r="QU10" s="3431"/>
      <c r="QV10" s="3431"/>
      <c r="QW10" s="3431"/>
      <c r="QX10" s="3431"/>
      <c r="QY10" s="3431"/>
      <c r="QZ10" s="3431"/>
      <c r="RA10" s="3431"/>
      <c r="RB10" s="3431"/>
      <c r="RC10" s="3431"/>
      <c r="RD10" s="3431"/>
      <c r="RE10" s="3431"/>
      <c r="RF10" s="3431"/>
      <c r="RG10" s="3431"/>
      <c r="RH10" s="3431"/>
      <c r="RI10" s="3431"/>
      <c r="RJ10" s="3431"/>
      <c r="RK10" s="3431"/>
      <c r="RL10" s="3431"/>
      <c r="RM10" s="3431"/>
      <c r="RN10" s="3431"/>
      <c r="RO10" s="3431"/>
      <c r="RP10" s="3431"/>
      <c r="RQ10" s="3431"/>
      <c r="RR10" s="3431"/>
      <c r="RS10" s="3431"/>
      <c r="RT10" s="3431"/>
      <c r="RU10" s="3431"/>
      <c r="RV10" s="3431"/>
      <c r="RW10" s="3431"/>
      <c r="RX10" s="3431"/>
      <c r="RY10" s="3431"/>
      <c r="RZ10" s="3431"/>
      <c r="SA10" s="3431"/>
      <c r="SB10" s="3431"/>
      <c r="SC10" s="3431"/>
      <c r="SD10" s="3431"/>
      <c r="SE10" s="3431"/>
      <c r="SF10" s="3431"/>
      <c r="SG10" s="3431"/>
      <c r="SH10" s="3431"/>
      <c r="SI10" s="3431"/>
      <c r="SJ10" s="3431"/>
      <c r="SK10" s="3431"/>
      <c r="SL10" s="3431"/>
      <c r="SM10" s="3431"/>
      <c r="SN10" s="3431"/>
      <c r="SO10" s="3431"/>
      <c r="SP10" s="3431"/>
      <c r="SQ10" s="3431"/>
      <c r="SR10" s="3431"/>
      <c r="SS10" s="3431"/>
      <c r="ST10" s="3431"/>
      <c r="SU10" s="3431"/>
      <c r="SV10" s="3431"/>
      <c r="SW10" s="3431"/>
      <c r="SX10" s="3431"/>
      <c r="SY10" s="3431"/>
      <c r="SZ10" s="3431"/>
      <c r="TA10" s="3431"/>
      <c r="TB10" s="3431"/>
      <c r="TC10" s="3431"/>
      <c r="TD10" s="3431"/>
      <c r="TE10" s="3431"/>
      <c r="TF10" s="3431"/>
      <c r="TG10" s="3431"/>
      <c r="TH10" s="3431"/>
      <c r="TI10" s="3431"/>
      <c r="TJ10" s="3431"/>
      <c r="TK10" s="3431"/>
      <c r="TL10" s="3431"/>
      <c r="TM10" s="3431"/>
      <c r="TN10" s="3431"/>
      <c r="TO10" s="3431"/>
      <c r="TP10" s="3431"/>
      <c r="TQ10" s="3431"/>
      <c r="TR10" s="3431"/>
      <c r="TS10" s="3431"/>
      <c r="TT10" s="3431"/>
      <c r="TU10" s="3431"/>
      <c r="TV10" s="3431"/>
      <c r="TW10" s="3431"/>
      <c r="TX10" s="3431"/>
      <c r="TY10" s="3431"/>
      <c r="TZ10" s="3431"/>
      <c r="UA10" s="3431"/>
      <c r="UB10" s="3431"/>
      <c r="UC10" s="3431"/>
      <c r="UD10" s="3431"/>
      <c r="UE10" s="3431"/>
      <c r="UF10" s="3431"/>
      <c r="UG10" s="3431"/>
      <c r="UH10" s="3431"/>
      <c r="UI10" s="3431"/>
      <c r="UJ10" s="3431"/>
      <c r="UK10" s="3431"/>
      <c r="UL10" s="3431"/>
      <c r="UM10" s="3431"/>
      <c r="UN10" s="3431"/>
      <c r="UO10" s="3431"/>
      <c r="UP10" s="3431"/>
      <c r="UQ10" s="3431"/>
      <c r="UR10" s="3431"/>
      <c r="US10" s="3431"/>
      <c r="UT10" s="3431"/>
      <c r="UU10" s="3431"/>
      <c r="UV10" s="3431"/>
      <c r="UW10" s="3431"/>
      <c r="UX10" s="3431"/>
      <c r="UY10" s="3431"/>
      <c r="UZ10" s="3431"/>
      <c r="VA10" s="3431"/>
      <c r="VB10" s="3431"/>
      <c r="VC10" s="3431"/>
      <c r="VD10" s="3431"/>
      <c r="VE10" s="3431"/>
      <c r="VF10" s="3431"/>
      <c r="VG10" s="3431"/>
      <c r="VH10" s="3431"/>
      <c r="VI10" s="3431"/>
      <c r="VJ10" s="3431"/>
      <c r="VK10" s="3431"/>
      <c r="VL10" s="3431"/>
      <c r="VM10" s="3431"/>
      <c r="VN10" s="3431"/>
      <c r="VO10" s="3431"/>
      <c r="VP10" s="3431"/>
      <c r="VQ10" s="3431"/>
      <c r="VR10" s="3431"/>
      <c r="VS10" s="3431"/>
      <c r="VT10" s="3431"/>
      <c r="VU10" s="3431"/>
      <c r="VV10" s="3431"/>
      <c r="VW10" s="3431"/>
      <c r="VX10" s="3431"/>
      <c r="VY10" s="3431"/>
      <c r="VZ10" s="3431"/>
      <c r="WA10" s="3431"/>
      <c r="WB10" s="3431"/>
      <c r="WC10" s="3431"/>
      <c r="WD10" s="3431"/>
      <c r="WE10" s="3431"/>
      <c r="WF10" s="3431"/>
      <c r="WG10" s="3431"/>
      <c r="WH10" s="3431"/>
      <c r="WI10" s="3431"/>
      <c r="WJ10" s="3431"/>
      <c r="WK10" s="3431"/>
      <c r="WL10" s="3431"/>
      <c r="WM10" s="3431"/>
      <c r="WN10" s="3431"/>
      <c r="WO10" s="3431"/>
      <c r="WP10" s="3431"/>
      <c r="WQ10" s="3431"/>
      <c r="WR10" s="3431"/>
      <c r="WS10" s="3431"/>
      <c r="WT10" s="3431"/>
      <c r="WU10" s="3431"/>
      <c r="WV10" s="3431"/>
      <c r="WW10" s="3431"/>
      <c r="WX10" s="3431"/>
      <c r="WY10" s="3431"/>
      <c r="WZ10" s="3431"/>
      <c r="XA10" s="3431"/>
      <c r="XB10" s="3431"/>
      <c r="XC10" s="3431"/>
      <c r="XD10" s="3431"/>
      <c r="XE10" s="3431"/>
      <c r="XF10" s="3431"/>
      <c r="XG10" s="3431"/>
      <c r="XH10" s="3431"/>
      <c r="XI10" s="3431"/>
      <c r="XJ10" s="3431"/>
      <c r="XK10" s="3431"/>
      <c r="XL10" s="3431"/>
      <c r="XM10" s="3431"/>
      <c r="XN10" s="3431"/>
      <c r="XO10" s="3431"/>
      <c r="XP10" s="3431"/>
      <c r="XQ10" s="3431"/>
      <c r="XR10" s="3431"/>
      <c r="XS10" s="3431"/>
      <c r="XT10" s="3431"/>
      <c r="XU10" s="3431"/>
      <c r="XV10" s="3431"/>
      <c r="XW10" s="3431"/>
      <c r="XX10" s="3431"/>
      <c r="XY10" s="3431"/>
      <c r="XZ10" s="3431"/>
      <c r="YA10" s="3431"/>
      <c r="YB10" s="3431"/>
      <c r="YC10" s="3431"/>
      <c r="YD10" s="3431"/>
      <c r="YE10" s="3431"/>
      <c r="YF10" s="3431"/>
      <c r="YG10" s="3431"/>
      <c r="YH10" s="3431"/>
      <c r="YI10" s="3431"/>
      <c r="YJ10" s="3431"/>
      <c r="YK10" s="3431"/>
      <c r="YL10" s="3431"/>
      <c r="YM10" s="3431"/>
      <c r="YN10" s="3431"/>
      <c r="YO10" s="3431"/>
      <c r="YP10" s="3431"/>
      <c r="YQ10" s="3431"/>
      <c r="YR10" s="3431"/>
      <c r="YS10" s="3431"/>
      <c r="YT10" s="3431"/>
      <c r="YU10" s="3431"/>
      <c r="YV10" s="3431"/>
      <c r="YW10" s="3431"/>
      <c r="YX10" s="3431"/>
      <c r="YY10" s="3431"/>
      <c r="YZ10" s="3431"/>
      <c r="ZA10" s="3431"/>
      <c r="ZB10" s="3431"/>
      <c r="ZC10" s="3431"/>
      <c r="ZD10" s="3431"/>
      <c r="ZE10" s="3431"/>
      <c r="ZF10" s="3431"/>
      <c r="ZG10" s="3431"/>
      <c r="ZH10" s="3431"/>
      <c r="ZI10" s="3431"/>
      <c r="ZJ10" s="3431"/>
      <c r="ZK10" s="3431"/>
      <c r="ZL10" s="3431"/>
      <c r="ZM10" s="3431"/>
      <c r="ZN10" s="3431"/>
      <c r="ZO10" s="3431"/>
      <c r="ZP10" s="3431"/>
      <c r="ZQ10" s="3431"/>
      <c r="ZR10" s="3431"/>
      <c r="ZS10" s="3431"/>
      <c r="ZT10" s="3431"/>
      <c r="ZU10" s="3431"/>
      <c r="ZV10" s="3431"/>
      <c r="ZW10" s="3431"/>
      <c r="ZX10" s="3431"/>
      <c r="ZY10" s="3431"/>
      <c r="ZZ10" s="3431"/>
      <c r="AAA10" s="3431"/>
      <c r="AAB10" s="3431"/>
      <c r="AAC10" s="3431"/>
      <c r="AAD10" s="3431"/>
      <c r="AAE10" s="3431"/>
      <c r="AAF10" s="3431"/>
      <c r="AAG10" s="3431"/>
      <c r="AAH10" s="3431"/>
      <c r="AAI10" s="3431"/>
      <c r="AAJ10" s="3431"/>
      <c r="AAK10" s="3431"/>
      <c r="AAL10" s="3431"/>
      <c r="AAM10" s="3431"/>
      <c r="AAN10" s="3431"/>
      <c r="AAO10" s="3431"/>
      <c r="AAP10" s="3431"/>
      <c r="AAQ10" s="3431"/>
      <c r="AAR10" s="3431"/>
      <c r="AAS10" s="3431"/>
      <c r="AAT10" s="3431"/>
      <c r="AAU10" s="3431"/>
      <c r="AAV10" s="3431"/>
      <c r="AAW10" s="3431"/>
      <c r="AAX10" s="3431"/>
      <c r="AAY10" s="3431"/>
      <c r="AAZ10" s="3431"/>
      <c r="ABA10" s="3431"/>
      <c r="ABB10" s="3431"/>
      <c r="ABC10" s="3431"/>
      <c r="ABD10" s="3431"/>
      <c r="ABE10" s="3431"/>
      <c r="ABF10" s="3431"/>
      <c r="ABG10" s="3431"/>
      <c r="ABH10" s="3431"/>
      <c r="ABI10" s="3431"/>
      <c r="ABJ10" s="3431"/>
      <c r="ABK10" s="3431"/>
      <c r="ABL10" s="3431"/>
      <c r="ABM10" s="3431"/>
      <c r="ABN10" s="3431"/>
      <c r="ABO10" s="3431"/>
      <c r="ABP10" s="3431"/>
      <c r="ABQ10" s="3431"/>
      <c r="ABR10" s="3431"/>
      <c r="ABS10" s="3431"/>
      <c r="ABT10" s="3431"/>
      <c r="ABU10" s="3431"/>
      <c r="ABV10" s="3431"/>
      <c r="ABW10" s="3431"/>
      <c r="ABX10" s="3431"/>
      <c r="ABY10" s="3431"/>
      <c r="ABZ10" s="3431"/>
      <c r="ACA10" s="3431"/>
      <c r="ACB10" s="3431"/>
      <c r="ACC10" s="3431"/>
      <c r="ACD10" s="3431"/>
      <c r="ACE10" s="3431"/>
      <c r="ACF10" s="3431"/>
      <c r="ACG10" s="3431"/>
      <c r="ACH10" s="3431"/>
      <c r="ACI10" s="3431"/>
      <c r="ACJ10" s="3431"/>
      <c r="ACK10" s="3431"/>
      <c r="ACL10" s="3431"/>
      <c r="ACM10" s="3431"/>
      <c r="ACN10" s="3431"/>
      <c r="ACO10" s="3431"/>
      <c r="ACP10" s="3431"/>
      <c r="ACQ10" s="3431"/>
      <c r="ACR10" s="3431"/>
      <c r="ACS10" s="3431"/>
      <c r="ACT10" s="3431"/>
      <c r="ACU10" s="3431"/>
      <c r="ACV10" s="3431"/>
      <c r="ACW10" s="3431"/>
      <c r="ACX10" s="3431"/>
      <c r="ACY10" s="3431"/>
      <c r="ACZ10" s="3431"/>
      <c r="ADA10" s="3431"/>
      <c r="ADB10" s="3431"/>
      <c r="ADC10" s="3431"/>
      <c r="ADD10" s="3431"/>
      <c r="ADE10" s="3431"/>
      <c r="ADF10" s="3431"/>
      <c r="ADG10" s="3431"/>
      <c r="ADH10" s="3431"/>
      <c r="ADI10" s="3431"/>
      <c r="ADJ10" s="3431"/>
      <c r="ADK10" s="3431"/>
      <c r="ADL10" s="3431"/>
      <c r="ADM10" s="3431"/>
      <c r="ADN10" s="3431"/>
      <c r="ADO10" s="3431"/>
      <c r="ADP10" s="3431"/>
      <c r="ADQ10" s="3431"/>
      <c r="ADR10" s="3431"/>
      <c r="ADS10" s="3431"/>
      <c r="ADT10" s="3431"/>
      <c r="ADU10" s="3431"/>
      <c r="ADV10" s="3431"/>
      <c r="ADW10" s="3431"/>
      <c r="ADX10" s="3431"/>
      <c r="ADY10" s="3431"/>
      <c r="ADZ10" s="3431"/>
      <c r="AEA10" s="3431"/>
      <c r="AEB10" s="3431"/>
      <c r="AEC10" s="3431"/>
      <c r="AED10" s="3431"/>
      <c r="AEE10" s="3431"/>
      <c r="AEF10" s="3431"/>
      <c r="AEG10" s="3431"/>
      <c r="AEH10" s="3431"/>
      <c r="AEI10" s="3431"/>
      <c r="AEJ10" s="3431"/>
      <c r="AEK10" s="3431"/>
      <c r="AEL10" s="3431"/>
      <c r="AEM10" s="3431"/>
      <c r="AEN10" s="3431"/>
      <c r="AEO10" s="3431"/>
      <c r="AEP10" s="3431"/>
      <c r="AEQ10" s="3431"/>
      <c r="AER10" s="3431"/>
      <c r="AES10" s="3431"/>
      <c r="AET10" s="3431"/>
      <c r="AEU10" s="3431"/>
      <c r="AEV10" s="3431"/>
      <c r="AEW10" s="3431"/>
      <c r="AEX10" s="3431"/>
      <c r="AEY10" s="3431"/>
      <c r="AEZ10" s="3431"/>
      <c r="AFA10" s="3431"/>
      <c r="AFB10" s="3431"/>
      <c r="AFC10" s="3431"/>
      <c r="AFD10" s="3431"/>
      <c r="AFE10" s="3431"/>
      <c r="AFF10" s="3431"/>
      <c r="AFG10" s="3431"/>
      <c r="AFH10" s="3431"/>
      <c r="AFI10" s="3431"/>
      <c r="AFJ10" s="3431"/>
      <c r="AFK10" s="3431"/>
      <c r="AFL10" s="3431"/>
      <c r="AFM10" s="3431"/>
      <c r="AFN10" s="3431"/>
      <c r="AFO10" s="3431"/>
      <c r="AFP10" s="3431"/>
      <c r="AFQ10" s="3431"/>
      <c r="AFR10" s="3431"/>
      <c r="AFS10" s="3431"/>
      <c r="AFT10" s="3431"/>
      <c r="AFU10" s="3431"/>
      <c r="AFV10" s="3431"/>
      <c r="AFW10" s="3431"/>
      <c r="AFX10" s="3431"/>
      <c r="AFY10" s="3431"/>
      <c r="AFZ10" s="3431"/>
      <c r="AGA10" s="3431"/>
      <c r="AGB10" s="3431"/>
      <c r="AGC10" s="3431"/>
      <c r="AGD10" s="3431"/>
      <c r="AGE10" s="3431"/>
      <c r="AGF10" s="3431"/>
      <c r="AGG10" s="3431"/>
      <c r="AGH10" s="3431"/>
      <c r="AGI10" s="3431"/>
      <c r="AGJ10" s="3431"/>
      <c r="AGK10" s="3431"/>
      <c r="AGL10" s="3431"/>
      <c r="AGM10" s="3431"/>
      <c r="AGN10" s="3431"/>
      <c r="AGO10" s="3431"/>
      <c r="AGP10" s="3431"/>
      <c r="AGQ10" s="3431"/>
      <c r="AGR10" s="3431"/>
      <c r="AGS10" s="3431"/>
      <c r="AGT10" s="3431"/>
      <c r="AGU10" s="3431"/>
      <c r="AGV10" s="3431"/>
      <c r="AGW10" s="3431"/>
      <c r="AGX10" s="3431"/>
      <c r="AGY10" s="3431"/>
      <c r="AGZ10" s="3431"/>
      <c r="AHA10" s="3431"/>
      <c r="AHB10" s="3431"/>
      <c r="AHC10" s="3431"/>
      <c r="AHD10" s="3431"/>
      <c r="AHE10" s="3431"/>
      <c r="AHF10" s="3431"/>
      <c r="AHG10" s="3431"/>
      <c r="AHH10" s="3431"/>
      <c r="AHI10" s="3431"/>
      <c r="AHJ10" s="3431"/>
      <c r="AHK10" s="3431"/>
      <c r="AHL10" s="3431"/>
      <c r="AHM10" s="3431"/>
      <c r="AHN10" s="3431"/>
      <c r="AHO10" s="3431"/>
      <c r="AHP10" s="3431"/>
      <c r="AHQ10" s="3431"/>
      <c r="AHR10" s="3431"/>
      <c r="AHS10" s="3431"/>
      <c r="AHT10" s="3431"/>
      <c r="AHU10" s="3431"/>
      <c r="AHV10" s="3431"/>
      <c r="AHW10" s="3431"/>
      <c r="AHX10" s="3431"/>
      <c r="AHY10" s="3431"/>
      <c r="AHZ10" s="3431"/>
      <c r="AIA10" s="3431"/>
      <c r="AIB10" s="3431"/>
      <c r="AIC10" s="3431"/>
      <c r="AID10" s="3431"/>
      <c r="AIE10" s="3431"/>
      <c r="AIF10" s="3431"/>
      <c r="AIG10" s="3431"/>
      <c r="AIH10" s="3431"/>
      <c r="AII10" s="3431"/>
      <c r="AIJ10" s="3431"/>
      <c r="AIK10" s="3431"/>
      <c r="AIL10" s="3431"/>
      <c r="AIM10" s="3431"/>
      <c r="AIN10" s="3431"/>
      <c r="AIO10" s="3431"/>
      <c r="AIP10" s="3431"/>
      <c r="AIQ10" s="3431"/>
      <c r="AIR10" s="3431"/>
      <c r="AIS10" s="3431"/>
      <c r="AIT10" s="3431"/>
      <c r="AIU10" s="3431"/>
      <c r="AIV10" s="3431"/>
      <c r="AIW10" s="3431"/>
      <c r="AIX10" s="3431"/>
      <c r="AIY10" s="3431"/>
      <c r="AIZ10" s="3431"/>
      <c r="AJA10" s="3431"/>
      <c r="AJB10" s="3431"/>
      <c r="AJC10" s="3431"/>
      <c r="AJD10" s="3431"/>
      <c r="AJE10" s="3431"/>
      <c r="AJF10" s="3431"/>
      <c r="AJG10" s="3431"/>
      <c r="AJH10" s="3431"/>
      <c r="AJI10" s="3431"/>
      <c r="AJJ10" s="3431"/>
      <c r="AJK10" s="3431"/>
      <c r="AJL10" s="3431"/>
      <c r="AJM10" s="3431"/>
      <c r="AJN10" s="3431"/>
      <c r="AJO10" s="3431"/>
      <c r="AJP10" s="3431"/>
      <c r="AJQ10" s="3431"/>
      <c r="AJR10" s="3431"/>
      <c r="AJS10" s="3431"/>
      <c r="AJT10" s="3431"/>
      <c r="AJU10" s="3431"/>
      <c r="AJV10" s="3431"/>
      <c r="AJW10" s="3431"/>
      <c r="AJX10" s="3431"/>
      <c r="AJY10" s="3431"/>
      <c r="AJZ10" s="3431"/>
      <c r="AKA10" s="3431"/>
      <c r="AKB10" s="3431"/>
      <c r="AKC10" s="3431"/>
      <c r="AKD10" s="3431"/>
      <c r="AKE10" s="3431"/>
      <c r="AKF10" s="3431"/>
      <c r="AKG10" s="3431"/>
      <c r="AKH10" s="3431"/>
      <c r="AKI10" s="3431"/>
      <c r="AKJ10" s="3431"/>
      <c r="AKK10" s="3431"/>
      <c r="AKL10" s="3431"/>
      <c r="AKM10" s="3431"/>
      <c r="AKN10" s="3431"/>
      <c r="AKO10" s="3431"/>
      <c r="AKP10" s="3431"/>
      <c r="AKQ10" s="3431"/>
      <c r="AKR10" s="3431"/>
      <c r="AKS10" s="3431"/>
      <c r="AKT10" s="3431"/>
      <c r="AKU10" s="3431"/>
      <c r="AKV10" s="3431"/>
      <c r="AKW10" s="3431"/>
      <c r="AKX10" s="3431"/>
      <c r="AKY10" s="3431"/>
      <c r="AKZ10" s="3431"/>
      <c r="ALA10" s="3431"/>
      <c r="ALB10" s="3431"/>
      <c r="ALC10" s="3431"/>
      <c r="ALD10" s="3431"/>
      <c r="ALE10" s="3431"/>
      <c r="ALF10" s="3431"/>
      <c r="ALG10" s="3431"/>
      <c r="ALH10" s="3431"/>
      <c r="ALI10" s="3431"/>
      <c r="ALJ10" s="3431"/>
      <c r="ALK10" s="3431"/>
      <c r="ALL10" s="3431"/>
      <c r="ALM10" s="3431"/>
      <c r="ALN10" s="3431"/>
      <c r="ALO10" s="3431"/>
      <c r="ALP10" s="3431"/>
      <c r="ALQ10" s="3431"/>
      <c r="ALR10" s="3431"/>
      <c r="ALS10" s="3431"/>
      <c r="ALT10" s="3431"/>
      <c r="ALU10" s="3431"/>
      <c r="ALV10" s="3431"/>
      <c r="ALW10" s="3431"/>
      <c r="ALX10" s="3431"/>
      <c r="ALY10" s="3431"/>
      <c r="ALZ10" s="3431"/>
      <c r="AMA10" s="3431"/>
      <c r="AMB10" s="3431"/>
      <c r="AMC10" s="3431"/>
      <c r="AMD10" s="3431"/>
      <c r="AME10" s="3431"/>
      <c r="AMF10" s="3431"/>
      <c r="AMG10" s="3431"/>
      <c r="AMH10" s="3431"/>
      <c r="AMI10" s="3431"/>
      <c r="AMJ10" s="3431"/>
      <c r="AMK10" s="3431"/>
      <c r="AML10" s="3431"/>
      <c r="AMM10" s="3431"/>
      <c r="AMN10" s="3431"/>
      <c r="AMO10" s="3431"/>
      <c r="AMP10" s="3431"/>
      <c r="AMQ10" s="3431"/>
      <c r="AMR10" s="3431"/>
      <c r="AMS10" s="3431"/>
      <c r="AMT10" s="3431"/>
      <c r="AMU10" s="3431"/>
      <c r="AMV10" s="3431"/>
      <c r="AMW10" s="3431"/>
      <c r="AMX10" s="3431"/>
      <c r="AMY10" s="3431"/>
      <c r="AMZ10" s="3431"/>
      <c r="ANA10" s="3431"/>
      <c r="ANB10" s="3431"/>
      <c r="ANC10" s="3431"/>
      <c r="AND10" s="3431"/>
      <c r="ANE10" s="3431"/>
      <c r="ANF10" s="3431"/>
      <c r="ANG10" s="3431"/>
      <c r="ANH10" s="3431"/>
      <c r="ANI10" s="3431"/>
      <c r="ANJ10" s="3431"/>
      <c r="ANK10" s="3431"/>
      <c r="ANL10" s="3431"/>
      <c r="ANM10" s="3431"/>
      <c r="ANN10" s="3431"/>
      <c r="ANO10" s="3431"/>
      <c r="ANP10" s="3431"/>
      <c r="ANQ10" s="3431"/>
      <c r="ANR10" s="3431"/>
      <c r="ANS10" s="3431"/>
      <c r="ANT10" s="3431"/>
      <c r="ANU10" s="3431"/>
      <c r="ANV10" s="3431"/>
      <c r="ANW10" s="3431"/>
      <c r="ANX10" s="3431"/>
      <c r="ANY10" s="3431"/>
      <c r="ANZ10" s="3431"/>
      <c r="AOA10" s="3431"/>
      <c r="AOB10" s="3431"/>
      <c r="AOC10" s="3431"/>
      <c r="AOD10" s="3431"/>
      <c r="AOE10" s="3431"/>
      <c r="AOF10" s="3431"/>
      <c r="AOG10" s="3431"/>
      <c r="AOH10" s="3431"/>
      <c r="AOI10" s="3431"/>
      <c r="AOJ10" s="3431"/>
      <c r="AOK10" s="3431"/>
      <c r="AOL10" s="3431"/>
      <c r="AOM10" s="3431"/>
      <c r="AON10" s="3431"/>
      <c r="AOO10" s="3431"/>
      <c r="AOP10" s="3431"/>
      <c r="AOQ10" s="3431"/>
      <c r="AOR10" s="3431"/>
      <c r="AOS10" s="3431"/>
      <c r="AOT10" s="3431"/>
      <c r="AOU10" s="3431"/>
      <c r="AOV10" s="3431"/>
      <c r="AOW10" s="3431"/>
      <c r="AOX10" s="3431"/>
      <c r="AOY10" s="3431"/>
      <c r="AOZ10" s="3431"/>
      <c r="APA10" s="3431"/>
      <c r="APB10" s="3431"/>
      <c r="APC10" s="3431"/>
      <c r="APD10" s="3431"/>
      <c r="APE10" s="3431"/>
      <c r="APF10" s="3431"/>
      <c r="APG10" s="3431"/>
      <c r="APH10" s="3431"/>
      <c r="API10" s="3431"/>
      <c r="APJ10" s="3431"/>
      <c r="APK10" s="3431"/>
      <c r="APL10" s="3431"/>
      <c r="APM10" s="3431"/>
      <c r="APN10" s="3431"/>
      <c r="APO10" s="3431"/>
      <c r="APP10" s="3431"/>
      <c r="APQ10" s="3431"/>
      <c r="APR10" s="3431"/>
      <c r="APS10" s="3431"/>
      <c r="APT10" s="3431"/>
      <c r="APU10" s="3431"/>
      <c r="APV10" s="3431"/>
      <c r="APW10" s="3431"/>
      <c r="APX10" s="3431"/>
      <c r="APY10" s="3431"/>
      <c r="APZ10" s="3431"/>
      <c r="AQA10" s="3431"/>
      <c r="AQB10" s="3431"/>
      <c r="AQC10" s="3431"/>
      <c r="AQD10" s="3431"/>
      <c r="AQE10" s="3431"/>
      <c r="AQF10" s="3431"/>
      <c r="AQG10" s="3431"/>
      <c r="AQH10" s="3431"/>
      <c r="AQI10" s="3431"/>
      <c r="AQJ10" s="3431"/>
      <c r="AQK10" s="3431"/>
      <c r="AQL10" s="3431"/>
      <c r="AQM10" s="3431"/>
      <c r="AQN10" s="3431"/>
      <c r="AQO10" s="3431"/>
      <c r="AQP10" s="3431"/>
      <c r="AQQ10" s="3431"/>
      <c r="AQR10" s="3431"/>
      <c r="AQS10" s="3431"/>
      <c r="AQT10" s="3431"/>
      <c r="AQU10" s="3431"/>
      <c r="AQV10" s="3431"/>
      <c r="AQW10" s="3431"/>
      <c r="AQX10" s="3431"/>
      <c r="AQY10" s="3431"/>
      <c r="AQZ10" s="3431"/>
      <c r="ARA10" s="3431"/>
      <c r="ARB10" s="3431"/>
      <c r="ARC10" s="3431"/>
      <c r="ARD10" s="3431"/>
      <c r="ARE10" s="3431"/>
      <c r="ARF10" s="3431"/>
      <c r="ARG10" s="3431"/>
      <c r="ARH10" s="3431"/>
      <c r="ARI10" s="3431"/>
      <c r="ARJ10" s="3431"/>
      <c r="ARK10" s="3431"/>
      <c r="ARL10" s="3431"/>
      <c r="ARM10" s="3431"/>
      <c r="ARN10" s="3431"/>
      <c r="ARO10" s="3431"/>
      <c r="ARP10" s="3431"/>
      <c r="ARQ10" s="3431"/>
      <c r="ARR10" s="3431"/>
      <c r="ARS10" s="3431"/>
      <c r="ART10" s="3431"/>
      <c r="ARU10" s="3431"/>
      <c r="ARV10" s="3431"/>
      <c r="ARW10" s="3431"/>
      <c r="ARX10" s="3431"/>
      <c r="ARY10" s="3431"/>
      <c r="ARZ10" s="3431"/>
      <c r="ASA10" s="3431"/>
      <c r="ASB10" s="3431"/>
      <c r="ASC10" s="3431"/>
      <c r="ASD10" s="3431"/>
      <c r="ASE10" s="3431"/>
      <c r="ASF10" s="3431"/>
      <c r="ASG10" s="3431"/>
      <c r="ASH10" s="3431"/>
      <c r="ASI10" s="3431"/>
      <c r="ASJ10" s="3431"/>
      <c r="ASK10" s="3431"/>
      <c r="ASL10" s="3431"/>
      <c r="ASM10" s="3431"/>
      <c r="ASN10" s="3431"/>
      <c r="ASO10" s="3431"/>
      <c r="ASP10" s="3431"/>
      <c r="ASQ10" s="3431"/>
      <c r="ASR10" s="3431"/>
      <c r="ASS10" s="3431"/>
      <c r="AST10" s="3431"/>
      <c r="ASU10" s="3431"/>
      <c r="ASV10" s="3431"/>
      <c r="ASW10" s="3431"/>
      <c r="ASX10" s="3431"/>
      <c r="ASY10" s="3431"/>
      <c r="ASZ10" s="3431"/>
      <c r="ATA10" s="3431"/>
      <c r="ATB10" s="3431"/>
      <c r="ATC10" s="3431"/>
      <c r="ATD10" s="3431"/>
      <c r="ATE10" s="3431"/>
      <c r="ATF10" s="3431"/>
      <c r="ATG10" s="3431"/>
      <c r="ATH10" s="3431"/>
      <c r="ATI10" s="3431"/>
      <c r="ATJ10" s="3431"/>
      <c r="ATK10" s="3431"/>
      <c r="ATL10" s="3431"/>
      <c r="ATM10" s="3431"/>
      <c r="ATN10" s="3431"/>
      <c r="ATO10" s="3431"/>
      <c r="ATP10" s="3431"/>
      <c r="ATQ10" s="3431"/>
      <c r="ATR10" s="3431"/>
      <c r="ATS10" s="3431"/>
      <c r="ATT10" s="3431"/>
      <c r="ATU10" s="3431"/>
      <c r="ATV10" s="3431"/>
      <c r="ATW10" s="3431"/>
      <c r="ATX10" s="3431"/>
      <c r="ATY10" s="3431"/>
      <c r="ATZ10" s="3431"/>
      <c r="AUA10" s="3431"/>
      <c r="AUB10" s="3431"/>
      <c r="AUC10" s="3431"/>
      <c r="AUD10" s="3431"/>
      <c r="AUE10" s="3431"/>
      <c r="AUF10" s="3431"/>
      <c r="AUG10" s="3431"/>
      <c r="AUH10" s="3431"/>
      <c r="AUI10" s="3431"/>
      <c r="AUJ10" s="3431"/>
      <c r="AUK10" s="3431"/>
      <c r="AUL10" s="3431"/>
      <c r="AUM10" s="3431"/>
      <c r="AUN10" s="3431"/>
      <c r="AUO10" s="3431"/>
      <c r="AUP10" s="3431"/>
      <c r="AUQ10" s="3431"/>
      <c r="AUR10" s="3431"/>
      <c r="AUS10" s="3431"/>
      <c r="AUT10" s="3431"/>
      <c r="AUU10" s="3431"/>
      <c r="AUV10" s="3431"/>
      <c r="AUW10" s="3431"/>
      <c r="AUX10" s="3431"/>
      <c r="AUY10" s="3431"/>
      <c r="AUZ10" s="3431"/>
      <c r="AVA10" s="3431"/>
      <c r="AVB10" s="3431"/>
      <c r="AVC10" s="3431"/>
      <c r="AVD10" s="3431"/>
      <c r="AVE10" s="3431"/>
      <c r="AVF10" s="3431"/>
      <c r="AVG10" s="3431"/>
      <c r="AVH10" s="3431"/>
      <c r="AVI10" s="3431"/>
      <c r="AVJ10" s="3431"/>
      <c r="AVK10" s="3431"/>
      <c r="AVL10" s="3431"/>
      <c r="AVM10" s="3431"/>
      <c r="AVN10" s="3431"/>
      <c r="AVO10" s="3431"/>
      <c r="AVP10" s="3431"/>
      <c r="AVQ10" s="3431"/>
      <c r="AVR10" s="3431"/>
      <c r="AVS10" s="3431"/>
      <c r="AVT10" s="3431"/>
      <c r="AVU10" s="3431"/>
      <c r="AVV10" s="3431"/>
      <c r="AVW10" s="3431"/>
      <c r="AVX10" s="3431"/>
      <c r="AVY10" s="3431"/>
      <c r="AVZ10" s="3431"/>
      <c r="AWA10" s="3431"/>
      <c r="AWB10" s="3431"/>
      <c r="AWC10" s="3431"/>
      <c r="AWD10" s="3431"/>
      <c r="AWE10" s="3431"/>
      <c r="AWF10" s="3431"/>
      <c r="AWG10" s="3431"/>
      <c r="AWH10" s="3431"/>
      <c r="AWI10" s="3431"/>
      <c r="AWJ10" s="3431"/>
      <c r="AWK10" s="3431"/>
      <c r="AWL10" s="3431"/>
      <c r="AWM10" s="3431"/>
      <c r="AWN10" s="3431"/>
      <c r="AWO10" s="3431"/>
      <c r="AWP10" s="3431"/>
      <c r="AWQ10" s="3431"/>
      <c r="AWR10" s="3431"/>
      <c r="AWS10" s="3431"/>
      <c r="AWT10" s="3431"/>
      <c r="AWU10" s="3431"/>
      <c r="AWV10" s="3431"/>
      <c r="AWW10" s="3431"/>
      <c r="AWX10" s="3431"/>
      <c r="AWY10" s="3431"/>
      <c r="AWZ10" s="3431"/>
      <c r="AXA10" s="3431"/>
      <c r="AXB10" s="3431"/>
      <c r="AXC10" s="3431"/>
      <c r="AXD10" s="3431"/>
      <c r="AXE10" s="3431"/>
      <c r="AXF10" s="3431"/>
      <c r="AXG10" s="3431"/>
      <c r="AXH10" s="3431"/>
      <c r="AXI10" s="3431"/>
      <c r="AXJ10" s="3431"/>
      <c r="AXK10" s="3431"/>
      <c r="AXL10" s="3431"/>
      <c r="AXM10" s="3431"/>
      <c r="AXN10" s="3431"/>
      <c r="AXO10" s="3431"/>
      <c r="AXP10" s="3431"/>
      <c r="AXQ10" s="3431"/>
      <c r="AXR10" s="3431"/>
      <c r="AXS10" s="3431"/>
      <c r="AXT10" s="3431"/>
      <c r="AXU10" s="3431"/>
      <c r="AXV10" s="3431"/>
      <c r="AXW10" s="3431"/>
      <c r="AXX10" s="3431"/>
      <c r="AXY10" s="3431"/>
      <c r="AXZ10" s="3431"/>
      <c r="AYA10" s="3431"/>
      <c r="AYB10" s="3431"/>
      <c r="AYC10" s="3431"/>
      <c r="AYD10" s="3431"/>
      <c r="AYE10" s="3431"/>
      <c r="AYF10" s="3431"/>
      <c r="AYG10" s="3431"/>
      <c r="AYH10" s="3431"/>
      <c r="AYI10" s="3431"/>
      <c r="AYJ10" s="3431"/>
      <c r="AYK10" s="3431"/>
      <c r="AYL10" s="3431"/>
      <c r="AYM10" s="3431"/>
      <c r="AYN10" s="3431"/>
      <c r="AYO10" s="3431"/>
      <c r="AYP10" s="3431"/>
      <c r="AYQ10" s="3431"/>
      <c r="AYR10" s="3431"/>
      <c r="AYS10" s="3431"/>
      <c r="AYT10" s="3431"/>
      <c r="AYU10" s="3431"/>
      <c r="AYV10" s="3431"/>
      <c r="AYW10" s="3431"/>
      <c r="AYX10" s="3431"/>
      <c r="AYY10" s="3431"/>
      <c r="AYZ10" s="3431"/>
      <c r="AZA10" s="3431"/>
      <c r="AZB10" s="3431"/>
      <c r="AZC10" s="3431"/>
      <c r="AZD10" s="3431"/>
      <c r="AZE10" s="3431"/>
      <c r="AZF10" s="3431"/>
      <c r="AZG10" s="3431"/>
      <c r="AZH10" s="3431"/>
      <c r="AZI10" s="3431"/>
      <c r="AZJ10" s="3431"/>
      <c r="AZK10" s="3431"/>
      <c r="AZL10" s="3431"/>
      <c r="AZM10" s="3431"/>
      <c r="AZN10" s="3431"/>
      <c r="AZO10" s="3431"/>
      <c r="AZP10" s="3431"/>
      <c r="AZQ10" s="3431"/>
      <c r="AZR10" s="3431"/>
      <c r="AZS10" s="3431"/>
      <c r="AZT10" s="3431"/>
      <c r="AZU10" s="3431"/>
      <c r="AZV10" s="3431"/>
      <c r="AZW10" s="3431"/>
      <c r="AZX10" s="3431"/>
      <c r="AZY10" s="3431"/>
      <c r="AZZ10" s="3431"/>
      <c r="BAA10" s="3431"/>
      <c r="BAB10" s="3431"/>
      <c r="BAC10" s="3431"/>
      <c r="BAD10" s="3431"/>
      <c r="BAE10" s="3431"/>
      <c r="BAF10" s="3431"/>
      <c r="BAG10" s="3431"/>
      <c r="BAH10" s="3431"/>
      <c r="BAI10" s="3431"/>
      <c r="BAJ10" s="3431"/>
      <c r="BAK10" s="3431"/>
      <c r="BAL10" s="3431"/>
      <c r="BAM10" s="3431"/>
      <c r="BAN10" s="3431"/>
      <c r="BAO10" s="3431"/>
      <c r="BAP10" s="3431"/>
      <c r="BAQ10" s="3431"/>
      <c r="BAR10" s="3431"/>
      <c r="BAS10" s="3431"/>
      <c r="BAT10" s="3431"/>
      <c r="BAU10" s="3431"/>
      <c r="BAV10" s="3431"/>
      <c r="BAW10" s="3431"/>
      <c r="BAX10" s="3431"/>
      <c r="BAY10" s="3431"/>
      <c r="BAZ10" s="3431"/>
      <c r="BBA10" s="3431"/>
      <c r="BBB10" s="3431"/>
      <c r="BBC10" s="3431"/>
      <c r="BBD10" s="3431"/>
      <c r="BBE10" s="3431"/>
      <c r="BBF10" s="3431"/>
      <c r="BBG10" s="3431"/>
      <c r="BBH10" s="3431"/>
      <c r="BBI10" s="3431"/>
      <c r="BBJ10" s="3431"/>
      <c r="BBK10" s="3431"/>
      <c r="BBL10" s="3431"/>
      <c r="BBM10" s="3431"/>
      <c r="BBN10" s="3431"/>
      <c r="BBO10" s="3431"/>
      <c r="BBP10" s="3431"/>
      <c r="BBQ10" s="3431"/>
      <c r="BBR10" s="3431"/>
      <c r="BBS10" s="3431"/>
      <c r="BBT10" s="3431"/>
      <c r="BBU10" s="3431"/>
      <c r="BBV10" s="3431"/>
      <c r="BBW10" s="3431"/>
      <c r="BBX10" s="3431"/>
      <c r="BBY10" s="3431"/>
      <c r="BBZ10" s="3431"/>
      <c r="BCA10" s="3431"/>
      <c r="BCB10" s="3431"/>
      <c r="BCC10" s="3431"/>
      <c r="BCD10" s="3431"/>
      <c r="BCE10" s="3431"/>
      <c r="BCF10" s="3431"/>
      <c r="BCG10" s="3431"/>
      <c r="BCH10" s="3431"/>
      <c r="BCI10" s="3431"/>
      <c r="BCJ10" s="3431"/>
      <c r="BCK10" s="3431"/>
      <c r="BCL10" s="3431"/>
      <c r="BCM10" s="3431"/>
      <c r="BCN10" s="3431"/>
      <c r="BCO10" s="3431"/>
      <c r="BCP10" s="3431"/>
      <c r="BCQ10" s="3431"/>
      <c r="BCR10" s="3431"/>
      <c r="BCS10" s="3431"/>
      <c r="BCT10" s="3431"/>
      <c r="BCU10" s="3431"/>
      <c r="BCV10" s="3431"/>
      <c r="BCW10" s="3431"/>
      <c r="BCX10" s="3431"/>
      <c r="BCY10" s="3431"/>
      <c r="BCZ10" s="3431"/>
      <c r="BDA10" s="3431"/>
      <c r="BDB10" s="3431"/>
      <c r="BDC10" s="3431"/>
      <c r="BDD10" s="3431"/>
      <c r="BDE10" s="3431"/>
      <c r="BDF10" s="3431"/>
      <c r="BDG10" s="3431"/>
      <c r="BDH10" s="3431"/>
      <c r="BDI10" s="3431"/>
      <c r="BDJ10" s="3431"/>
      <c r="BDK10" s="3431"/>
      <c r="BDL10" s="3431"/>
      <c r="BDM10" s="3431"/>
      <c r="BDN10" s="3431"/>
      <c r="BDO10" s="3431"/>
      <c r="BDP10" s="3431"/>
      <c r="BDQ10" s="3431"/>
      <c r="BDR10" s="3431"/>
      <c r="BDS10" s="3431"/>
      <c r="BDT10" s="3431"/>
      <c r="BDU10" s="3431"/>
      <c r="BDV10" s="3431"/>
      <c r="BDW10" s="3431"/>
      <c r="BDX10" s="3431"/>
      <c r="BDY10" s="3431"/>
      <c r="BDZ10" s="3431"/>
      <c r="BEA10" s="3431"/>
      <c r="BEB10" s="3431"/>
      <c r="BEC10" s="3431"/>
      <c r="BED10" s="3431"/>
      <c r="BEE10" s="3431"/>
      <c r="BEF10" s="3431"/>
      <c r="BEG10" s="3431"/>
      <c r="BEH10" s="3431"/>
      <c r="BEI10" s="3431"/>
      <c r="BEJ10" s="3431"/>
      <c r="BEK10" s="3431"/>
      <c r="BEL10" s="3431"/>
      <c r="BEM10" s="3431"/>
      <c r="BEN10" s="3431"/>
      <c r="BEO10" s="3431"/>
      <c r="BEP10" s="3431"/>
      <c r="BEQ10" s="3431"/>
      <c r="BER10" s="3431"/>
      <c r="BES10" s="3431"/>
      <c r="BET10" s="3431"/>
      <c r="BEU10" s="3431"/>
      <c r="BEV10" s="3431"/>
      <c r="BEW10" s="3431"/>
      <c r="BEX10" s="3431"/>
      <c r="BEY10" s="3431"/>
      <c r="BEZ10" s="3431"/>
      <c r="BFA10" s="3431"/>
      <c r="BFB10" s="3431"/>
      <c r="BFC10" s="3431"/>
      <c r="BFD10" s="3431"/>
      <c r="BFE10" s="3431"/>
      <c r="BFF10" s="3431"/>
      <c r="BFG10" s="3431"/>
      <c r="BFH10" s="3431"/>
      <c r="BFI10" s="3431"/>
      <c r="BFJ10" s="3431"/>
      <c r="BFK10" s="3431"/>
      <c r="BFL10" s="3431"/>
      <c r="BFM10" s="3431"/>
      <c r="BFN10" s="3431"/>
      <c r="BFO10" s="3431"/>
      <c r="BFP10" s="3431"/>
      <c r="BFQ10" s="3431"/>
      <c r="BFR10" s="3431"/>
      <c r="BFS10" s="3431"/>
      <c r="BFT10" s="3431"/>
      <c r="BFU10" s="3431"/>
      <c r="BFV10" s="3431"/>
      <c r="BFW10" s="3431"/>
      <c r="BFX10" s="3431"/>
      <c r="BFY10" s="3431"/>
      <c r="BFZ10" s="3431"/>
      <c r="BGA10" s="3431"/>
      <c r="BGB10" s="3431"/>
      <c r="BGC10" s="3431"/>
      <c r="BGD10" s="3431"/>
      <c r="BGE10" s="3431"/>
      <c r="BGF10" s="3431"/>
      <c r="BGG10" s="3431"/>
      <c r="BGH10" s="3431"/>
      <c r="BGI10" s="3431"/>
      <c r="BGJ10" s="3431"/>
      <c r="BGK10" s="3431"/>
      <c r="BGL10" s="3431"/>
      <c r="BGM10" s="3431"/>
      <c r="BGN10" s="3431"/>
      <c r="BGO10" s="3431"/>
      <c r="BGP10" s="3431"/>
      <c r="BGQ10" s="3431"/>
      <c r="BGR10" s="3431"/>
      <c r="BGS10" s="3431"/>
      <c r="BGT10" s="3431"/>
      <c r="BGU10" s="3431"/>
      <c r="BGV10" s="3431"/>
      <c r="BGW10" s="3431"/>
      <c r="BGX10" s="3431"/>
      <c r="BGY10" s="3431"/>
      <c r="BGZ10" s="3431"/>
      <c r="BHA10" s="3431"/>
      <c r="BHB10" s="3431"/>
      <c r="BHC10" s="3431"/>
      <c r="BHD10" s="3431"/>
      <c r="BHE10" s="3431"/>
      <c r="BHF10" s="3431"/>
      <c r="BHG10" s="3431"/>
      <c r="BHH10" s="3431"/>
      <c r="BHI10" s="3431"/>
      <c r="BHJ10" s="3431"/>
      <c r="BHK10" s="3431"/>
      <c r="BHL10" s="3431"/>
      <c r="BHM10" s="3431"/>
      <c r="BHN10" s="3431"/>
      <c r="BHO10" s="3431"/>
      <c r="BHP10" s="3431"/>
      <c r="BHQ10" s="3431"/>
      <c r="BHR10" s="3431"/>
      <c r="BHS10" s="3431"/>
      <c r="BHT10" s="3431"/>
      <c r="BHU10" s="3431"/>
      <c r="BHV10" s="3431"/>
      <c r="BHW10" s="3431"/>
      <c r="BHX10" s="3431"/>
      <c r="BHY10" s="3431"/>
      <c r="BHZ10" s="3431"/>
      <c r="BIA10" s="3431"/>
      <c r="BIB10" s="3431"/>
      <c r="BIC10" s="3431"/>
      <c r="BID10" s="3431"/>
      <c r="BIE10" s="3431"/>
      <c r="BIF10" s="3431"/>
      <c r="BIG10" s="3431"/>
      <c r="BIH10" s="3431"/>
      <c r="BII10" s="3431"/>
      <c r="BIJ10" s="3431"/>
      <c r="BIK10" s="3431"/>
      <c r="BIL10" s="3431"/>
      <c r="BIM10" s="3431"/>
      <c r="BIN10" s="3431"/>
      <c r="BIO10" s="3431"/>
      <c r="BIP10" s="3431"/>
      <c r="BIQ10" s="3431"/>
      <c r="BIR10" s="3431"/>
      <c r="BIS10" s="3431"/>
      <c r="BIT10" s="3431"/>
      <c r="BIU10" s="3431"/>
      <c r="BIV10" s="3431"/>
      <c r="BIW10" s="3431"/>
      <c r="BIX10" s="3431"/>
      <c r="BIY10" s="3431"/>
      <c r="BIZ10" s="3431"/>
      <c r="BJA10" s="3431"/>
      <c r="BJB10" s="3431"/>
      <c r="BJC10" s="3431"/>
      <c r="BJD10" s="3431"/>
      <c r="BJE10" s="3431"/>
      <c r="BJF10" s="3431"/>
      <c r="BJG10" s="3431"/>
      <c r="BJH10" s="3431"/>
      <c r="BJI10" s="3431"/>
      <c r="BJJ10" s="3431"/>
      <c r="BJK10" s="3431"/>
      <c r="BJL10" s="3431"/>
      <c r="BJM10" s="3431"/>
      <c r="BJN10" s="3431"/>
      <c r="BJO10" s="3431"/>
      <c r="BJP10" s="3431"/>
      <c r="BJQ10" s="3431"/>
      <c r="BJR10" s="3431"/>
      <c r="BJS10" s="3431"/>
      <c r="BJT10" s="3431"/>
      <c r="BJU10" s="3431"/>
      <c r="BJV10" s="3431"/>
      <c r="BJW10" s="3431"/>
      <c r="BJX10" s="3431"/>
      <c r="BJY10" s="3431"/>
      <c r="BJZ10" s="3431"/>
      <c r="BKA10" s="3431"/>
      <c r="BKB10" s="3431"/>
      <c r="BKC10" s="3431"/>
      <c r="BKD10" s="3431"/>
      <c r="BKE10" s="3431"/>
      <c r="BKF10" s="3431"/>
      <c r="BKG10" s="3431"/>
      <c r="BKH10" s="3431"/>
      <c r="BKI10" s="3431"/>
      <c r="BKJ10" s="3431"/>
      <c r="BKK10" s="3431"/>
      <c r="BKL10" s="3431"/>
      <c r="BKM10" s="3431"/>
      <c r="BKN10" s="3431"/>
      <c r="BKO10" s="3431"/>
      <c r="BKP10" s="3431"/>
      <c r="BKQ10" s="3431"/>
      <c r="BKR10" s="3431"/>
      <c r="BKS10" s="3431"/>
      <c r="BKT10" s="3431"/>
      <c r="BKU10" s="3431"/>
      <c r="BKV10" s="3431"/>
      <c r="BKW10" s="3431"/>
      <c r="BKX10" s="3431"/>
      <c r="BKY10" s="3431"/>
      <c r="BKZ10" s="3431"/>
      <c r="BLA10" s="3431"/>
      <c r="BLB10" s="3431"/>
      <c r="BLC10" s="3431"/>
      <c r="BLD10" s="3431"/>
      <c r="BLE10" s="3431"/>
      <c r="BLF10" s="3431"/>
      <c r="BLG10" s="3431"/>
      <c r="BLH10" s="3431"/>
      <c r="BLI10" s="3431"/>
      <c r="BLJ10" s="3431"/>
      <c r="BLK10" s="3431"/>
      <c r="BLL10" s="3431"/>
      <c r="BLM10" s="3431"/>
      <c r="BLN10" s="3431"/>
      <c r="BLO10" s="3431"/>
      <c r="BLP10" s="3431"/>
      <c r="BLQ10" s="3431"/>
      <c r="BLR10" s="3431"/>
      <c r="BLS10" s="3431"/>
      <c r="BLT10" s="3431"/>
      <c r="BLU10" s="3431"/>
      <c r="BLV10" s="3431"/>
      <c r="BLW10" s="3431"/>
      <c r="BLX10" s="3431"/>
      <c r="BLY10" s="3431"/>
      <c r="BLZ10" s="3431"/>
      <c r="BMA10" s="3431"/>
      <c r="BMB10" s="3431"/>
      <c r="BMC10" s="3431"/>
      <c r="BMD10" s="3431"/>
      <c r="BME10" s="3431"/>
      <c r="BMF10" s="3431"/>
      <c r="BMG10" s="3431"/>
      <c r="BMH10" s="3431"/>
      <c r="BMI10" s="3431"/>
      <c r="BMJ10" s="3431"/>
      <c r="BMK10" s="3431"/>
      <c r="BML10" s="3431"/>
      <c r="BMM10" s="3431"/>
      <c r="BMN10" s="3431"/>
      <c r="BMO10" s="3431"/>
      <c r="BMP10" s="3431"/>
      <c r="BMQ10" s="3431"/>
      <c r="BMR10" s="3431"/>
      <c r="BMS10" s="3431"/>
      <c r="BMT10" s="3431"/>
      <c r="BMU10" s="3431"/>
      <c r="BMV10" s="3431"/>
      <c r="BMW10" s="3431"/>
      <c r="BMX10" s="3431"/>
      <c r="BMY10" s="3431"/>
      <c r="BMZ10" s="3431"/>
      <c r="BNA10" s="3431"/>
      <c r="BNB10" s="3431"/>
      <c r="BNC10" s="3431"/>
      <c r="BND10" s="3431"/>
      <c r="BNE10" s="3431"/>
      <c r="BNF10" s="3431"/>
      <c r="BNG10" s="3431"/>
      <c r="BNH10" s="3431"/>
      <c r="BNI10" s="3431"/>
      <c r="BNJ10" s="3431"/>
      <c r="BNK10" s="3431"/>
      <c r="BNL10" s="3431"/>
      <c r="BNM10" s="3431"/>
      <c r="BNN10" s="3431"/>
      <c r="BNO10" s="3431"/>
      <c r="BNP10" s="3431"/>
      <c r="BNQ10" s="3431"/>
      <c r="BNR10" s="3431"/>
      <c r="BNS10" s="3431"/>
      <c r="BNT10" s="3431"/>
      <c r="BNU10" s="3431"/>
      <c r="BNV10" s="3431"/>
      <c r="BNW10" s="3431"/>
      <c r="BNX10" s="3431"/>
      <c r="BNY10" s="3431"/>
      <c r="BNZ10" s="3431"/>
      <c r="BOA10" s="3431"/>
      <c r="BOB10" s="3431"/>
      <c r="BOC10" s="3431"/>
      <c r="BOD10" s="3431"/>
      <c r="BOE10" s="3431"/>
      <c r="BOF10" s="3431"/>
      <c r="BOG10" s="3431"/>
      <c r="BOH10" s="3431"/>
      <c r="BOI10" s="3431"/>
      <c r="BOJ10" s="3431"/>
      <c r="BOK10" s="3431"/>
      <c r="BOL10" s="3431"/>
      <c r="BOM10" s="3431"/>
      <c r="BON10" s="3431"/>
      <c r="BOO10" s="3431"/>
      <c r="BOP10" s="3431"/>
      <c r="BOQ10" s="3431"/>
      <c r="BOR10" s="3431"/>
      <c r="BOS10" s="3431"/>
      <c r="BOT10" s="3431"/>
      <c r="BOU10" s="3431"/>
      <c r="BOV10" s="3431"/>
      <c r="BOW10" s="3431"/>
      <c r="BOX10" s="3431"/>
      <c r="BOY10" s="3431"/>
      <c r="BOZ10" s="3431"/>
      <c r="BPA10" s="3431"/>
      <c r="BPB10" s="3431"/>
      <c r="BPC10" s="3431"/>
      <c r="BPD10" s="3431"/>
      <c r="BPE10" s="3431"/>
      <c r="BPF10" s="3431"/>
      <c r="BPG10" s="3431"/>
      <c r="BPH10" s="3431"/>
      <c r="BPI10" s="3431"/>
      <c r="BPJ10" s="3431"/>
      <c r="BPK10" s="3431"/>
      <c r="BPL10" s="3431"/>
      <c r="BPM10" s="3431"/>
      <c r="BPN10" s="3431"/>
      <c r="BPO10" s="3431"/>
      <c r="BPP10" s="3431"/>
      <c r="BPQ10" s="3431"/>
      <c r="BPR10" s="3431"/>
      <c r="BPS10" s="3431"/>
      <c r="BPT10" s="3431"/>
      <c r="BPU10" s="3431"/>
      <c r="BPV10" s="3431"/>
      <c r="BPW10" s="3431"/>
      <c r="BPX10" s="3431"/>
      <c r="BPY10" s="3431"/>
      <c r="BPZ10" s="3431"/>
      <c r="BQA10" s="3431"/>
      <c r="BQB10" s="3431"/>
      <c r="BQC10" s="3431"/>
      <c r="BQD10" s="3431"/>
      <c r="BQE10" s="3431"/>
      <c r="BQF10" s="3431"/>
      <c r="BQG10" s="3431"/>
      <c r="BQH10" s="3431"/>
      <c r="BQI10" s="3431"/>
      <c r="BQJ10" s="3431"/>
      <c r="BQK10" s="3431"/>
      <c r="BQL10" s="3431"/>
      <c r="BQM10" s="3431"/>
      <c r="BQN10" s="3431"/>
      <c r="BQO10" s="3431"/>
      <c r="BQP10" s="3431"/>
      <c r="BQQ10" s="3431"/>
      <c r="BQR10" s="3431"/>
      <c r="BQS10" s="3431"/>
      <c r="BQT10" s="3431"/>
      <c r="BQU10" s="3431"/>
      <c r="BQV10" s="3431"/>
      <c r="BQW10" s="3431"/>
      <c r="BQX10" s="3431"/>
      <c r="BQY10" s="3431"/>
      <c r="BQZ10" s="3431"/>
      <c r="BRA10" s="3431"/>
      <c r="BRB10" s="3431"/>
      <c r="BRC10" s="3431"/>
      <c r="BRD10" s="3431"/>
      <c r="BRE10" s="3431"/>
      <c r="BRF10" s="3431"/>
      <c r="BRG10" s="3431"/>
      <c r="BRH10" s="3431"/>
      <c r="BRI10" s="3431"/>
      <c r="BRJ10" s="3431"/>
      <c r="BRK10" s="3431"/>
      <c r="BRL10" s="3431"/>
      <c r="BRM10" s="3431"/>
      <c r="BRN10" s="3431"/>
      <c r="BRO10" s="3431"/>
      <c r="BRP10" s="3431"/>
      <c r="BRQ10" s="3431"/>
      <c r="BRR10" s="3431"/>
      <c r="BRS10" s="3431"/>
      <c r="BRT10" s="3431"/>
      <c r="BRU10" s="3431"/>
      <c r="BRV10" s="3431"/>
      <c r="BRW10" s="3431"/>
      <c r="BRX10" s="3431"/>
      <c r="BRY10" s="3431"/>
      <c r="BRZ10" s="3431"/>
      <c r="BSA10" s="3431"/>
      <c r="BSB10" s="3431"/>
      <c r="BSC10" s="3431"/>
      <c r="BSD10" s="3431"/>
      <c r="BSE10" s="3431"/>
      <c r="BSF10" s="3431"/>
      <c r="BSG10" s="3431"/>
      <c r="BSH10" s="3431"/>
      <c r="BSI10" s="3431"/>
      <c r="BSJ10" s="3431"/>
      <c r="BSK10" s="3431"/>
      <c r="BSL10" s="3431"/>
      <c r="BSM10" s="3431"/>
      <c r="BSN10" s="3431"/>
      <c r="BSO10" s="3431"/>
      <c r="BSP10" s="3431"/>
      <c r="BSQ10" s="3431"/>
      <c r="BSR10" s="3431"/>
      <c r="BSS10" s="3431"/>
      <c r="BST10" s="3431"/>
      <c r="BSU10" s="3431"/>
      <c r="BSV10" s="3431"/>
      <c r="BSW10" s="3431"/>
      <c r="BSX10" s="3431"/>
      <c r="BSY10" s="3431"/>
      <c r="BSZ10" s="3431"/>
      <c r="BTA10" s="3431"/>
      <c r="BTB10" s="3431"/>
      <c r="BTC10" s="3431"/>
      <c r="BTD10" s="3431"/>
      <c r="BTE10" s="3431"/>
      <c r="BTF10" s="3431"/>
      <c r="BTG10" s="3431"/>
      <c r="BTH10" s="3431"/>
      <c r="BTI10" s="3431"/>
      <c r="BTJ10" s="3431"/>
      <c r="BTK10" s="3431"/>
      <c r="BTL10" s="3431"/>
      <c r="BTM10" s="3431"/>
      <c r="BTN10" s="3431"/>
      <c r="BTO10" s="3431"/>
      <c r="BTP10" s="3431"/>
      <c r="BTQ10" s="3431"/>
      <c r="BTR10" s="3431"/>
      <c r="BTS10" s="3431"/>
      <c r="BTT10" s="3431"/>
      <c r="BTU10" s="3431"/>
      <c r="BTV10" s="3431"/>
      <c r="BTW10" s="3431"/>
      <c r="BTX10" s="3431"/>
      <c r="BTY10" s="3431"/>
      <c r="BTZ10" s="3431"/>
      <c r="BUA10" s="3431"/>
      <c r="BUB10" s="3431"/>
      <c r="BUC10" s="3431"/>
      <c r="BUD10" s="3431"/>
      <c r="BUE10" s="3431"/>
      <c r="BUF10" s="3431"/>
      <c r="BUG10" s="3431"/>
      <c r="BUH10" s="3431"/>
      <c r="BUI10" s="3431"/>
      <c r="BUJ10" s="3431"/>
      <c r="BUK10" s="3431"/>
      <c r="BUL10" s="3431"/>
      <c r="BUM10" s="3431"/>
      <c r="BUN10" s="3431"/>
      <c r="BUO10" s="3431"/>
      <c r="BUP10" s="3431"/>
      <c r="BUQ10" s="3431"/>
      <c r="BUR10" s="3431"/>
      <c r="BUS10" s="3431"/>
      <c r="BUT10" s="3431"/>
      <c r="BUU10" s="3431"/>
      <c r="BUV10" s="3431"/>
      <c r="BUW10" s="3431"/>
      <c r="BUX10" s="3431"/>
      <c r="BUY10" s="3431"/>
      <c r="BUZ10" s="3431"/>
      <c r="BVA10" s="3431"/>
      <c r="BVB10" s="3431"/>
      <c r="BVC10" s="3431"/>
      <c r="BVD10" s="3431"/>
      <c r="BVE10" s="3431"/>
      <c r="BVF10" s="3431"/>
      <c r="BVG10" s="3431"/>
      <c r="BVH10" s="3431"/>
      <c r="BVI10" s="3431"/>
      <c r="BVJ10" s="3431"/>
      <c r="BVK10" s="3431"/>
      <c r="BVL10" s="3431"/>
      <c r="BVM10" s="3431"/>
      <c r="BVN10" s="3431"/>
      <c r="BVO10" s="3431"/>
      <c r="BVP10" s="3431"/>
      <c r="BVQ10" s="3431"/>
      <c r="BVR10" s="3431"/>
      <c r="BVS10" s="3431"/>
      <c r="BVT10" s="3431"/>
      <c r="BVU10" s="3431"/>
      <c r="BVV10" s="3431"/>
      <c r="BVW10" s="3431"/>
      <c r="BVX10" s="3431"/>
      <c r="BVY10" s="3431"/>
      <c r="BVZ10" s="3431"/>
      <c r="BWA10" s="3431"/>
      <c r="BWB10" s="3431"/>
      <c r="BWC10" s="3431"/>
      <c r="BWD10" s="3431"/>
      <c r="BWE10" s="3431"/>
      <c r="BWF10" s="3431"/>
      <c r="BWG10" s="3431"/>
      <c r="BWH10" s="3431"/>
      <c r="BWI10" s="3431"/>
      <c r="BWJ10" s="3431"/>
      <c r="BWK10" s="3431"/>
      <c r="BWL10" s="3431"/>
      <c r="BWM10" s="3431"/>
      <c r="BWN10" s="3431"/>
      <c r="BWO10" s="3431"/>
      <c r="BWP10" s="3431"/>
      <c r="BWQ10" s="3431"/>
      <c r="BWR10" s="3431"/>
      <c r="BWS10" s="3431"/>
      <c r="BWT10" s="3431"/>
      <c r="BWU10" s="3431"/>
      <c r="BWV10" s="3431"/>
      <c r="BWW10" s="3431"/>
      <c r="BWX10" s="3431"/>
      <c r="BWY10" s="3431"/>
      <c r="BWZ10" s="3431"/>
      <c r="BXA10" s="3431"/>
      <c r="BXB10" s="3431"/>
      <c r="BXC10" s="3431"/>
      <c r="BXD10" s="3431"/>
      <c r="BXE10" s="3431"/>
      <c r="BXF10" s="3431"/>
      <c r="BXG10" s="3431"/>
      <c r="BXH10" s="3431"/>
      <c r="BXI10" s="3431"/>
      <c r="BXJ10" s="3431"/>
      <c r="BXK10" s="3431"/>
      <c r="BXL10" s="3431"/>
      <c r="BXM10" s="3431"/>
      <c r="BXN10" s="3431"/>
      <c r="BXO10" s="3431"/>
      <c r="BXP10" s="3431"/>
      <c r="BXQ10" s="3431"/>
      <c r="BXR10" s="3431"/>
      <c r="BXS10" s="3431"/>
      <c r="BXT10" s="3431"/>
      <c r="BXU10" s="3431"/>
      <c r="BXV10" s="3431"/>
      <c r="BXW10" s="3431"/>
      <c r="BXX10" s="3431"/>
      <c r="BXY10" s="3431"/>
      <c r="BXZ10" s="3431"/>
      <c r="BYA10" s="3431"/>
      <c r="BYB10" s="3431"/>
      <c r="BYC10" s="3431"/>
      <c r="BYD10" s="3431"/>
      <c r="BYE10" s="3431"/>
      <c r="BYF10" s="3431"/>
      <c r="BYG10" s="3431"/>
      <c r="BYH10" s="3431"/>
      <c r="BYI10" s="3431"/>
      <c r="BYJ10" s="3431"/>
      <c r="BYK10" s="3431"/>
      <c r="BYL10" s="3431"/>
      <c r="BYM10" s="3431"/>
      <c r="BYN10" s="3431"/>
      <c r="BYO10" s="3431"/>
      <c r="BYP10" s="3431"/>
      <c r="BYQ10" s="3431"/>
      <c r="BYR10" s="3431"/>
      <c r="BYS10" s="3431"/>
      <c r="BYT10" s="3431"/>
      <c r="BYU10" s="3431"/>
      <c r="BYV10" s="3431"/>
      <c r="BYW10" s="3431"/>
      <c r="BYX10" s="3431"/>
      <c r="BYY10" s="3431"/>
      <c r="BYZ10" s="3431"/>
      <c r="BZA10" s="3431"/>
      <c r="BZB10" s="3431"/>
      <c r="BZC10" s="3431"/>
      <c r="BZD10" s="3431"/>
      <c r="BZE10" s="3431"/>
      <c r="BZF10" s="3431"/>
      <c r="BZG10" s="3431"/>
      <c r="BZH10" s="3431"/>
      <c r="BZI10" s="3431"/>
      <c r="BZJ10" s="3431"/>
      <c r="BZK10" s="3431"/>
      <c r="BZL10" s="3431"/>
      <c r="BZM10" s="3431"/>
      <c r="BZN10" s="3431"/>
      <c r="BZO10" s="3431"/>
      <c r="BZP10" s="3431"/>
      <c r="BZQ10" s="3431"/>
      <c r="BZR10" s="3431"/>
      <c r="BZS10" s="3431"/>
      <c r="BZT10" s="3431"/>
      <c r="BZU10" s="3431"/>
      <c r="BZV10" s="3431"/>
      <c r="BZW10" s="3431"/>
      <c r="BZX10" s="3431"/>
      <c r="BZY10" s="3431"/>
      <c r="BZZ10" s="3431"/>
      <c r="CAA10" s="3431"/>
      <c r="CAB10" s="3431"/>
      <c r="CAC10" s="3431"/>
      <c r="CAD10" s="3431"/>
      <c r="CAE10" s="3431"/>
      <c r="CAF10" s="3431"/>
      <c r="CAG10" s="3431"/>
      <c r="CAH10" s="3431"/>
      <c r="CAI10" s="3431"/>
      <c r="CAJ10" s="3431"/>
      <c r="CAK10" s="3431"/>
      <c r="CAL10" s="3431"/>
      <c r="CAM10" s="3431"/>
      <c r="CAN10" s="3431"/>
      <c r="CAO10" s="3431"/>
      <c r="CAP10" s="3431"/>
      <c r="CAQ10" s="3431"/>
      <c r="CAR10" s="3431"/>
      <c r="CAS10" s="3431"/>
      <c r="CAT10" s="3431"/>
      <c r="CAU10" s="3431"/>
      <c r="CAV10" s="3431"/>
      <c r="CAW10" s="3431"/>
      <c r="CAX10" s="3431"/>
      <c r="CAY10" s="3431"/>
      <c r="CAZ10" s="3431"/>
      <c r="CBA10" s="3431"/>
      <c r="CBB10" s="3431"/>
      <c r="CBC10" s="3431"/>
      <c r="CBD10" s="3431"/>
      <c r="CBE10" s="3431"/>
      <c r="CBF10" s="3431"/>
      <c r="CBG10" s="3431"/>
      <c r="CBH10" s="3431"/>
      <c r="CBI10" s="3431"/>
      <c r="CBJ10" s="3431"/>
      <c r="CBK10" s="3431"/>
      <c r="CBL10" s="3431"/>
      <c r="CBM10" s="3431"/>
      <c r="CBN10" s="3431"/>
      <c r="CBO10" s="3431"/>
      <c r="CBP10" s="3431"/>
      <c r="CBQ10" s="3431"/>
      <c r="CBR10" s="3431"/>
      <c r="CBS10" s="3431"/>
      <c r="CBT10" s="3431"/>
      <c r="CBU10" s="3431"/>
      <c r="CBV10" s="3431"/>
      <c r="CBW10" s="3431"/>
      <c r="CBX10" s="3431"/>
      <c r="CBY10" s="3431"/>
      <c r="CBZ10" s="3431"/>
      <c r="CCA10" s="3431"/>
      <c r="CCB10" s="3431"/>
      <c r="CCC10" s="3431"/>
      <c r="CCD10" s="3431"/>
      <c r="CCE10" s="3431"/>
      <c r="CCF10" s="3431"/>
      <c r="CCG10" s="3431"/>
      <c r="CCH10" s="3431"/>
      <c r="CCI10" s="3431"/>
      <c r="CCJ10" s="3431"/>
      <c r="CCK10" s="3431"/>
      <c r="CCL10" s="3431"/>
      <c r="CCM10" s="3431"/>
      <c r="CCN10" s="3431"/>
      <c r="CCO10" s="3431"/>
      <c r="CCP10" s="3431"/>
      <c r="CCQ10" s="3431"/>
      <c r="CCR10" s="3431"/>
      <c r="CCS10" s="3431"/>
      <c r="CCT10" s="3431"/>
      <c r="CCU10" s="3431"/>
      <c r="CCV10" s="3431"/>
      <c r="CCW10" s="3431"/>
      <c r="CCX10" s="3431"/>
      <c r="CCY10" s="3431"/>
      <c r="CCZ10" s="3431"/>
      <c r="CDA10" s="3431"/>
      <c r="CDB10" s="3431"/>
      <c r="CDC10" s="3431"/>
      <c r="CDD10" s="3431"/>
      <c r="CDE10" s="3431"/>
      <c r="CDF10" s="3431"/>
      <c r="CDG10" s="3431"/>
      <c r="CDH10" s="3431"/>
      <c r="CDI10" s="3431"/>
      <c r="CDJ10" s="3431"/>
      <c r="CDK10" s="3431"/>
      <c r="CDL10" s="3431"/>
      <c r="CDM10" s="3431"/>
      <c r="CDN10" s="3431"/>
      <c r="CDO10" s="3431"/>
      <c r="CDP10" s="3431"/>
      <c r="CDQ10" s="3431"/>
      <c r="CDR10" s="3431"/>
      <c r="CDS10" s="3431"/>
      <c r="CDT10" s="3431"/>
      <c r="CDU10" s="3431"/>
      <c r="CDV10" s="3431"/>
      <c r="CDW10" s="3431"/>
      <c r="CDX10" s="3431"/>
      <c r="CDY10" s="3431"/>
      <c r="CDZ10" s="3431"/>
      <c r="CEA10" s="3431"/>
      <c r="CEB10" s="3431"/>
      <c r="CEC10" s="3431"/>
      <c r="CED10" s="3431"/>
      <c r="CEE10" s="3431"/>
      <c r="CEF10" s="3431"/>
      <c r="CEG10" s="3431"/>
      <c r="CEH10" s="3431"/>
      <c r="CEI10" s="3431"/>
      <c r="CEJ10" s="3431"/>
      <c r="CEK10" s="3431"/>
      <c r="CEL10" s="3431"/>
      <c r="CEM10" s="3431"/>
      <c r="CEN10" s="3431"/>
      <c r="CEO10" s="3431"/>
      <c r="CEP10" s="3431"/>
      <c r="CEQ10" s="3431"/>
      <c r="CER10" s="3431"/>
      <c r="CES10" s="3431"/>
      <c r="CET10" s="3431"/>
      <c r="CEU10" s="3431"/>
      <c r="CEV10" s="3431"/>
      <c r="CEW10" s="3431"/>
      <c r="CEX10" s="3431"/>
      <c r="CEY10" s="3431"/>
      <c r="CEZ10" s="3431"/>
      <c r="CFA10" s="3431"/>
      <c r="CFB10" s="3431"/>
      <c r="CFC10" s="3431"/>
      <c r="CFD10" s="3431"/>
      <c r="CFE10" s="3431"/>
      <c r="CFF10" s="3431"/>
      <c r="CFG10" s="3431"/>
      <c r="CFH10" s="3431"/>
      <c r="CFI10" s="3431"/>
      <c r="CFJ10" s="3431"/>
      <c r="CFK10" s="3431"/>
      <c r="CFL10" s="3431"/>
      <c r="CFM10" s="3431"/>
      <c r="CFN10" s="3431"/>
      <c r="CFO10" s="3431"/>
      <c r="CFP10" s="3431"/>
      <c r="CFQ10" s="3431"/>
      <c r="CFR10" s="3431"/>
      <c r="CFS10" s="3431"/>
      <c r="CFT10" s="3431"/>
      <c r="CFU10" s="3431"/>
      <c r="CFV10" s="3431"/>
      <c r="CFW10" s="3431"/>
      <c r="CFX10" s="3431"/>
      <c r="CFY10" s="3431"/>
      <c r="CFZ10" s="3431"/>
      <c r="CGA10" s="3431"/>
      <c r="CGB10" s="3431"/>
      <c r="CGC10" s="3431"/>
      <c r="CGD10" s="3431"/>
      <c r="CGE10" s="3431"/>
      <c r="CGF10" s="3431"/>
      <c r="CGG10" s="3431"/>
      <c r="CGH10" s="3431"/>
      <c r="CGI10" s="3431"/>
      <c r="CGJ10" s="3431"/>
      <c r="CGK10" s="3431"/>
      <c r="CGL10" s="3431"/>
      <c r="CGM10" s="3431"/>
      <c r="CGN10" s="3431"/>
      <c r="CGO10" s="3431"/>
      <c r="CGP10" s="3431"/>
      <c r="CGQ10" s="3431"/>
      <c r="CGR10" s="3431"/>
      <c r="CGS10" s="3431"/>
      <c r="CGT10" s="3431"/>
      <c r="CGU10" s="3431"/>
      <c r="CGV10" s="3431"/>
      <c r="CGW10" s="3431"/>
      <c r="CGX10" s="3431"/>
      <c r="CGY10" s="3431"/>
      <c r="CGZ10" s="3431"/>
      <c r="CHA10" s="3431"/>
      <c r="CHB10" s="3431"/>
      <c r="CHC10" s="3431"/>
      <c r="CHD10" s="3431"/>
      <c r="CHE10" s="3431"/>
      <c r="CHF10" s="3431"/>
      <c r="CHG10" s="3431"/>
      <c r="CHH10" s="3431"/>
      <c r="CHI10" s="3431"/>
      <c r="CHJ10" s="3431"/>
      <c r="CHK10" s="3431"/>
      <c r="CHL10" s="3431"/>
      <c r="CHM10" s="3431"/>
      <c r="CHN10" s="3431"/>
      <c r="CHO10" s="3431"/>
      <c r="CHP10" s="3431"/>
      <c r="CHQ10" s="3431"/>
      <c r="CHR10" s="3431"/>
      <c r="CHS10" s="3431"/>
      <c r="CHT10" s="3431"/>
      <c r="CHU10" s="3431"/>
      <c r="CHV10" s="3431"/>
      <c r="CHW10" s="3431"/>
      <c r="CHX10" s="3431"/>
      <c r="CHY10" s="3431"/>
      <c r="CHZ10" s="3431"/>
      <c r="CIA10" s="3431"/>
      <c r="CIB10" s="3431"/>
      <c r="CIC10" s="3431"/>
      <c r="CID10" s="3431"/>
      <c r="CIE10" s="3431"/>
      <c r="CIF10" s="3431"/>
      <c r="CIG10" s="3431"/>
      <c r="CIH10" s="3431"/>
      <c r="CII10" s="3431"/>
      <c r="CIJ10" s="3431"/>
      <c r="CIK10" s="3431"/>
      <c r="CIL10" s="3431"/>
      <c r="CIM10" s="3431"/>
      <c r="CIN10" s="3431"/>
      <c r="CIO10" s="3431"/>
      <c r="CIP10" s="3431"/>
      <c r="CIQ10" s="3431"/>
      <c r="CIR10" s="3431"/>
      <c r="CIS10" s="3431"/>
      <c r="CIT10" s="3431"/>
      <c r="CIU10" s="3431"/>
      <c r="CIV10" s="3431"/>
      <c r="CIW10" s="3431"/>
      <c r="CIX10" s="3431"/>
      <c r="CIY10" s="3431"/>
      <c r="CIZ10" s="3431"/>
      <c r="CJA10" s="3431"/>
      <c r="CJB10" s="3431"/>
      <c r="CJC10" s="3431"/>
      <c r="CJD10" s="3431"/>
      <c r="CJE10" s="3431"/>
      <c r="CJF10" s="3431"/>
      <c r="CJG10" s="3431"/>
      <c r="CJH10" s="3431"/>
      <c r="CJI10" s="3431"/>
      <c r="CJJ10" s="3431"/>
      <c r="CJK10" s="3431"/>
      <c r="CJL10" s="3431"/>
      <c r="CJM10" s="3431"/>
      <c r="CJN10" s="3431"/>
      <c r="CJO10" s="3431"/>
      <c r="CJP10" s="3431"/>
      <c r="CJQ10" s="3431"/>
      <c r="CJR10" s="3431"/>
      <c r="CJS10" s="3431"/>
      <c r="CJT10" s="3431"/>
      <c r="CJU10" s="3431"/>
      <c r="CJV10" s="3431"/>
      <c r="CJW10" s="3431"/>
      <c r="CJX10" s="3431"/>
      <c r="CJY10" s="3431"/>
      <c r="CJZ10" s="3431"/>
      <c r="CKA10" s="3431"/>
      <c r="CKB10" s="3431"/>
      <c r="CKC10" s="3431"/>
      <c r="CKD10" s="3431"/>
      <c r="CKE10" s="3431"/>
      <c r="CKF10" s="3431"/>
      <c r="CKG10" s="3431"/>
      <c r="CKH10" s="3431"/>
      <c r="CKI10" s="3431"/>
      <c r="CKJ10" s="3431"/>
      <c r="CKK10" s="3431"/>
      <c r="CKL10" s="3431"/>
      <c r="CKM10" s="3431"/>
      <c r="CKN10" s="3431"/>
      <c r="CKO10" s="3431"/>
      <c r="CKP10" s="3431"/>
      <c r="CKQ10" s="3431"/>
      <c r="CKR10" s="3431"/>
      <c r="CKS10" s="3431"/>
      <c r="CKT10" s="3431"/>
      <c r="CKU10" s="3431"/>
      <c r="CKV10" s="3431"/>
      <c r="CKW10" s="3431"/>
      <c r="CKX10" s="3431"/>
      <c r="CKY10" s="3431"/>
      <c r="CKZ10" s="3431"/>
      <c r="CLA10" s="3431"/>
      <c r="CLB10" s="3431"/>
      <c r="CLC10" s="3431"/>
      <c r="CLD10" s="3431"/>
      <c r="CLE10" s="3431"/>
      <c r="CLF10" s="3431"/>
      <c r="CLG10" s="3431"/>
      <c r="CLH10" s="3431"/>
      <c r="CLI10" s="3431"/>
      <c r="CLJ10" s="3431"/>
      <c r="CLK10" s="3431"/>
      <c r="CLL10" s="3431"/>
      <c r="CLM10" s="3431"/>
      <c r="CLN10" s="3431"/>
      <c r="CLO10" s="3431"/>
      <c r="CLP10" s="3431"/>
      <c r="CLQ10" s="3431"/>
      <c r="CLR10" s="3431"/>
      <c r="CLS10" s="3431"/>
      <c r="CLT10" s="3431"/>
      <c r="CLU10" s="3431"/>
      <c r="CLV10" s="3431"/>
      <c r="CLW10" s="3431"/>
      <c r="CLX10" s="3431"/>
      <c r="CLY10" s="3431"/>
      <c r="CLZ10" s="3431"/>
      <c r="CMA10" s="3431"/>
      <c r="CMB10" s="3431"/>
      <c r="CMC10" s="3431"/>
      <c r="CMD10" s="3431"/>
      <c r="CME10" s="3431"/>
      <c r="CMF10" s="3431"/>
      <c r="CMG10" s="3431"/>
      <c r="CMH10" s="3431"/>
      <c r="CMI10" s="3431"/>
      <c r="CMJ10" s="3431"/>
      <c r="CMK10" s="3431"/>
      <c r="CML10" s="3431"/>
      <c r="CMM10" s="3431"/>
      <c r="CMN10" s="3431"/>
      <c r="CMO10" s="3431"/>
      <c r="CMP10" s="3431"/>
      <c r="CMQ10" s="3431"/>
      <c r="CMR10" s="3431"/>
      <c r="CMS10" s="3431"/>
      <c r="CMT10" s="3431"/>
      <c r="CMU10" s="3431"/>
      <c r="CMV10" s="3431"/>
      <c r="CMW10" s="3431"/>
      <c r="CMX10" s="3431"/>
      <c r="CMY10" s="3431"/>
      <c r="CMZ10" s="3431"/>
      <c r="CNA10" s="3431"/>
      <c r="CNB10" s="3431"/>
      <c r="CNC10" s="3431"/>
      <c r="CND10" s="3431"/>
      <c r="CNE10" s="3431"/>
      <c r="CNF10" s="3431"/>
      <c r="CNG10" s="3431"/>
      <c r="CNH10" s="3431"/>
      <c r="CNI10" s="3431"/>
      <c r="CNJ10" s="3431"/>
      <c r="CNK10" s="3431"/>
      <c r="CNL10" s="3431"/>
      <c r="CNM10" s="3431"/>
      <c r="CNN10" s="3431"/>
      <c r="CNO10" s="3431"/>
      <c r="CNP10" s="3431"/>
      <c r="CNQ10" s="3431"/>
      <c r="CNR10" s="3431"/>
      <c r="CNS10" s="3431"/>
      <c r="CNT10" s="3431"/>
      <c r="CNU10" s="3431"/>
      <c r="CNV10" s="3431"/>
      <c r="CNW10" s="3431"/>
      <c r="CNX10" s="3431"/>
      <c r="CNY10" s="3431"/>
      <c r="CNZ10" s="3431"/>
      <c r="COA10" s="3431"/>
      <c r="COB10" s="3431"/>
      <c r="COC10" s="3431"/>
      <c r="COD10" s="3431"/>
      <c r="COE10" s="3431"/>
      <c r="COF10" s="3431"/>
      <c r="COG10" s="3431"/>
      <c r="COH10" s="3431"/>
      <c r="COI10" s="3431"/>
      <c r="COJ10" s="3431"/>
      <c r="COK10" s="3431"/>
      <c r="COL10" s="3431"/>
      <c r="COM10" s="3431"/>
      <c r="CON10" s="3431"/>
      <c r="COO10" s="3431"/>
      <c r="COP10" s="3431"/>
      <c r="COQ10" s="3431"/>
      <c r="COR10" s="3431"/>
      <c r="COS10" s="3431"/>
      <c r="COT10" s="3431"/>
      <c r="COU10" s="3431"/>
      <c r="COV10" s="3431"/>
      <c r="COW10" s="3431"/>
      <c r="COX10" s="3431"/>
      <c r="COY10" s="3431"/>
      <c r="COZ10" s="3431"/>
      <c r="CPA10" s="3431"/>
      <c r="CPB10" s="3431"/>
      <c r="CPC10" s="3431"/>
      <c r="CPD10" s="3431"/>
      <c r="CPE10" s="3431"/>
      <c r="CPF10" s="3431"/>
      <c r="CPG10" s="3431"/>
      <c r="CPH10" s="3431"/>
      <c r="CPI10" s="3431"/>
      <c r="CPJ10" s="3431"/>
      <c r="CPK10" s="3431"/>
      <c r="CPL10" s="3431"/>
      <c r="CPM10" s="3431"/>
      <c r="CPN10" s="3431"/>
      <c r="CPO10" s="3431"/>
      <c r="CPP10" s="3431"/>
      <c r="CPQ10" s="3431"/>
      <c r="CPR10" s="3431"/>
      <c r="CPS10" s="3431"/>
      <c r="CPT10" s="3431"/>
      <c r="CPU10" s="3431"/>
      <c r="CPV10" s="3431"/>
      <c r="CPW10" s="3431"/>
      <c r="CPX10" s="3431"/>
      <c r="CPY10" s="3431"/>
      <c r="CPZ10" s="3431"/>
      <c r="CQA10" s="3431"/>
      <c r="CQB10" s="3431"/>
      <c r="CQC10" s="3431"/>
      <c r="CQD10" s="3431"/>
      <c r="CQE10" s="3431"/>
      <c r="CQF10" s="3431"/>
      <c r="CQG10" s="3431"/>
      <c r="CQH10" s="3431"/>
      <c r="CQI10" s="3431"/>
      <c r="CQJ10" s="3431"/>
      <c r="CQK10" s="3431"/>
      <c r="CQL10" s="3431"/>
      <c r="CQM10" s="3431"/>
      <c r="CQN10" s="3431"/>
      <c r="CQO10" s="3431"/>
      <c r="CQP10" s="3431"/>
      <c r="CQQ10" s="3431"/>
      <c r="CQR10" s="3431"/>
      <c r="CQS10" s="3431"/>
      <c r="CQT10" s="3431"/>
      <c r="CQU10" s="3431"/>
      <c r="CQV10" s="3431"/>
      <c r="CQW10" s="3431"/>
      <c r="CQX10" s="3431"/>
      <c r="CQY10" s="3431"/>
      <c r="CQZ10" s="3431"/>
      <c r="CRA10" s="3431"/>
      <c r="CRB10" s="3431"/>
      <c r="CRC10" s="3431"/>
      <c r="CRD10" s="3431"/>
      <c r="CRE10" s="3431"/>
      <c r="CRF10" s="3431"/>
      <c r="CRG10" s="3431"/>
      <c r="CRH10" s="3431"/>
      <c r="CRI10" s="3431"/>
      <c r="CRJ10" s="3431"/>
      <c r="CRK10" s="3431"/>
      <c r="CRL10" s="3431"/>
      <c r="CRM10" s="3431"/>
      <c r="CRN10" s="3431"/>
      <c r="CRO10" s="3431"/>
      <c r="CRP10" s="3431"/>
      <c r="CRQ10" s="3431"/>
      <c r="CRR10" s="3431"/>
      <c r="CRS10" s="3431"/>
      <c r="CRT10" s="3431"/>
      <c r="CRU10" s="3431"/>
      <c r="CRV10" s="3431"/>
      <c r="CRW10" s="3431"/>
      <c r="CRX10" s="3431"/>
      <c r="CRY10" s="3431"/>
      <c r="CRZ10" s="3431"/>
      <c r="CSA10" s="3431"/>
      <c r="CSB10" s="3431"/>
      <c r="CSC10" s="3431"/>
      <c r="CSD10" s="3431"/>
      <c r="CSE10" s="3431"/>
      <c r="CSF10" s="3431"/>
      <c r="CSG10" s="3431"/>
      <c r="CSH10" s="3431"/>
      <c r="CSI10" s="3431"/>
      <c r="CSJ10" s="3431"/>
      <c r="CSK10" s="3431"/>
      <c r="CSL10" s="3431"/>
      <c r="CSM10" s="3431"/>
      <c r="CSN10" s="3431"/>
      <c r="CSO10" s="3431"/>
      <c r="CSP10" s="3431"/>
      <c r="CSQ10" s="3431"/>
      <c r="CSR10" s="3431"/>
      <c r="CSS10" s="3431"/>
      <c r="CST10" s="3431"/>
      <c r="CSU10" s="3431"/>
      <c r="CSV10" s="3431"/>
      <c r="CSW10" s="3431"/>
      <c r="CSX10" s="3431"/>
      <c r="CSY10" s="3431"/>
      <c r="CSZ10" s="3431"/>
      <c r="CTA10" s="3431"/>
      <c r="CTB10" s="3431"/>
      <c r="CTC10" s="3431"/>
      <c r="CTD10" s="3431"/>
      <c r="CTE10" s="3431"/>
      <c r="CTF10" s="3431"/>
      <c r="CTG10" s="3431"/>
      <c r="CTH10" s="3431"/>
      <c r="CTI10" s="3431"/>
      <c r="CTJ10" s="3431"/>
      <c r="CTK10" s="3431"/>
      <c r="CTL10" s="3431"/>
      <c r="CTM10" s="3431"/>
      <c r="CTN10" s="3431"/>
      <c r="CTO10" s="3431"/>
      <c r="CTP10" s="3431"/>
      <c r="CTQ10" s="3431"/>
      <c r="CTR10" s="3431"/>
      <c r="CTS10" s="3431"/>
      <c r="CTT10" s="3431"/>
      <c r="CTU10" s="3431"/>
      <c r="CTV10" s="3431"/>
      <c r="CTW10" s="3431"/>
      <c r="CTX10" s="3431"/>
      <c r="CTY10" s="3431"/>
      <c r="CTZ10" s="3431"/>
      <c r="CUA10" s="3431"/>
      <c r="CUB10" s="3431"/>
      <c r="CUC10" s="3431"/>
      <c r="CUD10" s="3431"/>
      <c r="CUE10" s="3431"/>
      <c r="CUF10" s="3431"/>
      <c r="CUG10" s="3431"/>
      <c r="CUH10" s="3431"/>
      <c r="CUI10" s="3431"/>
      <c r="CUJ10" s="3431"/>
      <c r="CUK10" s="3431"/>
      <c r="CUL10" s="3431"/>
      <c r="CUM10" s="3431"/>
      <c r="CUN10" s="3431"/>
      <c r="CUO10" s="3431"/>
      <c r="CUP10" s="3431"/>
      <c r="CUQ10" s="3431"/>
      <c r="CUR10" s="3431"/>
      <c r="CUS10" s="3431"/>
      <c r="CUT10" s="3431"/>
      <c r="CUU10" s="3431"/>
      <c r="CUV10" s="3431"/>
      <c r="CUW10" s="3431"/>
      <c r="CUX10" s="3431"/>
      <c r="CUY10" s="3431"/>
      <c r="CUZ10" s="3431"/>
      <c r="CVA10" s="3431"/>
      <c r="CVB10" s="3431"/>
      <c r="CVC10" s="3431"/>
      <c r="CVD10" s="3431"/>
      <c r="CVE10" s="3431"/>
      <c r="CVF10" s="3431"/>
      <c r="CVG10" s="3431"/>
      <c r="CVH10" s="3431"/>
      <c r="CVI10" s="3431"/>
      <c r="CVJ10" s="3431"/>
      <c r="CVK10" s="3431"/>
      <c r="CVL10" s="3431"/>
      <c r="CVM10" s="3431"/>
      <c r="CVN10" s="3431"/>
      <c r="CVO10" s="3431"/>
      <c r="CVP10" s="3431"/>
      <c r="CVQ10" s="3431"/>
      <c r="CVR10" s="3431"/>
      <c r="CVS10" s="3431"/>
      <c r="CVT10" s="3431"/>
      <c r="CVU10" s="3431"/>
      <c r="CVV10" s="3431"/>
      <c r="CVW10" s="3431"/>
      <c r="CVX10" s="3431"/>
      <c r="CVY10" s="3431"/>
      <c r="CVZ10" s="3431"/>
      <c r="CWA10" s="3431"/>
      <c r="CWB10" s="3431"/>
      <c r="CWC10" s="3431"/>
      <c r="CWD10" s="3431"/>
      <c r="CWE10" s="3431"/>
      <c r="CWF10" s="3431"/>
      <c r="CWG10" s="3431"/>
      <c r="CWH10" s="3431"/>
      <c r="CWI10" s="3431"/>
      <c r="CWJ10" s="3431"/>
      <c r="CWK10" s="3431"/>
      <c r="CWL10" s="3431"/>
      <c r="CWM10" s="3431"/>
      <c r="CWN10" s="3431"/>
      <c r="CWO10" s="3431"/>
      <c r="CWP10" s="3431"/>
      <c r="CWQ10" s="3431"/>
      <c r="CWR10" s="3431"/>
      <c r="CWS10" s="3431"/>
      <c r="CWT10" s="3431"/>
      <c r="CWU10" s="3431"/>
      <c r="CWV10" s="3431"/>
      <c r="CWW10" s="3431"/>
      <c r="CWX10" s="3431"/>
      <c r="CWY10" s="3431"/>
      <c r="CWZ10" s="3431"/>
      <c r="CXA10" s="3431"/>
      <c r="CXB10" s="3431"/>
      <c r="CXC10" s="3431"/>
      <c r="CXD10" s="3431"/>
      <c r="CXE10" s="3431"/>
      <c r="CXF10" s="3431"/>
      <c r="CXG10" s="3431"/>
      <c r="CXH10" s="3431"/>
      <c r="CXI10" s="3431"/>
      <c r="CXJ10" s="3431"/>
      <c r="CXK10" s="3431"/>
      <c r="CXL10" s="3431"/>
      <c r="CXM10" s="3431"/>
      <c r="CXN10" s="3431"/>
      <c r="CXO10" s="3431"/>
      <c r="CXP10" s="3431"/>
      <c r="CXQ10" s="3431"/>
      <c r="CXR10" s="3431"/>
      <c r="CXS10" s="3431"/>
      <c r="CXT10" s="3431"/>
      <c r="CXU10" s="3431"/>
      <c r="CXV10" s="3431"/>
      <c r="CXW10" s="3431"/>
      <c r="CXX10" s="3431"/>
      <c r="CXY10" s="3431"/>
      <c r="CXZ10" s="3431"/>
      <c r="CYA10" s="3431"/>
      <c r="CYB10" s="3431"/>
      <c r="CYC10" s="3431"/>
      <c r="CYD10" s="3431"/>
      <c r="CYE10" s="3431"/>
      <c r="CYF10" s="3431"/>
      <c r="CYG10" s="3431"/>
      <c r="CYH10" s="3431"/>
      <c r="CYI10" s="3431"/>
      <c r="CYJ10" s="3431"/>
      <c r="CYK10" s="3431"/>
      <c r="CYL10" s="3431"/>
      <c r="CYM10" s="3431"/>
      <c r="CYN10" s="3431"/>
      <c r="CYO10" s="3431"/>
      <c r="CYP10" s="3431"/>
      <c r="CYQ10" s="3431"/>
      <c r="CYR10" s="3431"/>
      <c r="CYS10" s="3431"/>
      <c r="CYT10" s="3431"/>
      <c r="CYU10" s="3431"/>
      <c r="CYV10" s="3431"/>
      <c r="CYW10" s="3431"/>
      <c r="CYX10" s="3431"/>
      <c r="CYY10" s="3431"/>
      <c r="CYZ10" s="3431"/>
      <c r="CZA10" s="3431"/>
      <c r="CZB10" s="3431"/>
      <c r="CZC10" s="3431"/>
      <c r="CZD10" s="3431"/>
      <c r="CZE10" s="3431"/>
      <c r="CZF10" s="3431"/>
      <c r="CZG10" s="3431"/>
      <c r="CZH10" s="3431"/>
      <c r="CZI10" s="3431"/>
      <c r="CZJ10" s="3431"/>
      <c r="CZK10" s="3431"/>
      <c r="CZL10" s="3431"/>
      <c r="CZM10" s="3431"/>
      <c r="CZN10" s="3431"/>
      <c r="CZO10" s="3431"/>
      <c r="CZP10" s="3431"/>
      <c r="CZQ10" s="3431"/>
      <c r="CZR10" s="3431"/>
      <c r="CZS10" s="3431"/>
      <c r="CZT10" s="3431"/>
      <c r="CZU10" s="3431"/>
      <c r="CZV10" s="3431"/>
      <c r="CZW10" s="3431"/>
      <c r="CZX10" s="3431"/>
      <c r="CZY10" s="3431"/>
      <c r="CZZ10" s="3431"/>
      <c r="DAA10" s="3431"/>
      <c r="DAB10" s="3431"/>
      <c r="DAC10" s="3431"/>
      <c r="DAD10" s="3431"/>
      <c r="DAE10" s="3431"/>
      <c r="DAF10" s="3431"/>
      <c r="DAG10" s="3431"/>
      <c r="DAH10" s="3431"/>
      <c r="DAI10" s="3431"/>
      <c r="DAJ10" s="3431"/>
      <c r="DAK10" s="3431"/>
      <c r="DAL10" s="3431"/>
      <c r="DAM10" s="3431"/>
      <c r="DAN10" s="3431"/>
      <c r="DAO10" s="3431"/>
      <c r="DAP10" s="3431"/>
      <c r="DAQ10" s="3431"/>
      <c r="DAR10" s="3431"/>
      <c r="DAS10" s="3431"/>
      <c r="DAT10" s="3431"/>
      <c r="DAU10" s="3431"/>
      <c r="DAV10" s="3431"/>
      <c r="DAW10" s="3431"/>
      <c r="DAX10" s="3431"/>
      <c r="DAY10" s="3431"/>
      <c r="DAZ10" s="3431"/>
      <c r="DBA10" s="3431"/>
      <c r="DBB10" s="3431"/>
      <c r="DBC10" s="3431"/>
      <c r="DBD10" s="3431"/>
      <c r="DBE10" s="3431"/>
      <c r="DBF10" s="3431"/>
      <c r="DBG10" s="3431"/>
      <c r="DBH10" s="3431"/>
      <c r="DBI10" s="3431"/>
      <c r="DBJ10" s="3431"/>
      <c r="DBK10" s="3431"/>
      <c r="DBL10" s="3431"/>
      <c r="DBM10" s="3431"/>
      <c r="DBN10" s="3431"/>
      <c r="DBO10" s="3431"/>
      <c r="DBP10" s="3431"/>
      <c r="DBQ10" s="3431"/>
      <c r="DBR10" s="3431"/>
      <c r="DBS10" s="3431"/>
      <c r="DBT10" s="3431"/>
      <c r="DBU10" s="3431"/>
      <c r="DBV10" s="3431"/>
      <c r="DBW10" s="3431"/>
      <c r="DBX10" s="3431"/>
      <c r="DBY10" s="3431"/>
      <c r="DBZ10" s="3431"/>
      <c r="DCA10" s="3431"/>
      <c r="DCB10" s="3431"/>
      <c r="DCC10" s="3431"/>
      <c r="DCD10" s="3431"/>
      <c r="DCE10" s="3431"/>
      <c r="DCF10" s="3431"/>
      <c r="DCG10" s="3431"/>
      <c r="DCH10" s="3431"/>
      <c r="DCI10" s="3431"/>
      <c r="DCJ10" s="3431"/>
      <c r="DCK10" s="3431"/>
      <c r="DCL10" s="3431"/>
      <c r="DCM10" s="3431"/>
      <c r="DCN10" s="3431"/>
      <c r="DCO10" s="3431"/>
      <c r="DCP10" s="3431"/>
      <c r="DCQ10" s="3431"/>
      <c r="DCR10" s="3431"/>
      <c r="DCS10" s="3431"/>
      <c r="DCT10" s="3431"/>
      <c r="DCU10" s="3431"/>
      <c r="DCV10" s="3431"/>
      <c r="DCW10" s="3431"/>
      <c r="DCX10" s="3431"/>
      <c r="DCY10" s="3431"/>
      <c r="DCZ10" s="3431"/>
      <c r="DDA10" s="3431"/>
      <c r="DDB10" s="3431"/>
      <c r="DDC10" s="3431"/>
      <c r="DDD10" s="3431"/>
      <c r="DDE10" s="3431"/>
      <c r="DDF10" s="3431"/>
      <c r="DDG10" s="3431"/>
      <c r="DDH10" s="3431"/>
      <c r="DDI10" s="3431"/>
      <c r="DDJ10" s="3431"/>
      <c r="DDK10" s="3431"/>
      <c r="DDL10" s="3431"/>
      <c r="DDM10" s="3431"/>
      <c r="DDN10" s="3431"/>
      <c r="DDO10" s="3431"/>
      <c r="DDP10" s="3431"/>
      <c r="DDQ10" s="3431"/>
      <c r="DDR10" s="3431"/>
      <c r="DDS10" s="3431"/>
      <c r="DDT10" s="3431"/>
      <c r="DDU10" s="3431"/>
      <c r="DDV10" s="3431"/>
      <c r="DDW10" s="3431"/>
      <c r="DDX10" s="3431"/>
      <c r="DDY10" s="3431"/>
      <c r="DDZ10" s="3431"/>
      <c r="DEA10" s="3431"/>
      <c r="DEB10" s="3431"/>
      <c r="DEC10" s="3431"/>
      <c r="DED10" s="3431"/>
      <c r="DEE10" s="3431"/>
      <c r="DEF10" s="3431"/>
      <c r="DEG10" s="3431"/>
      <c r="DEH10" s="3431"/>
      <c r="DEI10" s="3431"/>
      <c r="DEJ10" s="3431"/>
      <c r="DEK10" s="3431"/>
      <c r="DEL10" s="3431"/>
      <c r="DEM10" s="3431"/>
      <c r="DEN10" s="3431"/>
      <c r="DEO10" s="3431"/>
      <c r="DEP10" s="3431"/>
      <c r="DEQ10" s="3431"/>
      <c r="DER10" s="3431"/>
      <c r="DES10" s="3431"/>
      <c r="DET10" s="3431"/>
      <c r="DEU10" s="3431"/>
      <c r="DEV10" s="3431"/>
      <c r="DEW10" s="3431"/>
      <c r="DEX10" s="3431"/>
      <c r="DEY10" s="3431"/>
      <c r="DEZ10" s="3431"/>
      <c r="DFA10" s="3431"/>
      <c r="DFB10" s="3431"/>
      <c r="DFC10" s="3431"/>
      <c r="DFD10" s="3431"/>
      <c r="DFE10" s="3431"/>
      <c r="DFF10" s="3431"/>
      <c r="DFG10" s="3431"/>
      <c r="DFH10" s="3431"/>
      <c r="DFI10" s="3431"/>
      <c r="DFJ10" s="3431"/>
      <c r="DFK10" s="3431"/>
      <c r="DFL10" s="3431"/>
      <c r="DFM10" s="3431"/>
      <c r="DFN10" s="3431"/>
      <c r="DFO10" s="3431"/>
      <c r="DFP10" s="3431"/>
      <c r="DFQ10" s="3431"/>
      <c r="DFR10" s="3431"/>
      <c r="DFS10" s="3431"/>
      <c r="DFT10" s="3431"/>
      <c r="DFU10" s="3431"/>
      <c r="DFV10" s="3431"/>
      <c r="DFW10" s="3431"/>
      <c r="DFX10" s="3431"/>
      <c r="DFY10" s="3431"/>
      <c r="DFZ10" s="3431"/>
      <c r="DGA10" s="3431"/>
      <c r="DGB10" s="3431"/>
      <c r="DGC10" s="3431"/>
      <c r="DGD10" s="3431"/>
      <c r="DGE10" s="3431"/>
      <c r="DGF10" s="3431"/>
      <c r="DGG10" s="3431"/>
      <c r="DGH10" s="3431"/>
      <c r="DGI10" s="3431"/>
      <c r="DGJ10" s="3431"/>
      <c r="DGK10" s="3431"/>
      <c r="DGL10" s="3431"/>
      <c r="DGM10" s="3431"/>
      <c r="DGN10" s="3431"/>
      <c r="DGO10" s="3431"/>
      <c r="DGP10" s="3431"/>
      <c r="DGQ10" s="3431"/>
      <c r="DGR10" s="3431"/>
      <c r="DGS10" s="3431"/>
      <c r="DGT10" s="3431"/>
      <c r="DGU10" s="3431"/>
      <c r="DGV10" s="3431"/>
      <c r="DGW10" s="3431"/>
      <c r="DGX10" s="3431"/>
      <c r="DGY10" s="3431"/>
      <c r="DGZ10" s="3431"/>
      <c r="DHA10" s="3431"/>
      <c r="DHB10" s="3431"/>
      <c r="DHC10" s="3431"/>
      <c r="DHD10" s="3431"/>
      <c r="DHE10" s="3431"/>
      <c r="DHF10" s="3431"/>
      <c r="DHG10" s="3431"/>
      <c r="DHH10" s="3431"/>
      <c r="DHI10" s="3431"/>
      <c r="DHJ10" s="3431"/>
      <c r="DHK10" s="3431"/>
      <c r="DHL10" s="3431"/>
      <c r="DHM10" s="3431"/>
      <c r="DHN10" s="3431"/>
      <c r="DHO10" s="3431"/>
      <c r="DHP10" s="3431"/>
      <c r="DHQ10" s="3431"/>
      <c r="DHR10" s="3431"/>
      <c r="DHS10" s="3431"/>
      <c r="DHT10" s="3431"/>
      <c r="DHU10" s="3431"/>
      <c r="DHV10" s="3431"/>
      <c r="DHW10" s="3431"/>
      <c r="DHX10" s="3431"/>
      <c r="DHY10" s="3431"/>
      <c r="DHZ10" s="3431"/>
      <c r="DIA10" s="3431"/>
      <c r="DIB10" s="3431"/>
      <c r="DIC10" s="3431"/>
      <c r="DID10" s="3431"/>
      <c r="DIE10" s="3431"/>
      <c r="DIF10" s="3431"/>
      <c r="DIG10" s="3431"/>
      <c r="DIH10" s="3431"/>
      <c r="DII10" s="3431"/>
      <c r="DIJ10" s="3431"/>
      <c r="DIK10" s="3431"/>
      <c r="DIL10" s="3431"/>
      <c r="DIM10" s="3431"/>
      <c r="DIN10" s="3431"/>
      <c r="DIO10" s="3431"/>
      <c r="DIP10" s="3431"/>
      <c r="DIQ10" s="3431"/>
      <c r="DIR10" s="3431"/>
      <c r="DIS10" s="3431"/>
      <c r="DIT10" s="3431"/>
      <c r="DIU10" s="3431"/>
      <c r="DIV10" s="3431"/>
      <c r="DIW10" s="3431"/>
      <c r="DIX10" s="3431"/>
      <c r="DIY10" s="3431"/>
      <c r="DIZ10" s="3431"/>
      <c r="DJA10" s="3431"/>
      <c r="DJB10" s="3431"/>
      <c r="DJC10" s="3431"/>
      <c r="DJD10" s="3431"/>
      <c r="DJE10" s="3431"/>
      <c r="DJF10" s="3431"/>
      <c r="DJG10" s="3431"/>
      <c r="DJH10" s="3431"/>
      <c r="DJI10" s="3431"/>
      <c r="DJJ10" s="3431"/>
      <c r="DJK10" s="3431"/>
      <c r="DJL10" s="3431"/>
      <c r="DJM10" s="3431"/>
      <c r="DJN10" s="3431"/>
      <c r="DJO10" s="3431"/>
      <c r="DJP10" s="3431"/>
      <c r="DJQ10" s="3431"/>
      <c r="DJR10" s="3431"/>
      <c r="DJS10" s="3431"/>
      <c r="DJT10" s="3431"/>
      <c r="DJU10" s="3431"/>
      <c r="DJV10" s="3431"/>
      <c r="DJW10" s="3431"/>
      <c r="DJX10" s="3431"/>
      <c r="DJY10" s="3431"/>
      <c r="DJZ10" s="3431"/>
      <c r="DKA10" s="3431"/>
      <c r="DKB10" s="3431"/>
      <c r="DKC10" s="3431"/>
      <c r="DKD10" s="3431"/>
      <c r="DKE10" s="3431"/>
      <c r="DKF10" s="3431"/>
      <c r="DKG10" s="3431"/>
      <c r="DKH10" s="3431"/>
      <c r="DKI10" s="3431"/>
      <c r="DKJ10" s="3431"/>
      <c r="DKK10" s="3431"/>
      <c r="DKL10" s="3431"/>
      <c r="DKM10" s="3431"/>
      <c r="DKN10" s="3431"/>
      <c r="DKO10" s="3431"/>
      <c r="DKP10" s="3431"/>
      <c r="DKQ10" s="3431"/>
      <c r="DKR10" s="3431"/>
      <c r="DKS10" s="3431"/>
      <c r="DKT10" s="3431"/>
      <c r="DKU10" s="3431"/>
      <c r="DKV10" s="3431"/>
      <c r="DKW10" s="3431"/>
      <c r="DKX10" s="3431"/>
      <c r="DKY10" s="3431"/>
      <c r="DKZ10" s="3431"/>
      <c r="DLA10" s="3431"/>
      <c r="DLB10" s="3431"/>
      <c r="DLC10" s="3431"/>
      <c r="DLD10" s="3431"/>
      <c r="DLE10" s="3431"/>
      <c r="DLF10" s="3431"/>
      <c r="DLG10" s="3431"/>
      <c r="DLH10" s="3431"/>
      <c r="DLI10" s="3431"/>
      <c r="DLJ10" s="3431"/>
      <c r="DLK10" s="3431"/>
      <c r="DLL10" s="3431"/>
      <c r="DLM10" s="3431"/>
      <c r="DLN10" s="3431"/>
      <c r="DLO10" s="3431"/>
      <c r="DLP10" s="3431"/>
      <c r="DLQ10" s="3431"/>
      <c r="DLR10" s="3431"/>
      <c r="DLS10" s="3431"/>
      <c r="DLT10" s="3431"/>
      <c r="DLU10" s="3431"/>
      <c r="DLV10" s="3431"/>
      <c r="DLW10" s="3431"/>
      <c r="DLX10" s="3431"/>
      <c r="DLY10" s="3431"/>
      <c r="DLZ10" s="3431"/>
      <c r="DMA10" s="3431"/>
      <c r="DMB10" s="3431"/>
      <c r="DMC10" s="3431"/>
      <c r="DMD10" s="3431"/>
      <c r="DME10" s="3431"/>
      <c r="DMF10" s="3431"/>
      <c r="DMG10" s="3431"/>
      <c r="DMH10" s="3431"/>
      <c r="DMI10" s="3431"/>
      <c r="DMJ10" s="3431"/>
      <c r="DMK10" s="3431"/>
      <c r="DML10" s="3431"/>
      <c r="DMM10" s="3431"/>
      <c r="DMN10" s="3431"/>
      <c r="DMO10" s="3431"/>
      <c r="DMP10" s="3431"/>
      <c r="DMQ10" s="3431"/>
      <c r="DMR10" s="3431"/>
      <c r="DMS10" s="3431"/>
      <c r="DMT10" s="3431"/>
      <c r="DMU10" s="3431"/>
      <c r="DMV10" s="3431"/>
      <c r="DMW10" s="3431"/>
      <c r="DMX10" s="3431"/>
      <c r="DMY10" s="3431"/>
      <c r="DMZ10" s="3431"/>
      <c r="DNA10" s="3431"/>
      <c r="DNB10" s="3431"/>
      <c r="DNC10" s="3431"/>
      <c r="DND10" s="3431"/>
      <c r="DNE10" s="3431"/>
      <c r="DNF10" s="3431"/>
      <c r="DNG10" s="3431"/>
      <c r="DNH10" s="3431"/>
      <c r="DNI10" s="3431"/>
      <c r="DNJ10" s="3431"/>
      <c r="DNK10" s="3431"/>
      <c r="DNL10" s="3431"/>
      <c r="DNM10" s="3431"/>
      <c r="DNN10" s="3431"/>
      <c r="DNO10" s="3431"/>
      <c r="DNP10" s="3431"/>
      <c r="DNQ10" s="3431"/>
      <c r="DNR10" s="3431"/>
      <c r="DNS10" s="3431"/>
      <c r="DNT10" s="3431"/>
      <c r="DNU10" s="3431"/>
      <c r="DNV10" s="3431"/>
      <c r="DNW10" s="3431"/>
      <c r="DNX10" s="3431"/>
      <c r="DNY10" s="3431"/>
      <c r="DNZ10" s="3431"/>
      <c r="DOA10" s="3431"/>
      <c r="DOB10" s="3431"/>
      <c r="DOC10" s="3431"/>
      <c r="DOD10" s="3431"/>
      <c r="DOE10" s="3431"/>
      <c r="DOF10" s="3431"/>
      <c r="DOG10" s="3431"/>
      <c r="DOH10" s="3431"/>
      <c r="DOI10" s="3431"/>
      <c r="DOJ10" s="3431"/>
      <c r="DOK10" s="3431"/>
      <c r="DOL10" s="3431"/>
      <c r="DOM10" s="3431"/>
      <c r="DON10" s="3431"/>
      <c r="DOO10" s="3431"/>
      <c r="DOP10" s="3431"/>
      <c r="DOQ10" s="3431"/>
      <c r="DOR10" s="3431"/>
      <c r="DOS10" s="3431"/>
      <c r="DOT10" s="3431"/>
      <c r="DOU10" s="3431"/>
      <c r="DOV10" s="3431"/>
      <c r="DOW10" s="3431"/>
      <c r="DOX10" s="3431"/>
      <c r="DOY10" s="3431"/>
      <c r="DOZ10" s="3431"/>
      <c r="DPA10" s="3431"/>
      <c r="DPB10" s="3431"/>
      <c r="DPC10" s="3431"/>
      <c r="DPD10" s="3431"/>
      <c r="DPE10" s="3431"/>
      <c r="DPF10" s="3431"/>
      <c r="DPG10" s="3431"/>
      <c r="DPH10" s="3431"/>
      <c r="DPI10" s="3431"/>
      <c r="DPJ10" s="3431"/>
      <c r="DPK10" s="3431"/>
      <c r="DPL10" s="3431"/>
      <c r="DPM10" s="3431"/>
      <c r="DPN10" s="3431"/>
      <c r="DPO10" s="3431"/>
      <c r="DPP10" s="3431"/>
      <c r="DPQ10" s="3431"/>
      <c r="DPR10" s="3431"/>
      <c r="DPS10" s="3431"/>
      <c r="DPT10" s="3431"/>
      <c r="DPU10" s="3431"/>
      <c r="DPV10" s="3431"/>
      <c r="DPW10" s="3431"/>
      <c r="DPX10" s="3431"/>
      <c r="DPY10" s="3431"/>
      <c r="DPZ10" s="3431"/>
      <c r="DQA10" s="3431"/>
      <c r="DQB10" s="3431"/>
      <c r="DQC10" s="3431"/>
      <c r="DQD10" s="3431"/>
      <c r="DQE10" s="3431"/>
      <c r="DQF10" s="3431"/>
      <c r="DQG10" s="3431"/>
      <c r="DQH10" s="3431"/>
      <c r="DQI10" s="3431"/>
      <c r="DQJ10" s="3431"/>
      <c r="DQK10" s="3431"/>
      <c r="DQL10" s="3431"/>
      <c r="DQM10" s="3431"/>
      <c r="DQN10" s="3431"/>
      <c r="DQO10" s="3431"/>
      <c r="DQP10" s="3431"/>
      <c r="DQQ10" s="3431"/>
      <c r="DQR10" s="3431"/>
      <c r="DQS10" s="3431"/>
      <c r="DQT10" s="3431"/>
      <c r="DQU10" s="3431"/>
      <c r="DQV10" s="3431"/>
      <c r="DQW10" s="3431"/>
      <c r="DQX10" s="3431"/>
      <c r="DQY10" s="3431"/>
      <c r="DQZ10" s="3431"/>
      <c r="DRA10" s="3431"/>
      <c r="DRB10" s="3431"/>
      <c r="DRC10" s="3431"/>
      <c r="DRD10" s="3431"/>
      <c r="DRE10" s="3431"/>
      <c r="DRF10" s="3431"/>
      <c r="DRG10" s="3431"/>
      <c r="DRH10" s="3431"/>
      <c r="DRI10" s="3431"/>
      <c r="DRJ10" s="3431"/>
      <c r="DRK10" s="3431"/>
      <c r="DRL10" s="3431"/>
      <c r="DRM10" s="3431"/>
      <c r="DRN10" s="3431"/>
      <c r="DRO10" s="3431"/>
      <c r="DRP10" s="3431"/>
      <c r="DRQ10" s="3431"/>
      <c r="DRR10" s="3431"/>
      <c r="DRS10" s="3431"/>
      <c r="DRT10" s="3431"/>
      <c r="DRU10" s="3431"/>
      <c r="DRV10" s="3431"/>
      <c r="DRW10" s="3431"/>
      <c r="DRX10" s="3431"/>
      <c r="DRY10" s="3431"/>
      <c r="DRZ10" s="3431"/>
      <c r="DSA10" s="3431"/>
      <c r="DSB10" s="3431"/>
      <c r="DSC10" s="3431"/>
      <c r="DSD10" s="3431"/>
      <c r="DSE10" s="3431"/>
      <c r="DSF10" s="3431"/>
      <c r="DSG10" s="3431"/>
      <c r="DSH10" s="3431"/>
      <c r="DSI10" s="3431"/>
      <c r="DSJ10" s="3431"/>
      <c r="DSK10" s="3431"/>
      <c r="DSL10" s="3431"/>
      <c r="DSM10" s="3431"/>
      <c r="DSN10" s="3431"/>
      <c r="DSO10" s="3431"/>
      <c r="DSP10" s="3431"/>
      <c r="DSQ10" s="3431"/>
      <c r="DSR10" s="3431"/>
      <c r="DSS10" s="3431"/>
      <c r="DST10" s="3431"/>
      <c r="DSU10" s="3431"/>
      <c r="DSV10" s="3431"/>
      <c r="DSW10" s="3431"/>
      <c r="DSX10" s="3431"/>
      <c r="DSY10" s="3431"/>
      <c r="DSZ10" s="3431"/>
      <c r="DTA10" s="3431"/>
      <c r="DTB10" s="3431"/>
      <c r="DTC10" s="3431"/>
      <c r="DTD10" s="3431"/>
      <c r="DTE10" s="3431"/>
      <c r="DTF10" s="3431"/>
      <c r="DTG10" s="3431"/>
      <c r="DTH10" s="3431"/>
      <c r="DTI10" s="3431"/>
      <c r="DTJ10" s="3431"/>
      <c r="DTK10" s="3431"/>
      <c r="DTL10" s="3431"/>
      <c r="DTM10" s="3431"/>
      <c r="DTN10" s="3431"/>
      <c r="DTO10" s="3431"/>
      <c r="DTP10" s="3431"/>
      <c r="DTQ10" s="3431"/>
      <c r="DTR10" s="3431"/>
      <c r="DTS10" s="3431"/>
      <c r="DTT10" s="3431"/>
      <c r="DTU10" s="3431"/>
      <c r="DTV10" s="3431"/>
      <c r="DTW10" s="3431"/>
      <c r="DTX10" s="3431"/>
      <c r="DTY10" s="3431"/>
      <c r="DTZ10" s="3431"/>
      <c r="DUA10" s="3431"/>
      <c r="DUB10" s="3431"/>
      <c r="DUC10" s="3431"/>
      <c r="DUD10" s="3431"/>
      <c r="DUE10" s="3431"/>
      <c r="DUF10" s="3431"/>
      <c r="DUG10" s="3431"/>
      <c r="DUH10" s="3431"/>
      <c r="DUI10" s="3431"/>
      <c r="DUJ10" s="3431"/>
      <c r="DUK10" s="3431"/>
      <c r="DUL10" s="3431"/>
      <c r="DUM10" s="3431"/>
      <c r="DUN10" s="3431"/>
      <c r="DUO10" s="3431"/>
      <c r="DUP10" s="3431"/>
      <c r="DUQ10" s="3431"/>
      <c r="DUR10" s="3431"/>
      <c r="DUS10" s="3431"/>
      <c r="DUT10" s="3431"/>
      <c r="DUU10" s="3431"/>
      <c r="DUV10" s="3431"/>
      <c r="DUW10" s="3431"/>
      <c r="DUX10" s="3431"/>
      <c r="DUY10" s="3431"/>
      <c r="DUZ10" s="3431"/>
      <c r="DVA10" s="3431"/>
      <c r="DVB10" s="3431"/>
      <c r="DVC10" s="3431"/>
      <c r="DVD10" s="3431"/>
      <c r="DVE10" s="3431"/>
      <c r="DVF10" s="3431"/>
      <c r="DVG10" s="3431"/>
      <c r="DVH10" s="3431"/>
      <c r="DVI10" s="3431"/>
      <c r="DVJ10" s="3431"/>
      <c r="DVK10" s="3431"/>
      <c r="DVL10" s="3431"/>
      <c r="DVM10" s="3431"/>
      <c r="DVN10" s="3431"/>
      <c r="DVO10" s="3431"/>
      <c r="DVP10" s="3431"/>
      <c r="DVQ10" s="3431"/>
      <c r="DVR10" s="3431"/>
      <c r="DVS10" s="3431"/>
      <c r="DVT10" s="3431"/>
      <c r="DVU10" s="3431"/>
      <c r="DVV10" s="3431"/>
      <c r="DVW10" s="3431"/>
      <c r="DVX10" s="3431"/>
      <c r="DVY10" s="3431"/>
      <c r="DVZ10" s="3431"/>
      <c r="DWA10" s="3431"/>
      <c r="DWB10" s="3431"/>
      <c r="DWC10" s="3431"/>
      <c r="DWD10" s="3431"/>
      <c r="DWE10" s="3431"/>
      <c r="DWF10" s="3431"/>
      <c r="DWG10" s="3431"/>
      <c r="DWH10" s="3431"/>
      <c r="DWI10" s="3431"/>
      <c r="DWJ10" s="3431"/>
      <c r="DWK10" s="3431"/>
      <c r="DWL10" s="3431"/>
      <c r="DWM10" s="3431"/>
      <c r="DWN10" s="3431"/>
      <c r="DWO10" s="3431"/>
      <c r="DWP10" s="3431"/>
      <c r="DWQ10" s="3431"/>
      <c r="DWR10" s="3431"/>
      <c r="DWS10" s="3431"/>
      <c r="DWT10" s="3431"/>
      <c r="DWU10" s="3431"/>
      <c r="DWV10" s="3431"/>
      <c r="DWW10" s="3431"/>
      <c r="DWX10" s="3431"/>
      <c r="DWY10" s="3431"/>
      <c r="DWZ10" s="3431"/>
      <c r="DXA10" s="3431"/>
      <c r="DXB10" s="3431"/>
      <c r="DXC10" s="3431"/>
      <c r="DXD10" s="3431"/>
      <c r="DXE10" s="3431"/>
      <c r="DXF10" s="3431"/>
      <c r="DXG10" s="3431"/>
      <c r="DXH10" s="3431"/>
      <c r="DXI10" s="3431"/>
      <c r="DXJ10" s="3431"/>
      <c r="DXK10" s="3431"/>
      <c r="DXL10" s="3431"/>
      <c r="DXM10" s="3431"/>
      <c r="DXN10" s="3431"/>
      <c r="DXO10" s="3431"/>
      <c r="DXP10" s="3431"/>
      <c r="DXQ10" s="3431"/>
      <c r="DXR10" s="3431"/>
      <c r="DXS10" s="3431"/>
      <c r="DXT10" s="3431"/>
      <c r="DXU10" s="3431"/>
      <c r="DXV10" s="3431"/>
      <c r="DXW10" s="3431"/>
      <c r="DXX10" s="3431"/>
      <c r="DXY10" s="3431"/>
      <c r="DXZ10" s="3431"/>
      <c r="DYA10" s="3431"/>
      <c r="DYB10" s="3431"/>
      <c r="DYC10" s="3431"/>
      <c r="DYD10" s="3431"/>
      <c r="DYE10" s="3431"/>
      <c r="DYF10" s="3431"/>
      <c r="DYG10" s="3431"/>
      <c r="DYH10" s="3431"/>
      <c r="DYI10" s="3431"/>
      <c r="DYJ10" s="3431"/>
      <c r="DYK10" s="3431"/>
      <c r="DYL10" s="3431"/>
      <c r="DYM10" s="3431"/>
      <c r="DYN10" s="3431"/>
      <c r="DYO10" s="3431"/>
      <c r="DYP10" s="3431"/>
      <c r="DYQ10" s="3431"/>
      <c r="DYR10" s="3431"/>
      <c r="DYS10" s="3431"/>
      <c r="DYT10" s="3431"/>
      <c r="DYU10" s="3431"/>
      <c r="DYV10" s="3431"/>
      <c r="DYW10" s="3431"/>
      <c r="DYX10" s="3431"/>
      <c r="DYY10" s="3431"/>
      <c r="DYZ10" s="3431"/>
      <c r="DZA10" s="3431"/>
      <c r="DZB10" s="3431"/>
      <c r="DZC10" s="3431"/>
      <c r="DZD10" s="3431"/>
      <c r="DZE10" s="3431"/>
      <c r="DZF10" s="3431"/>
      <c r="DZG10" s="3431"/>
      <c r="DZH10" s="3431"/>
      <c r="DZI10" s="3431"/>
      <c r="DZJ10" s="3431"/>
      <c r="DZK10" s="3431"/>
      <c r="DZL10" s="3431"/>
      <c r="DZM10" s="3431"/>
      <c r="DZN10" s="3431"/>
      <c r="DZO10" s="3431"/>
      <c r="DZP10" s="3431"/>
      <c r="DZQ10" s="3431"/>
      <c r="DZR10" s="3431"/>
      <c r="DZS10" s="3431"/>
      <c r="DZT10" s="3431"/>
      <c r="DZU10" s="3431"/>
      <c r="DZV10" s="3431"/>
      <c r="DZW10" s="3431"/>
      <c r="DZX10" s="3431"/>
      <c r="DZY10" s="3431"/>
      <c r="DZZ10" s="3431"/>
      <c r="EAA10" s="3431"/>
      <c r="EAB10" s="3431"/>
      <c r="EAC10" s="3431"/>
      <c r="EAD10" s="3431"/>
      <c r="EAE10" s="3431"/>
      <c r="EAF10" s="3431"/>
      <c r="EAG10" s="3431"/>
      <c r="EAH10" s="3431"/>
      <c r="EAI10" s="3431"/>
      <c r="EAJ10" s="3431"/>
      <c r="EAK10" s="3431"/>
      <c r="EAL10" s="3431"/>
      <c r="EAM10" s="3431"/>
      <c r="EAN10" s="3431"/>
      <c r="EAO10" s="3431"/>
      <c r="EAP10" s="3431"/>
      <c r="EAQ10" s="3431"/>
      <c r="EAR10" s="3431"/>
      <c r="EAS10" s="3431"/>
      <c r="EAT10" s="3431"/>
      <c r="EAU10" s="3431"/>
      <c r="EAV10" s="3431"/>
      <c r="EAW10" s="3431"/>
      <c r="EAX10" s="3431"/>
      <c r="EAY10" s="3431"/>
      <c r="EAZ10" s="3431"/>
      <c r="EBA10" s="3431"/>
      <c r="EBB10" s="3431"/>
      <c r="EBC10" s="3431"/>
      <c r="EBD10" s="3431"/>
      <c r="EBE10" s="3431"/>
      <c r="EBF10" s="3431"/>
      <c r="EBG10" s="3431"/>
      <c r="EBH10" s="3431"/>
      <c r="EBI10" s="3431"/>
      <c r="EBJ10" s="3431"/>
      <c r="EBK10" s="3431"/>
      <c r="EBL10" s="3431"/>
      <c r="EBM10" s="3431"/>
      <c r="EBN10" s="3431"/>
      <c r="EBO10" s="3431"/>
      <c r="EBP10" s="3431"/>
      <c r="EBQ10" s="3431"/>
      <c r="EBR10" s="3431"/>
      <c r="EBS10" s="3431"/>
      <c r="EBT10" s="3431"/>
      <c r="EBU10" s="3431"/>
      <c r="EBV10" s="3431"/>
      <c r="EBW10" s="3431"/>
      <c r="EBX10" s="3431"/>
      <c r="EBY10" s="3431"/>
      <c r="EBZ10" s="3431"/>
      <c r="ECA10" s="3431"/>
      <c r="ECB10" s="3431"/>
      <c r="ECC10" s="3431"/>
      <c r="ECD10" s="3431"/>
      <c r="ECE10" s="3431"/>
      <c r="ECF10" s="3431"/>
      <c r="ECG10" s="3431"/>
      <c r="ECH10" s="3431"/>
      <c r="ECI10" s="3431"/>
      <c r="ECJ10" s="3431"/>
      <c r="ECK10" s="3431"/>
      <c r="ECL10" s="3431"/>
      <c r="ECM10" s="3431"/>
      <c r="ECN10" s="3431"/>
      <c r="ECO10" s="3431"/>
      <c r="ECP10" s="3431"/>
      <c r="ECQ10" s="3431"/>
      <c r="ECR10" s="3431"/>
      <c r="ECS10" s="3431"/>
      <c r="ECT10" s="3431"/>
      <c r="ECU10" s="3431"/>
      <c r="ECV10" s="3431"/>
      <c r="ECW10" s="3431"/>
      <c r="ECX10" s="3431"/>
      <c r="ECY10" s="3431"/>
      <c r="ECZ10" s="3431"/>
      <c r="EDA10" s="3431"/>
      <c r="EDB10" s="3431"/>
      <c r="EDC10" s="3431"/>
      <c r="EDD10" s="3431"/>
      <c r="EDE10" s="3431"/>
      <c r="EDF10" s="3431"/>
      <c r="EDG10" s="3431"/>
      <c r="EDH10" s="3431"/>
      <c r="EDI10" s="3431"/>
      <c r="EDJ10" s="3431"/>
      <c r="EDK10" s="3431"/>
      <c r="EDL10" s="3431"/>
      <c r="EDM10" s="3431"/>
      <c r="EDN10" s="3431"/>
      <c r="EDO10" s="3431"/>
      <c r="EDP10" s="3431"/>
      <c r="EDQ10" s="3431"/>
      <c r="EDR10" s="3431"/>
      <c r="EDS10" s="3431"/>
      <c r="EDT10" s="3431"/>
      <c r="EDU10" s="3431"/>
      <c r="EDV10" s="3431"/>
      <c r="EDW10" s="3431"/>
      <c r="EDX10" s="3431"/>
      <c r="EDY10" s="3431"/>
      <c r="EDZ10" s="3431"/>
      <c r="EEA10" s="3431"/>
      <c r="EEB10" s="3431"/>
      <c r="EEC10" s="3431"/>
      <c r="EED10" s="3431"/>
      <c r="EEE10" s="3431"/>
      <c r="EEF10" s="3431"/>
      <c r="EEG10" s="3431"/>
      <c r="EEH10" s="3431"/>
      <c r="EEI10" s="3431"/>
      <c r="EEJ10" s="3431"/>
      <c r="EEK10" s="3431"/>
      <c r="EEL10" s="3431"/>
      <c r="EEM10" s="3431"/>
      <c r="EEN10" s="3431"/>
      <c r="EEO10" s="3431"/>
      <c r="EEP10" s="3431"/>
      <c r="EEQ10" s="3431"/>
      <c r="EER10" s="3431"/>
      <c r="EES10" s="3431"/>
      <c r="EET10" s="3431"/>
      <c r="EEU10" s="3431"/>
      <c r="EEV10" s="3431"/>
      <c r="EEW10" s="3431"/>
      <c r="EEX10" s="3431"/>
      <c r="EEY10" s="3431"/>
      <c r="EEZ10" s="3431"/>
      <c r="EFA10" s="3431"/>
      <c r="EFB10" s="3431"/>
      <c r="EFC10" s="3431"/>
      <c r="EFD10" s="3431"/>
      <c r="EFE10" s="3431"/>
      <c r="EFF10" s="3431"/>
      <c r="EFG10" s="3431"/>
      <c r="EFH10" s="3431"/>
      <c r="EFI10" s="3431"/>
      <c r="EFJ10" s="3431"/>
      <c r="EFK10" s="3431"/>
      <c r="EFL10" s="3431"/>
      <c r="EFM10" s="3431"/>
      <c r="EFN10" s="3431"/>
      <c r="EFO10" s="3431"/>
      <c r="EFP10" s="3431"/>
      <c r="EFQ10" s="3431"/>
      <c r="EFR10" s="3431"/>
      <c r="EFS10" s="3431"/>
      <c r="EFT10" s="3431"/>
      <c r="EFU10" s="3431"/>
      <c r="EFV10" s="3431"/>
      <c r="EFW10" s="3431"/>
      <c r="EFX10" s="3431"/>
      <c r="EFY10" s="3431"/>
      <c r="EFZ10" s="3431"/>
      <c r="EGA10" s="3431"/>
      <c r="EGB10" s="3431"/>
      <c r="EGC10" s="3431"/>
      <c r="EGD10" s="3431"/>
      <c r="EGE10" s="3431"/>
      <c r="EGF10" s="3431"/>
      <c r="EGG10" s="3431"/>
      <c r="EGH10" s="3431"/>
      <c r="EGI10" s="3431"/>
      <c r="EGJ10" s="3431"/>
      <c r="EGK10" s="3431"/>
      <c r="EGL10" s="3431"/>
      <c r="EGM10" s="3431"/>
      <c r="EGN10" s="3431"/>
      <c r="EGO10" s="3431"/>
      <c r="EGP10" s="3431"/>
      <c r="EGQ10" s="3431"/>
      <c r="EGR10" s="3431"/>
      <c r="EGS10" s="3431"/>
      <c r="EGT10" s="3431"/>
      <c r="EGU10" s="3431"/>
      <c r="EGV10" s="3431"/>
      <c r="EGW10" s="3431"/>
      <c r="EGX10" s="3431"/>
      <c r="EGY10" s="3431"/>
      <c r="EGZ10" s="3431"/>
      <c r="EHA10" s="3431"/>
      <c r="EHB10" s="3431"/>
      <c r="EHC10" s="3431"/>
      <c r="EHD10" s="3431"/>
      <c r="EHE10" s="3431"/>
      <c r="EHF10" s="3431"/>
      <c r="EHG10" s="3431"/>
      <c r="EHH10" s="3431"/>
      <c r="EHI10" s="3431"/>
      <c r="EHJ10" s="3431"/>
      <c r="EHK10" s="3431"/>
      <c r="EHL10" s="3431"/>
      <c r="EHM10" s="3431"/>
      <c r="EHN10" s="3431"/>
      <c r="EHO10" s="3431"/>
      <c r="EHP10" s="3431"/>
      <c r="EHQ10" s="3431"/>
      <c r="EHR10" s="3431"/>
      <c r="EHS10" s="3431"/>
      <c r="EHT10" s="3431"/>
      <c r="EHU10" s="3431"/>
      <c r="EHV10" s="3431"/>
      <c r="EHW10" s="3431"/>
      <c r="EHX10" s="3431"/>
      <c r="EHY10" s="3431"/>
      <c r="EHZ10" s="3431"/>
      <c r="EIA10" s="3431"/>
      <c r="EIB10" s="3431"/>
      <c r="EIC10" s="3431"/>
      <c r="EID10" s="3431"/>
      <c r="EIE10" s="3431"/>
      <c r="EIF10" s="3431"/>
      <c r="EIG10" s="3431"/>
      <c r="EIH10" s="3431"/>
      <c r="EII10" s="3431"/>
      <c r="EIJ10" s="3431"/>
      <c r="EIK10" s="3431"/>
      <c r="EIL10" s="3431"/>
      <c r="EIM10" s="3431"/>
      <c r="EIN10" s="3431"/>
      <c r="EIO10" s="3431"/>
      <c r="EIP10" s="3431"/>
      <c r="EIQ10" s="3431"/>
      <c r="EIR10" s="3431"/>
      <c r="EIS10" s="3431"/>
      <c r="EIT10" s="3431"/>
      <c r="EIU10" s="3431"/>
      <c r="EIV10" s="3431"/>
      <c r="EIW10" s="3431"/>
      <c r="EIX10" s="3431"/>
      <c r="EIY10" s="3431"/>
      <c r="EIZ10" s="3431"/>
      <c r="EJA10" s="3431"/>
      <c r="EJB10" s="3431"/>
      <c r="EJC10" s="3431"/>
      <c r="EJD10" s="3431"/>
      <c r="EJE10" s="3431"/>
      <c r="EJF10" s="3431"/>
      <c r="EJG10" s="3431"/>
      <c r="EJH10" s="3431"/>
      <c r="EJI10" s="3431"/>
      <c r="EJJ10" s="3431"/>
      <c r="EJK10" s="3431"/>
      <c r="EJL10" s="3431"/>
      <c r="EJM10" s="3431"/>
      <c r="EJN10" s="3431"/>
      <c r="EJO10" s="3431"/>
      <c r="EJP10" s="3431"/>
      <c r="EJQ10" s="3431"/>
      <c r="EJR10" s="3431"/>
      <c r="EJS10" s="3431"/>
      <c r="EJT10" s="3431"/>
      <c r="EJU10" s="3431"/>
      <c r="EJV10" s="3431"/>
      <c r="EJW10" s="3431"/>
      <c r="EJX10" s="3431"/>
      <c r="EJY10" s="3431"/>
      <c r="EJZ10" s="3431"/>
      <c r="EKA10" s="3431"/>
      <c r="EKB10" s="3431"/>
      <c r="EKC10" s="3431"/>
      <c r="EKD10" s="3431"/>
      <c r="EKE10" s="3431"/>
      <c r="EKF10" s="3431"/>
      <c r="EKG10" s="3431"/>
      <c r="EKH10" s="3431"/>
      <c r="EKI10" s="3431"/>
      <c r="EKJ10" s="3431"/>
      <c r="EKK10" s="3431"/>
      <c r="EKL10" s="3431"/>
      <c r="EKM10" s="3431"/>
      <c r="EKN10" s="3431"/>
      <c r="EKO10" s="3431"/>
      <c r="EKP10" s="3431"/>
      <c r="EKQ10" s="3431"/>
      <c r="EKR10" s="3431"/>
      <c r="EKS10" s="3431"/>
      <c r="EKT10" s="3431"/>
      <c r="EKU10" s="3431"/>
      <c r="EKV10" s="3431"/>
      <c r="EKW10" s="3431"/>
      <c r="EKX10" s="3431"/>
      <c r="EKY10" s="3431"/>
      <c r="EKZ10" s="3431"/>
      <c r="ELA10" s="3431"/>
      <c r="ELB10" s="3431"/>
      <c r="ELC10" s="3431"/>
      <c r="ELD10" s="3431"/>
      <c r="ELE10" s="3431"/>
      <c r="ELF10" s="3431"/>
      <c r="ELG10" s="3431"/>
      <c r="ELH10" s="3431"/>
      <c r="ELI10" s="3431"/>
      <c r="ELJ10" s="3431"/>
      <c r="ELK10" s="3431"/>
      <c r="ELL10" s="3431"/>
      <c r="ELM10" s="3431"/>
      <c r="ELN10" s="3431"/>
      <c r="ELO10" s="3431"/>
      <c r="ELP10" s="3431"/>
      <c r="ELQ10" s="3431"/>
      <c r="ELR10" s="3431"/>
      <c r="ELS10" s="3431"/>
      <c r="ELT10" s="3431"/>
      <c r="ELU10" s="3431"/>
      <c r="ELV10" s="3431"/>
      <c r="ELW10" s="3431"/>
      <c r="ELX10" s="3431"/>
      <c r="ELY10" s="3431"/>
      <c r="ELZ10" s="3431"/>
      <c r="EMA10" s="3431"/>
      <c r="EMB10" s="3431"/>
      <c r="EMC10" s="3431"/>
      <c r="EMD10" s="3431"/>
      <c r="EME10" s="3431"/>
      <c r="EMF10" s="3431"/>
      <c r="EMG10" s="3431"/>
      <c r="EMH10" s="3431"/>
      <c r="EMI10" s="3431"/>
      <c r="EMJ10" s="3431"/>
      <c r="EMK10" s="3431"/>
      <c r="EML10" s="3431"/>
      <c r="EMM10" s="3431"/>
      <c r="EMN10" s="3431"/>
      <c r="EMO10" s="3431"/>
      <c r="EMP10" s="3431"/>
      <c r="EMQ10" s="3431"/>
      <c r="EMR10" s="3431"/>
      <c r="EMS10" s="3431"/>
      <c r="EMT10" s="3431"/>
      <c r="EMU10" s="3431"/>
      <c r="EMV10" s="3431"/>
      <c r="EMW10" s="3431"/>
      <c r="EMX10" s="3431"/>
      <c r="EMY10" s="3431"/>
      <c r="EMZ10" s="3431"/>
      <c r="ENA10" s="3431"/>
      <c r="ENB10" s="3431"/>
      <c r="ENC10" s="3431"/>
      <c r="END10" s="3431"/>
      <c r="ENE10" s="3431"/>
      <c r="ENF10" s="3431"/>
      <c r="ENG10" s="3431"/>
      <c r="ENH10" s="3431"/>
      <c r="ENI10" s="3431"/>
      <c r="ENJ10" s="3431"/>
      <c r="ENK10" s="3431"/>
      <c r="ENL10" s="3431"/>
      <c r="ENM10" s="3431"/>
      <c r="ENN10" s="3431"/>
      <c r="ENO10" s="3431"/>
      <c r="ENP10" s="3431"/>
      <c r="ENQ10" s="3431"/>
      <c r="ENR10" s="3431"/>
      <c r="ENS10" s="3431"/>
      <c r="ENT10" s="3431"/>
      <c r="ENU10" s="3431"/>
      <c r="ENV10" s="3431"/>
      <c r="ENW10" s="3431"/>
      <c r="ENX10" s="3431"/>
      <c r="ENY10" s="3431"/>
      <c r="ENZ10" s="3431"/>
      <c r="EOA10" s="3431"/>
      <c r="EOB10" s="3431"/>
      <c r="EOC10" s="3431"/>
      <c r="EOD10" s="3431"/>
      <c r="EOE10" s="3431"/>
      <c r="EOF10" s="3431"/>
      <c r="EOG10" s="3431"/>
      <c r="EOH10" s="3431"/>
      <c r="EOI10" s="3431"/>
      <c r="EOJ10" s="3431"/>
      <c r="EOK10" s="3431"/>
      <c r="EOL10" s="3431"/>
      <c r="EOM10" s="3431"/>
      <c r="EON10" s="3431"/>
      <c r="EOO10" s="3431"/>
      <c r="EOP10" s="3431"/>
      <c r="EOQ10" s="3431"/>
      <c r="EOR10" s="3431"/>
      <c r="EOS10" s="3431"/>
      <c r="EOT10" s="3431"/>
      <c r="EOU10" s="3431"/>
      <c r="EOV10" s="3431"/>
      <c r="EOW10" s="3431"/>
      <c r="EOX10" s="3431"/>
      <c r="EOY10" s="3431"/>
      <c r="EOZ10" s="3431"/>
      <c r="EPA10" s="3431"/>
      <c r="EPB10" s="3431"/>
      <c r="EPC10" s="3431"/>
      <c r="EPD10" s="3431"/>
      <c r="EPE10" s="3431"/>
      <c r="EPF10" s="3431"/>
      <c r="EPG10" s="3431"/>
      <c r="EPH10" s="3431"/>
      <c r="EPI10" s="3431"/>
      <c r="EPJ10" s="3431"/>
      <c r="EPK10" s="3431"/>
      <c r="EPL10" s="3431"/>
      <c r="EPM10" s="3431"/>
      <c r="EPN10" s="3431"/>
      <c r="EPO10" s="3431"/>
      <c r="EPP10" s="3431"/>
      <c r="EPQ10" s="3431"/>
      <c r="EPR10" s="3431"/>
      <c r="EPS10" s="3431"/>
      <c r="EPT10" s="3431"/>
      <c r="EPU10" s="3431"/>
      <c r="EPV10" s="3431"/>
      <c r="EPW10" s="3431"/>
      <c r="EPX10" s="3431"/>
      <c r="EPY10" s="3431"/>
      <c r="EPZ10" s="3431"/>
      <c r="EQA10" s="3431"/>
      <c r="EQB10" s="3431"/>
      <c r="EQC10" s="3431"/>
      <c r="EQD10" s="3431"/>
      <c r="EQE10" s="3431"/>
      <c r="EQF10" s="3431"/>
      <c r="EQG10" s="3431"/>
      <c r="EQH10" s="3431"/>
      <c r="EQI10" s="3431"/>
      <c r="EQJ10" s="3431"/>
      <c r="EQK10" s="3431"/>
      <c r="EQL10" s="3431"/>
      <c r="EQM10" s="3431"/>
      <c r="EQN10" s="3431"/>
      <c r="EQO10" s="3431"/>
      <c r="EQP10" s="3431"/>
      <c r="EQQ10" s="3431"/>
      <c r="EQR10" s="3431"/>
      <c r="EQS10" s="3431"/>
      <c r="EQT10" s="3431"/>
      <c r="EQU10" s="3431"/>
      <c r="EQV10" s="3431"/>
      <c r="EQW10" s="3431"/>
      <c r="EQX10" s="3431"/>
      <c r="EQY10" s="3431"/>
      <c r="EQZ10" s="3431"/>
      <c r="ERA10" s="3431"/>
      <c r="ERB10" s="3431"/>
      <c r="ERC10" s="3431"/>
      <c r="ERD10" s="3431"/>
      <c r="ERE10" s="3431"/>
      <c r="ERF10" s="3431"/>
      <c r="ERG10" s="3431"/>
      <c r="ERH10" s="3431"/>
      <c r="ERI10" s="3431"/>
      <c r="ERJ10" s="3431"/>
      <c r="ERK10" s="3431"/>
      <c r="ERL10" s="3431"/>
      <c r="ERM10" s="3431"/>
      <c r="ERN10" s="3431"/>
      <c r="ERO10" s="3431"/>
      <c r="ERP10" s="3431"/>
      <c r="ERQ10" s="3431"/>
      <c r="ERR10" s="3431"/>
      <c r="ERS10" s="3431"/>
      <c r="ERT10" s="3431"/>
      <c r="ERU10" s="3431"/>
      <c r="ERV10" s="3431"/>
      <c r="ERW10" s="3431"/>
      <c r="ERX10" s="3431"/>
      <c r="ERY10" s="3431"/>
      <c r="ERZ10" s="3431"/>
      <c r="ESA10" s="3431"/>
      <c r="ESB10" s="3431"/>
      <c r="ESC10" s="3431"/>
      <c r="ESD10" s="3431"/>
      <c r="ESE10" s="3431"/>
      <c r="ESF10" s="3431"/>
      <c r="ESG10" s="3431"/>
      <c r="ESH10" s="3431"/>
      <c r="ESI10" s="3431"/>
      <c r="ESJ10" s="3431"/>
      <c r="ESK10" s="3431"/>
      <c r="ESL10" s="3431"/>
      <c r="ESM10" s="3431"/>
      <c r="ESN10" s="3431"/>
      <c r="ESO10" s="3431"/>
      <c r="ESP10" s="3431"/>
      <c r="ESQ10" s="3431"/>
      <c r="ESR10" s="3431"/>
      <c r="ESS10" s="3431"/>
      <c r="EST10" s="3431"/>
      <c r="ESU10" s="3431"/>
      <c r="ESV10" s="3431"/>
      <c r="ESW10" s="3431"/>
      <c r="ESX10" s="3431"/>
      <c r="ESY10" s="3431"/>
      <c r="ESZ10" s="3431"/>
      <c r="ETA10" s="3431"/>
      <c r="ETB10" s="3431"/>
      <c r="ETC10" s="3431"/>
      <c r="ETD10" s="3431"/>
      <c r="ETE10" s="3431"/>
      <c r="ETF10" s="3431"/>
      <c r="ETG10" s="3431"/>
      <c r="ETH10" s="3431"/>
      <c r="ETI10" s="3431"/>
      <c r="ETJ10" s="3431"/>
      <c r="ETK10" s="3431"/>
      <c r="ETL10" s="3431"/>
      <c r="ETM10" s="3431"/>
      <c r="ETN10" s="3431"/>
      <c r="ETO10" s="3431"/>
      <c r="ETP10" s="3431"/>
      <c r="ETQ10" s="3431"/>
      <c r="ETR10" s="3431"/>
      <c r="ETS10" s="3431"/>
      <c r="ETT10" s="3431"/>
      <c r="ETU10" s="3431"/>
      <c r="ETV10" s="3431"/>
      <c r="ETW10" s="3431"/>
      <c r="ETX10" s="3431"/>
      <c r="ETY10" s="3431"/>
      <c r="ETZ10" s="3431"/>
      <c r="EUA10" s="3431"/>
      <c r="EUB10" s="3431"/>
      <c r="EUC10" s="3431"/>
      <c r="EUD10" s="3431"/>
      <c r="EUE10" s="3431"/>
      <c r="EUF10" s="3431"/>
      <c r="EUG10" s="3431"/>
      <c r="EUH10" s="3431"/>
      <c r="EUI10" s="3431"/>
      <c r="EUJ10" s="3431"/>
      <c r="EUK10" s="3431"/>
      <c r="EUL10" s="3431"/>
      <c r="EUM10" s="3431"/>
      <c r="EUN10" s="3431"/>
      <c r="EUO10" s="3431"/>
      <c r="EUP10" s="3431"/>
      <c r="EUQ10" s="3431"/>
      <c r="EUR10" s="3431"/>
      <c r="EUS10" s="3431"/>
      <c r="EUT10" s="3431"/>
      <c r="EUU10" s="3431"/>
      <c r="EUV10" s="3431"/>
      <c r="EUW10" s="3431"/>
      <c r="EUX10" s="3431"/>
      <c r="EUY10" s="3431"/>
      <c r="EUZ10" s="3431"/>
      <c r="EVA10" s="3431"/>
      <c r="EVB10" s="3431"/>
      <c r="EVC10" s="3431"/>
      <c r="EVD10" s="3431"/>
      <c r="EVE10" s="3431"/>
      <c r="EVF10" s="3431"/>
      <c r="EVG10" s="3431"/>
      <c r="EVH10" s="3431"/>
      <c r="EVI10" s="3431"/>
      <c r="EVJ10" s="3431"/>
      <c r="EVK10" s="3431"/>
      <c r="EVL10" s="3431"/>
      <c r="EVM10" s="3431"/>
      <c r="EVN10" s="3431"/>
      <c r="EVO10" s="3431"/>
      <c r="EVP10" s="3431"/>
      <c r="EVQ10" s="3431"/>
      <c r="EVR10" s="3431"/>
      <c r="EVS10" s="3431"/>
      <c r="EVT10" s="3431"/>
      <c r="EVU10" s="3431"/>
      <c r="EVV10" s="3431"/>
      <c r="EVW10" s="3431"/>
      <c r="EVX10" s="3431"/>
      <c r="EVY10" s="3431"/>
      <c r="EVZ10" s="3431"/>
      <c r="EWA10" s="3431"/>
      <c r="EWB10" s="3431"/>
      <c r="EWC10" s="3431"/>
      <c r="EWD10" s="3431"/>
      <c r="EWE10" s="3431"/>
      <c r="EWF10" s="3431"/>
      <c r="EWG10" s="3431"/>
      <c r="EWH10" s="3431"/>
      <c r="EWI10" s="3431"/>
      <c r="EWJ10" s="3431"/>
      <c r="EWK10" s="3431"/>
      <c r="EWL10" s="3431"/>
      <c r="EWM10" s="3431"/>
      <c r="EWN10" s="3431"/>
      <c r="EWO10" s="3431"/>
      <c r="EWP10" s="3431"/>
      <c r="EWQ10" s="3431"/>
      <c r="EWR10" s="3431"/>
      <c r="EWS10" s="3431"/>
      <c r="EWT10" s="3431"/>
      <c r="EWU10" s="3431"/>
      <c r="EWV10" s="3431"/>
      <c r="EWW10" s="3431"/>
      <c r="EWX10" s="3431"/>
      <c r="EWY10" s="3431"/>
      <c r="EWZ10" s="3431"/>
      <c r="EXA10" s="3431"/>
      <c r="EXB10" s="3431"/>
      <c r="EXC10" s="3431"/>
      <c r="EXD10" s="3431"/>
      <c r="EXE10" s="3431"/>
      <c r="EXF10" s="3431"/>
      <c r="EXG10" s="3431"/>
      <c r="EXH10" s="3431"/>
      <c r="EXI10" s="3431"/>
      <c r="EXJ10" s="3431"/>
      <c r="EXK10" s="3431"/>
      <c r="EXL10" s="3431"/>
      <c r="EXM10" s="3431"/>
      <c r="EXN10" s="3431"/>
      <c r="EXO10" s="3431"/>
      <c r="EXP10" s="3431"/>
      <c r="EXQ10" s="3431"/>
      <c r="EXR10" s="3431"/>
      <c r="EXS10" s="3431"/>
      <c r="EXT10" s="3431"/>
      <c r="EXU10" s="3431"/>
      <c r="EXV10" s="3431"/>
      <c r="EXW10" s="3431"/>
      <c r="EXX10" s="3431"/>
      <c r="EXY10" s="3431"/>
      <c r="EXZ10" s="3431"/>
      <c r="EYA10" s="3431"/>
      <c r="EYB10" s="3431"/>
      <c r="EYC10" s="3431"/>
      <c r="EYD10" s="3431"/>
      <c r="EYE10" s="3431"/>
      <c r="EYF10" s="3431"/>
      <c r="EYG10" s="3431"/>
      <c r="EYH10" s="3431"/>
      <c r="EYI10" s="3431"/>
      <c r="EYJ10" s="3431"/>
      <c r="EYK10" s="3431"/>
      <c r="EYL10" s="3431"/>
      <c r="EYM10" s="3431"/>
      <c r="EYN10" s="3431"/>
      <c r="EYO10" s="3431"/>
      <c r="EYP10" s="3431"/>
      <c r="EYQ10" s="3431"/>
      <c r="EYR10" s="3431"/>
      <c r="EYS10" s="3431"/>
      <c r="EYT10" s="3431"/>
      <c r="EYU10" s="3431"/>
      <c r="EYV10" s="3431"/>
      <c r="EYW10" s="3431"/>
      <c r="EYX10" s="3431"/>
      <c r="EYY10" s="3431"/>
      <c r="EYZ10" s="3431"/>
      <c r="EZA10" s="3431"/>
      <c r="EZB10" s="3431"/>
      <c r="EZC10" s="3431"/>
      <c r="EZD10" s="3431"/>
      <c r="EZE10" s="3431"/>
      <c r="EZF10" s="3431"/>
      <c r="EZG10" s="3431"/>
      <c r="EZH10" s="3431"/>
      <c r="EZI10" s="3431"/>
      <c r="EZJ10" s="3431"/>
      <c r="EZK10" s="3431"/>
      <c r="EZL10" s="3431"/>
      <c r="EZM10" s="3431"/>
      <c r="EZN10" s="3431"/>
      <c r="EZO10" s="3431"/>
      <c r="EZP10" s="3431"/>
      <c r="EZQ10" s="3431"/>
      <c r="EZR10" s="3431"/>
      <c r="EZS10" s="3431"/>
      <c r="EZT10" s="3431"/>
      <c r="EZU10" s="3431"/>
      <c r="EZV10" s="3431"/>
      <c r="EZW10" s="3431"/>
      <c r="EZX10" s="3431"/>
      <c r="EZY10" s="3431"/>
      <c r="EZZ10" s="3431"/>
      <c r="FAA10" s="3431"/>
      <c r="FAB10" s="3431"/>
      <c r="FAC10" s="3431"/>
      <c r="FAD10" s="3431"/>
      <c r="FAE10" s="3431"/>
      <c r="FAF10" s="3431"/>
      <c r="FAG10" s="3431"/>
      <c r="FAH10" s="3431"/>
      <c r="FAI10" s="3431"/>
      <c r="FAJ10" s="3431"/>
      <c r="FAK10" s="3431"/>
      <c r="FAL10" s="3431"/>
      <c r="FAM10" s="3431"/>
      <c r="FAN10" s="3431"/>
      <c r="FAO10" s="3431"/>
      <c r="FAP10" s="3431"/>
      <c r="FAQ10" s="3431"/>
      <c r="FAR10" s="3431"/>
      <c r="FAS10" s="3431"/>
      <c r="FAT10" s="3431"/>
      <c r="FAU10" s="3431"/>
      <c r="FAV10" s="3431"/>
      <c r="FAW10" s="3431"/>
      <c r="FAX10" s="3431"/>
      <c r="FAY10" s="3431"/>
      <c r="FAZ10" s="3431"/>
      <c r="FBA10" s="3431"/>
      <c r="FBB10" s="3431"/>
      <c r="FBC10" s="3431"/>
      <c r="FBD10" s="3431"/>
      <c r="FBE10" s="3431"/>
      <c r="FBF10" s="3431"/>
      <c r="FBG10" s="3431"/>
      <c r="FBH10" s="3431"/>
      <c r="FBI10" s="3431"/>
      <c r="FBJ10" s="3431"/>
      <c r="FBK10" s="3431"/>
      <c r="FBL10" s="3431"/>
      <c r="FBM10" s="3431"/>
      <c r="FBN10" s="3431"/>
      <c r="FBO10" s="3431"/>
      <c r="FBP10" s="3431"/>
      <c r="FBQ10" s="3431"/>
      <c r="FBR10" s="3431"/>
      <c r="FBS10" s="3431"/>
      <c r="FBT10" s="3431"/>
      <c r="FBU10" s="3431"/>
      <c r="FBV10" s="3431"/>
      <c r="FBW10" s="3431"/>
      <c r="FBX10" s="3431"/>
      <c r="FBY10" s="3431"/>
      <c r="FBZ10" s="3431"/>
      <c r="FCA10" s="3431"/>
      <c r="FCB10" s="3431"/>
      <c r="FCC10" s="3431"/>
      <c r="FCD10" s="3431"/>
      <c r="FCE10" s="3431"/>
      <c r="FCF10" s="3431"/>
      <c r="FCG10" s="3431"/>
      <c r="FCH10" s="3431"/>
      <c r="FCI10" s="3431"/>
      <c r="FCJ10" s="3431"/>
      <c r="FCK10" s="3431"/>
      <c r="FCL10" s="3431"/>
      <c r="FCM10" s="3431"/>
      <c r="FCN10" s="3431"/>
      <c r="FCO10" s="3431"/>
      <c r="FCP10" s="3431"/>
      <c r="FCQ10" s="3431"/>
      <c r="FCR10" s="3431"/>
      <c r="FCS10" s="3431"/>
      <c r="FCT10" s="3431"/>
      <c r="FCU10" s="3431"/>
      <c r="FCV10" s="3431"/>
      <c r="FCW10" s="3431"/>
      <c r="FCX10" s="3431"/>
      <c r="FCY10" s="3431"/>
      <c r="FCZ10" s="3431"/>
      <c r="FDA10" s="3431"/>
      <c r="FDB10" s="3431"/>
      <c r="FDC10" s="3431"/>
      <c r="FDD10" s="3431"/>
      <c r="FDE10" s="3431"/>
      <c r="FDF10" s="3431"/>
      <c r="FDG10" s="3431"/>
      <c r="FDH10" s="3431"/>
      <c r="FDI10" s="3431"/>
      <c r="FDJ10" s="3431"/>
      <c r="FDK10" s="3431"/>
      <c r="FDL10" s="3431"/>
      <c r="FDM10" s="3431"/>
      <c r="FDN10" s="3431"/>
      <c r="FDO10" s="3431"/>
      <c r="FDP10" s="3431"/>
      <c r="FDQ10" s="3431"/>
      <c r="FDR10" s="3431"/>
      <c r="FDS10" s="3431"/>
      <c r="FDT10" s="3431"/>
      <c r="FDU10" s="3431"/>
      <c r="FDV10" s="3431"/>
      <c r="FDW10" s="3431"/>
      <c r="FDX10" s="3431"/>
      <c r="FDY10" s="3431"/>
      <c r="FDZ10" s="3431"/>
      <c r="FEA10" s="3431"/>
      <c r="FEB10" s="3431"/>
      <c r="FEC10" s="3431"/>
      <c r="FED10" s="3431"/>
      <c r="FEE10" s="3431"/>
      <c r="FEF10" s="3431"/>
      <c r="FEG10" s="3431"/>
      <c r="FEH10" s="3431"/>
      <c r="FEI10" s="3431"/>
      <c r="FEJ10" s="3431"/>
      <c r="FEK10" s="3431"/>
      <c r="FEL10" s="3431"/>
      <c r="FEM10" s="3431"/>
      <c r="FEN10" s="3431"/>
      <c r="FEO10" s="3431"/>
      <c r="FEP10" s="3431"/>
      <c r="FEQ10" s="3431"/>
      <c r="FER10" s="3431"/>
      <c r="FES10" s="3431"/>
      <c r="FET10" s="3431"/>
      <c r="FEU10" s="3431"/>
      <c r="FEV10" s="3431"/>
      <c r="FEW10" s="3431"/>
      <c r="FEX10" s="3431"/>
      <c r="FEY10" s="3431"/>
      <c r="FEZ10" s="3431"/>
      <c r="FFA10" s="3431"/>
      <c r="FFB10" s="3431"/>
      <c r="FFC10" s="3431"/>
      <c r="FFD10" s="3431"/>
      <c r="FFE10" s="3431"/>
      <c r="FFF10" s="3431"/>
      <c r="FFG10" s="3431"/>
      <c r="FFH10" s="3431"/>
      <c r="FFI10" s="3431"/>
      <c r="FFJ10" s="3431"/>
      <c r="FFK10" s="3431"/>
      <c r="FFL10" s="3431"/>
      <c r="FFM10" s="3431"/>
      <c r="FFN10" s="3431"/>
      <c r="FFO10" s="3431"/>
      <c r="FFP10" s="3431"/>
      <c r="FFQ10" s="3431"/>
      <c r="FFR10" s="3431"/>
      <c r="FFS10" s="3431"/>
      <c r="FFT10" s="3431"/>
      <c r="FFU10" s="3431"/>
      <c r="FFV10" s="3431"/>
      <c r="FFW10" s="3431"/>
      <c r="FFX10" s="3431"/>
      <c r="FFY10" s="3431"/>
      <c r="FFZ10" s="3431"/>
      <c r="FGA10" s="3431"/>
      <c r="FGB10" s="3431"/>
      <c r="FGC10" s="3431"/>
      <c r="FGD10" s="3431"/>
      <c r="FGE10" s="3431"/>
      <c r="FGF10" s="3431"/>
      <c r="FGG10" s="3431"/>
      <c r="FGH10" s="3431"/>
      <c r="FGI10" s="3431"/>
      <c r="FGJ10" s="3431"/>
      <c r="FGK10" s="3431"/>
      <c r="FGL10" s="3431"/>
      <c r="FGM10" s="3431"/>
      <c r="FGN10" s="3431"/>
      <c r="FGO10" s="3431"/>
      <c r="FGP10" s="3431"/>
      <c r="FGQ10" s="3431"/>
      <c r="FGR10" s="3431"/>
      <c r="FGS10" s="3431"/>
      <c r="FGT10" s="3431"/>
      <c r="FGU10" s="3431"/>
      <c r="FGV10" s="3431"/>
      <c r="FGW10" s="3431"/>
      <c r="FGX10" s="3431"/>
      <c r="FGY10" s="3431"/>
      <c r="FGZ10" s="3431"/>
      <c r="FHA10" s="3431"/>
      <c r="FHB10" s="3431"/>
      <c r="FHC10" s="3431"/>
      <c r="FHD10" s="3431"/>
      <c r="FHE10" s="3431"/>
      <c r="FHF10" s="3431"/>
      <c r="FHG10" s="3431"/>
      <c r="FHH10" s="3431"/>
      <c r="FHI10" s="3431"/>
      <c r="FHJ10" s="3431"/>
      <c r="FHK10" s="3431"/>
      <c r="FHL10" s="3431"/>
      <c r="FHM10" s="3431"/>
      <c r="FHN10" s="3431"/>
      <c r="FHO10" s="3431"/>
      <c r="FHP10" s="3431"/>
      <c r="FHQ10" s="3431"/>
      <c r="FHR10" s="3431"/>
      <c r="FHS10" s="3431"/>
      <c r="FHT10" s="3431"/>
      <c r="FHU10" s="3431"/>
      <c r="FHV10" s="3431"/>
      <c r="FHW10" s="3431"/>
      <c r="FHX10" s="3431"/>
      <c r="FHY10" s="3431"/>
      <c r="FHZ10" s="3431"/>
      <c r="FIA10" s="3431"/>
      <c r="FIB10" s="3431"/>
      <c r="FIC10" s="3431"/>
      <c r="FID10" s="3431"/>
      <c r="FIE10" s="3431"/>
      <c r="FIF10" s="3431"/>
      <c r="FIG10" s="3431"/>
      <c r="FIH10" s="3431"/>
      <c r="FII10" s="3431"/>
      <c r="FIJ10" s="3431"/>
      <c r="FIK10" s="3431"/>
      <c r="FIL10" s="3431"/>
      <c r="FIM10" s="3431"/>
      <c r="FIN10" s="3431"/>
      <c r="FIO10" s="3431"/>
      <c r="FIP10" s="3431"/>
      <c r="FIQ10" s="3431"/>
      <c r="FIR10" s="3431"/>
      <c r="FIS10" s="3431"/>
      <c r="FIT10" s="3431"/>
      <c r="FIU10" s="3431"/>
      <c r="FIV10" s="3431"/>
      <c r="FIW10" s="3431"/>
      <c r="FIX10" s="3431"/>
      <c r="FIY10" s="3431"/>
      <c r="FIZ10" s="3431"/>
      <c r="FJA10" s="3431"/>
      <c r="FJB10" s="3431"/>
      <c r="FJC10" s="3431"/>
      <c r="FJD10" s="3431"/>
      <c r="FJE10" s="3431"/>
      <c r="FJF10" s="3431"/>
      <c r="FJG10" s="3431"/>
      <c r="FJH10" s="3431"/>
      <c r="FJI10" s="3431"/>
      <c r="FJJ10" s="3431"/>
      <c r="FJK10" s="3431"/>
      <c r="FJL10" s="3431"/>
      <c r="FJM10" s="3431"/>
      <c r="FJN10" s="3431"/>
      <c r="FJO10" s="3431"/>
      <c r="FJP10" s="3431"/>
      <c r="FJQ10" s="3431"/>
      <c r="FJR10" s="3431"/>
      <c r="FJS10" s="3431"/>
      <c r="FJT10" s="3431"/>
      <c r="FJU10" s="3431"/>
      <c r="FJV10" s="3431"/>
      <c r="FJW10" s="3431"/>
      <c r="FJX10" s="3431"/>
      <c r="FJY10" s="3431"/>
      <c r="FJZ10" s="3431"/>
      <c r="FKA10" s="3431"/>
      <c r="FKB10" s="3431"/>
      <c r="FKC10" s="3431"/>
      <c r="FKD10" s="3431"/>
      <c r="FKE10" s="3431"/>
      <c r="FKF10" s="3431"/>
      <c r="FKG10" s="3431"/>
      <c r="FKH10" s="3431"/>
      <c r="FKI10" s="3431"/>
      <c r="FKJ10" s="3431"/>
      <c r="FKK10" s="3431"/>
      <c r="FKL10" s="3431"/>
      <c r="FKM10" s="3431"/>
      <c r="FKN10" s="3431"/>
      <c r="FKO10" s="3431"/>
      <c r="FKP10" s="3431"/>
      <c r="FKQ10" s="3431"/>
      <c r="FKR10" s="3431"/>
      <c r="FKS10" s="3431"/>
      <c r="FKT10" s="3431"/>
      <c r="FKU10" s="3431"/>
      <c r="FKV10" s="3431"/>
      <c r="FKW10" s="3431"/>
      <c r="FKX10" s="3431"/>
      <c r="FKY10" s="3431"/>
      <c r="FKZ10" s="3431"/>
      <c r="FLA10" s="3431"/>
      <c r="FLB10" s="3431"/>
      <c r="FLC10" s="3431"/>
      <c r="FLD10" s="3431"/>
      <c r="FLE10" s="3431"/>
      <c r="FLF10" s="3431"/>
      <c r="FLG10" s="3431"/>
      <c r="FLH10" s="3431"/>
      <c r="FLI10" s="3431"/>
      <c r="FLJ10" s="3431"/>
      <c r="FLK10" s="3431"/>
      <c r="FLL10" s="3431"/>
      <c r="FLM10" s="3431"/>
      <c r="FLN10" s="3431"/>
      <c r="FLO10" s="3431"/>
      <c r="FLP10" s="3431"/>
      <c r="FLQ10" s="3431"/>
      <c r="FLR10" s="3431"/>
      <c r="FLS10" s="3431"/>
      <c r="FLT10" s="3431"/>
      <c r="FLU10" s="3431"/>
      <c r="FLV10" s="3431"/>
      <c r="FLW10" s="3431"/>
      <c r="FLX10" s="3431"/>
      <c r="FLY10" s="3431"/>
      <c r="FLZ10" s="3431"/>
      <c r="FMA10" s="3431"/>
      <c r="FMB10" s="3431"/>
      <c r="FMC10" s="3431"/>
      <c r="FMD10" s="3431"/>
      <c r="FME10" s="3431"/>
      <c r="FMF10" s="3431"/>
      <c r="FMG10" s="3431"/>
      <c r="FMH10" s="3431"/>
      <c r="FMI10" s="3431"/>
      <c r="FMJ10" s="3431"/>
      <c r="FMK10" s="3431"/>
      <c r="FML10" s="3431"/>
      <c r="FMM10" s="3431"/>
      <c r="FMN10" s="3431"/>
      <c r="FMO10" s="3431"/>
      <c r="FMP10" s="3431"/>
      <c r="FMQ10" s="3431"/>
      <c r="FMR10" s="3431"/>
      <c r="FMS10" s="3431"/>
      <c r="FMT10" s="3431"/>
      <c r="FMU10" s="3431"/>
      <c r="FMV10" s="3431"/>
      <c r="FMW10" s="3431"/>
      <c r="FMX10" s="3431"/>
      <c r="FMY10" s="3431"/>
      <c r="FMZ10" s="3431"/>
      <c r="FNA10" s="3431"/>
      <c r="FNB10" s="3431"/>
      <c r="FNC10" s="3431"/>
      <c r="FND10" s="3431"/>
      <c r="FNE10" s="3431"/>
      <c r="FNF10" s="3431"/>
      <c r="FNG10" s="3431"/>
      <c r="FNH10" s="3431"/>
      <c r="FNI10" s="3431"/>
      <c r="FNJ10" s="3431"/>
      <c r="FNK10" s="3431"/>
      <c r="FNL10" s="3431"/>
      <c r="FNM10" s="3431"/>
      <c r="FNN10" s="3431"/>
      <c r="FNO10" s="3431"/>
      <c r="FNP10" s="3431"/>
      <c r="FNQ10" s="3431"/>
      <c r="FNR10" s="3431"/>
      <c r="FNS10" s="3431"/>
      <c r="FNT10" s="3431"/>
      <c r="FNU10" s="3431"/>
      <c r="FNV10" s="3431"/>
      <c r="FNW10" s="3431"/>
      <c r="FNX10" s="3431"/>
      <c r="FNY10" s="3431"/>
      <c r="FNZ10" s="3431"/>
      <c r="FOA10" s="3431"/>
      <c r="FOB10" s="3431"/>
      <c r="FOC10" s="3431"/>
      <c r="FOD10" s="3431"/>
      <c r="FOE10" s="3431"/>
      <c r="FOF10" s="3431"/>
      <c r="FOG10" s="3431"/>
      <c r="FOH10" s="3431"/>
      <c r="FOI10" s="3431"/>
      <c r="FOJ10" s="3431"/>
      <c r="FOK10" s="3431"/>
      <c r="FOL10" s="3431"/>
      <c r="FOM10" s="3431"/>
      <c r="FON10" s="3431"/>
      <c r="FOO10" s="3431"/>
      <c r="FOP10" s="3431"/>
      <c r="FOQ10" s="3431"/>
      <c r="FOR10" s="3431"/>
      <c r="FOS10" s="3431"/>
      <c r="FOT10" s="3431"/>
      <c r="FOU10" s="3431"/>
      <c r="FOV10" s="3431"/>
      <c r="FOW10" s="3431"/>
      <c r="FOX10" s="3431"/>
      <c r="FOY10" s="3431"/>
      <c r="FOZ10" s="3431"/>
      <c r="FPA10" s="3431"/>
      <c r="FPB10" s="3431"/>
      <c r="FPC10" s="3431"/>
      <c r="FPD10" s="3431"/>
      <c r="FPE10" s="3431"/>
      <c r="FPF10" s="3431"/>
      <c r="FPG10" s="3431"/>
      <c r="FPH10" s="3431"/>
      <c r="FPI10" s="3431"/>
      <c r="FPJ10" s="3431"/>
      <c r="FPK10" s="3431"/>
      <c r="FPL10" s="3431"/>
      <c r="FPM10" s="3431"/>
      <c r="FPN10" s="3431"/>
      <c r="FPO10" s="3431"/>
      <c r="FPP10" s="3431"/>
      <c r="FPQ10" s="3431"/>
      <c r="FPR10" s="3431"/>
      <c r="FPS10" s="3431"/>
      <c r="FPT10" s="3431"/>
      <c r="FPU10" s="3431"/>
      <c r="FPV10" s="3431"/>
      <c r="FPW10" s="3431"/>
      <c r="FPX10" s="3431"/>
      <c r="FPY10" s="3431"/>
      <c r="FPZ10" s="3431"/>
      <c r="FQA10" s="3431"/>
      <c r="FQB10" s="3431"/>
      <c r="FQC10" s="3431"/>
      <c r="FQD10" s="3431"/>
      <c r="FQE10" s="3431"/>
      <c r="FQF10" s="3431"/>
      <c r="FQG10" s="3431"/>
      <c r="FQH10" s="3431"/>
      <c r="FQI10" s="3431"/>
      <c r="FQJ10" s="3431"/>
      <c r="FQK10" s="3431"/>
      <c r="FQL10" s="3431"/>
      <c r="FQM10" s="3431"/>
      <c r="FQN10" s="3431"/>
      <c r="FQO10" s="3431"/>
      <c r="FQP10" s="3431"/>
      <c r="FQQ10" s="3431"/>
      <c r="FQR10" s="3431"/>
      <c r="FQS10" s="3431"/>
      <c r="FQT10" s="3431"/>
      <c r="FQU10" s="3431"/>
      <c r="FQV10" s="3431"/>
      <c r="FQW10" s="3431"/>
      <c r="FQX10" s="3431"/>
      <c r="FQY10" s="3431"/>
      <c r="FQZ10" s="3431"/>
      <c r="FRA10" s="3431"/>
      <c r="FRB10" s="3431"/>
      <c r="FRC10" s="3431"/>
      <c r="FRD10" s="3431"/>
      <c r="FRE10" s="3431"/>
      <c r="FRF10" s="3431"/>
      <c r="FRG10" s="3431"/>
      <c r="FRH10" s="3431"/>
      <c r="FRI10" s="3431"/>
      <c r="FRJ10" s="3431"/>
      <c r="FRK10" s="3431"/>
      <c r="FRL10" s="3431"/>
      <c r="FRM10" s="3431"/>
      <c r="FRN10" s="3431"/>
      <c r="FRO10" s="3431"/>
      <c r="FRP10" s="3431"/>
      <c r="FRQ10" s="3431"/>
      <c r="FRR10" s="3431"/>
      <c r="FRS10" s="3431"/>
      <c r="FRT10" s="3431"/>
      <c r="FRU10" s="3431"/>
      <c r="FRV10" s="3431"/>
      <c r="FRW10" s="3431"/>
      <c r="FRX10" s="3431"/>
      <c r="FRY10" s="3431"/>
      <c r="FRZ10" s="3431"/>
      <c r="FSA10" s="3431"/>
      <c r="FSB10" s="3431"/>
      <c r="FSC10" s="3431"/>
      <c r="FSD10" s="3431"/>
      <c r="FSE10" s="3431"/>
      <c r="FSF10" s="3431"/>
      <c r="FSG10" s="3431"/>
      <c r="FSH10" s="3431"/>
      <c r="FSI10" s="3431"/>
      <c r="FSJ10" s="3431"/>
      <c r="FSK10" s="3431"/>
      <c r="FSL10" s="3431"/>
      <c r="FSM10" s="3431"/>
      <c r="FSN10" s="3431"/>
      <c r="FSO10" s="3431"/>
      <c r="FSP10" s="3431"/>
      <c r="FSQ10" s="3431"/>
      <c r="FSR10" s="3431"/>
      <c r="FSS10" s="3431"/>
      <c r="FST10" s="3431"/>
      <c r="FSU10" s="3431"/>
      <c r="FSV10" s="3431"/>
      <c r="FSW10" s="3431"/>
      <c r="FSX10" s="3431"/>
      <c r="FSY10" s="3431"/>
      <c r="FSZ10" s="3431"/>
      <c r="FTA10" s="3431"/>
      <c r="FTB10" s="3431"/>
      <c r="FTC10" s="3431"/>
      <c r="FTD10" s="3431"/>
      <c r="FTE10" s="3431"/>
      <c r="FTF10" s="3431"/>
      <c r="FTG10" s="3431"/>
      <c r="FTH10" s="3431"/>
      <c r="FTI10" s="3431"/>
      <c r="FTJ10" s="3431"/>
      <c r="FTK10" s="3431"/>
      <c r="FTL10" s="3431"/>
      <c r="FTM10" s="3431"/>
      <c r="FTN10" s="3431"/>
      <c r="FTO10" s="3431"/>
      <c r="FTP10" s="3431"/>
      <c r="FTQ10" s="3431"/>
      <c r="FTR10" s="3431"/>
      <c r="FTS10" s="3431"/>
      <c r="FTT10" s="3431"/>
      <c r="FTU10" s="3431"/>
      <c r="FTV10" s="3431"/>
      <c r="FTW10" s="3431"/>
      <c r="FTX10" s="3431"/>
      <c r="FTY10" s="3431"/>
      <c r="FTZ10" s="3431"/>
      <c r="FUA10" s="3431"/>
      <c r="FUB10" s="3431"/>
      <c r="FUC10" s="3431"/>
      <c r="FUD10" s="3431"/>
      <c r="FUE10" s="3431"/>
      <c r="FUF10" s="3431"/>
      <c r="FUG10" s="3431"/>
      <c r="FUH10" s="3431"/>
      <c r="FUI10" s="3431"/>
      <c r="FUJ10" s="3431"/>
      <c r="FUK10" s="3431"/>
      <c r="FUL10" s="3431"/>
      <c r="FUM10" s="3431"/>
      <c r="FUN10" s="3431"/>
      <c r="FUO10" s="3431"/>
      <c r="FUP10" s="3431"/>
      <c r="FUQ10" s="3431"/>
      <c r="FUR10" s="3431"/>
      <c r="FUS10" s="3431"/>
      <c r="FUT10" s="3431"/>
      <c r="FUU10" s="3431"/>
      <c r="FUV10" s="3431"/>
      <c r="FUW10" s="3431"/>
      <c r="FUX10" s="3431"/>
      <c r="FUY10" s="3431"/>
      <c r="FUZ10" s="3431"/>
      <c r="FVA10" s="3431"/>
      <c r="FVB10" s="3431"/>
      <c r="FVC10" s="3431"/>
      <c r="FVD10" s="3431"/>
      <c r="FVE10" s="3431"/>
      <c r="FVF10" s="3431"/>
      <c r="FVG10" s="3431"/>
      <c r="FVH10" s="3431"/>
      <c r="FVI10" s="3431"/>
      <c r="FVJ10" s="3431"/>
      <c r="FVK10" s="3431"/>
      <c r="FVL10" s="3431"/>
      <c r="FVM10" s="3431"/>
      <c r="FVN10" s="3431"/>
      <c r="FVO10" s="3431"/>
      <c r="FVP10" s="3431"/>
      <c r="FVQ10" s="3431"/>
      <c r="FVR10" s="3431"/>
      <c r="FVS10" s="3431"/>
      <c r="FVT10" s="3431"/>
      <c r="FVU10" s="3431"/>
      <c r="FVV10" s="3431"/>
      <c r="FVW10" s="3431"/>
      <c r="FVX10" s="3431"/>
      <c r="FVY10" s="3431"/>
      <c r="FVZ10" s="3431"/>
      <c r="FWA10" s="3431"/>
      <c r="FWB10" s="3431"/>
      <c r="FWC10" s="3431"/>
      <c r="FWD10" s="3431"/>
      <c r="FWE10" s="3431"/>
      <c r="FWF10" s="3431"/>
      <c r="FWG10" s="3431"/>
      <c r="FWH10" s="3431"/>
      <c r="FWI10" s="3431"/>
      <c r="FWJ10" s="3431"/>
      <c r="FWK10" s="3431"/>
      <c r="FWL10" s="3431"/>
      <c r="FWM10" s="3431"/>
      <c r="FWN10" s="3431"/>
      <c r="FWO10" s="3431"/>
      <c r="FWP10" s="3431"/>
      <c r="FWQ10" s="3431"/>
      <c r="FWR10" s="3431"/>
      <c r="FWS10" s="3431"/>
      <c r="FWT10" s="3431"/>
      <c r="FWU10" s="3431"/>
      <c r="FWV10" s="3431"/>
      <c r="FWW10" s="3431"/>
      <c r="FWX10" s="3431"/>
      <c r="FWY10" s="3431"/>
      <c r="FWZ10" s="3431"/>
      <c r="FXA10" s="3431"/>
      <c r="FXB10" s="3431"/>
      <c r="FXC10" s="3431"/>
      <c r="FXD10" s="3431"/>
      <c r="FXE10" s="3431"/>
      <c r="FXF10" s="3431"/>
      <c r="FXG10" s="3431"/>
      <c r="FXH10" s="3431"/>
      <c r="FXI10" s="3431"/>
      <c r="FXJ10" s="3431"/>
      <c r="FXK10" s="3431"/>
      <c r="FXL10" s="3431"/>
      <c r="FXM10" s="3431"/>
      <c r="FXN10" s="3431"/>
      <c r="FXO10" s="3431"/>
      <c r="FXP10" s="3431"/>
      <c r="FXQ10" s="3431"/>
      <c r="FXR10" s="3431"/>
      <c r="FXS10" s="3431"/>
      <c r="FXT10" s="3431"/>
      <c r="FXU10" s="3431"/>
      <c r="FXV10" s="3431"/>
      <c r="FXW10" s="3431"/>
      <c r="FXX10" s="3431"/>
      <c r="FXY10" s="3431"/>
      <c r="FXZ10" s="3431"/>
      <c r="FYA10" s="3431"/>
      <c r="FYB10" s="3431"/>
      <c r="FYC10" s="3431"/>
      <c r="FYD10" s="3431"/>
      <c r="FYE10" s="3431"/>
      <c r="FYF10" s="3431"/>
      <c r="FYG10" s="3431"/>
      <c r="FYH10" s="3431"/>
      <c r="FYI10" s="3431"/>
      <c r="FYJ10" s="3431"/>
      <c r="FYK10" s="3431"/>
      <c r="FYL10" s="3431"/>
      <c r="FYM10" s="3431"/>
      <c r="FYN10" s="3431"/>
      <c r="FYO10" s="3431"/>
      <c r="FYP10" s="3431"/>
      <c r="FYQ10" s="3431"/>
      <c r="FYR10" s="3431"/>
      <c r="FYS10" s="3431"/>
      <c r="FYT10" s="3431"/>
      <c r="FYU10" s="3431"/>
      <c r="FYV10" s="3431"/>
      <c r="FYW10" s="3431"/>
      <c r="FYX10" s="3431"/>
      <c r="FYY10" s="3431"/>
      <c r="FYZ10" s="3431"/>
      <c r="FZA10" s="3431"/>
      <c r="FZB10" s="3431"/>
      <c r="FZC10" s="3431"/>
      <c r="FZD10" s="3431"/>
      <c r="FZE10" s="3431"/>
      <c r="FZF10" s="3431"/>
      <c r="FZG10" s="3431"/>
      <c r="FZH10" s="3431"/>
      <c r="FZI10" s="3431"/>
      <c r="FZJ10" s="3431"/>
      <c r="FZK10" s="3431"/>
      <c r="FZL10" s="3431"/>
      <c r="FZM10" s="3431"/>
      <c r="FZN10" s="3431"/>
      <c r="FZO10" s="3431"/>
      <c r="FZP10" s="3431"/>
      <c r="FZQ10" s="3431"/>
      <c r="FZR10" s="3431"/>
      <c r="FZS10" s="3431"/>
      <c r="FZT10" s="3431"/>
      <c r="FZU10" s="3431"/>
      <c r="FZV10" s="3431"/>
      <c r="FZW10" s="3431"/>
      <c r="FZX10" s="3431"/>
      <c r="FZY10" s="3431"/>
      <c r="FZZ10" s="3431"/>
      <c r="GAA10" s="3431"/>
      <c r="GAB10" s="3431"/>
      <c r="GAC10" s="3431"/>
      <c r="GAD10" s="3431"/>
      <c r="GAE10" s="3431"/>
      <c r="GAF10" s="3431"/>
      <c r="GAG10" s="3431"/>
      <c r="GAH10" s="3431"/>
      <c r="GAI10" s="3431"/>
      <c r="GAJ10" s="3431"/>
      <c r="GAK10" s="3431"/>
      <c r="GAL10" s="3431"/>
      <c r="GAM10" s="3431"/>
      <c r="GAN10" s="3431"/>
      <c r="GAO10" s="3431"/>
      <c r="GAP10" s="3431"/>
      <c r="GAQ10" s="3431"/>
      <c r="GAR10" s="3431"/>
      <c r="GAS10" s="3431"/>
      <c r="GAT10" s="3431"/>
      <c r="GAU10" s="3431"/>
      <c r="GAV10" s="3431"/>
      <c r="GAW10" s="3431"/>
      <c r="GAX10" s="3431"/>
      <c r="GAY10" s="3431"/>
      <c r="GAZ10" s="3431"/>
      <c r="GBA10" s="3431"/>
      <c r="GBB10" s="3431"/>
      <c r="GBC10" s="3431"/>
      <c r="GBD10" s="3431"/>
      <c r="GBE10" s="3431"/>
      <c r="GBF10" s="3431"/>
      <c r="GBG10" s="3431"/>
      <c r="GBH10" s="3431"/>
      <c r="GBI10" s="3431"/>
      <c r="GBJ10" s="3431"/>
      <c r="GBK10" s="3431"/>
      <c r="GBL10" s="3431"/>
      <c r="GBM10" s="3431"/>
      <c r="GBN10" s="3431"/>
      <c r="GBO10" s="3431"/>
      <c r="GBP10" s="3431"/>
      <c r="GBQ10" s="3431"/>
      <c r="GBR10" s="3431"/>
      <c r="GBS10" s="3431"/>
      <c r="GBT10" s="3431"/>
      <c r="GBU10" s="3431"/>
      <c r="GBV10" s="3431"/>
      <c r="GBW10" s="3431"/>
      <c r="GBX10" s="3431"/>
      <c r="GBY10" s="3431"/>
      <c r="GBZ10" s="3431"/>
      <c r="GCA10" s="3431"/>
      <c r="GCB10" s="3431"/>
      <c r="GCC10" s="3431"/>
      <c r="GCD10" s="3431"/>
      <c r="GCE10" s="3431"/>
      <c r="GCF10" s="3431"/>
      <c r="GCG10" s="3431"/>
      <c r="GCH10" s="3431"/>
      <c r="GCI10" s="3431"/>
      <c r="GCJ10" s="3431"/>
      <c r="GCK10" s="3431"/>
      <c r="GCL10" s="3431"/>
      <c r="GCM10" s="3431"/>
      <c r="GCN10" s="3431"/>
      <c r="GCO10" s="3431"/>
      <c r="GCP10" s="3431"/>
      <c r="GCQ10" s="3431"/>
      <c r="GCR10" s="3431"/>
      <c r="GCS10" s="3431"/>
      <c r="GCT10" s="3431"/>
      <c r="GCU10" s="3431"/>
      <c r="GCV10" s="3431"/>
      <c r="GCW10" s="3431"/>
      <c r="GCX10" s="3431"/>
      <c r="GCY10" s="3431"/>
      <c r="GCZ10" s="3431"/>
      <c r="GDA10" s="3431"/>
      <c r="GDB10" s="3431"/>
      <c r="GDC10" s="3431"/>
      <c r="GDD10" s="3431"/>
      <c r="GDE10" s="3431"/>
      <c r="GDF10" s="3431"/>
      <c r="GDG10" s="3431"/>
      <c r="GDH10" s="3431"/>
      <c r="GDI10" s="3431"/>
      <c r="GDJ10" s="3431"/>
      <c r="GDK10" s="3431"/>
      <c r="GDL10" s="3431"/>
      <c r="GDM10" s="3431"/>
      <c r="GDN10" s="3431"/>
      <c r="GDO10" s="3431"/>
      <c r="GDP10" s="3431"/>
      <c r="GDQ10" s="3431"/>
      <c r="GDR10" s="3431"/>
      <c r="GDS10" s="3431"/>
      <c r="GDT10" s="3431"/>
      <c r="GDU10" s="3431"/>
      <c r="GDV10" s="3431"/>
      <c r="GDW10" s="3431"/>
      <c r="GDX10" s="3431"/>
      <c r="GDY10" s="3431"/>
      <c r="GDZ10" s="3431"/>
      <c r="GEA10" s="3431"/>
      <c r="GEB10" s="3431"/>
      <c r="GEC10" s="3431"/>
      <c r="GED10" s="3431"/>
      <c r="GEE10" s="3431"/>
      <c r="GEF10" s="3431"/>
      <c r="GEG10" s="3431"/>
      <c r="GEH10" s="3431"/>
      <c r="GEI10" s="3431"/>
      <c r="GEJ10" s="3431"/>
      <c r="GEK10" s="3431"/>
      <c r="GEL10" s="3431"/>
      <c r="GEM10" s="3431"/>
      <c r="GEN10" s="3431"/>
      <c r="GEO10" s="3431"/>
      <c r="GEP10" s="3431"/>
      <c r="GEQ10" s="3431"/>
      <c r="GER10" s="3431"/>
      <c r="GES10" s="3431"/>
      <c r="GET10" s="3431"/>
      <c r="GEU10" s="3431"/>
      <c r="GEV10" s="3431"/>
      <c r="GEW10" s="3431"/>
      <c r="GEX10" s="3431"/>
      <c r="GEY10" s="3431"/>
      <c r="GEZ10" s="3431"/>
      <c r="GFA10" s="3431"/>
      <c r="GFB10" s="3431"/>
      <c r="GFC10" s="3431"/>
      <c r="GFD10" s="3431"/>
      <c r="GFE10" s="3431"/>
      <c r="GFF10" s="3431"/>
      <c r="GFG10" s="3431"/>
      <c r="GFH10" s="3431"/>
      <c r="GFI10" s="3431"/>
      <c r="GFJ10" s="3431"/>
      <c r="GFK10" s="3431"/>
      <c r="GFL10" s="3431"/>
      <c r="GFM10" s="3431"/>
      <c r="GFN10" s="3431"/>
      <c r="GFO10" s="3431"/>
      <c r="GFP10" s="3431"/>
      <c r="GFQ10" s="3431"/>
      <c r="GFR10" s="3431"/>
      <c r="GFS10" s="3431"/>
      <c r="GFT10" s="3431"/>
      <c r="GFU10" s="3431"/>
      <c r="GFV10" s="3431"/>
      <c r="GFW10" s="3431"/>
      <c r="GFX10" s="3431"/>
      <c r="GFY10" s="3431"/>
      <c r="GFZ10" s="3431"/>
      <c r="GGA10" s="3431"/>
      <c r="GGB10" s="3431"/>
      <c r="GGC10" s="3431"/>
      <c r="GGD10" s="3431"/>
      <c r="GGE10" s="3431"/>
      <c r="GGF10" s="3431"/>
      <c r="GGG10" s="3431"/>
      <c r="GGH10" s="3431"/>
      <c r="GGI10" s="3431"/>
      <c r="GGJ10" s="3431"/>
      <c r="GGK10" s="3431"/>
      <c r="GGL10" s="3431"/>
      <c r="GGM10" s="3431"/>
      <c r="GGN10" s="3431"/>
      <c r="GGO10" s="3431"/>
      <c r="GGP10" s="3431"/>
      <c r="GGQ10" s="3431"/>
      <c r="GGR10" s="3431"/>
      <c r="GGS10" s="3431"/>
      <c r="GGT10" s="3431"/>
      <c r="GGU10" s="3431"/>
      <c r="GGV10" s="3431"/>
      <c r="GGW10" s="3431"/>
      <c r="GGX10" s="3431"/>
      <c r="GGY10" s="3431"/>
      <c r="GGZ10" s="3431"/>
      <c r="GHA10" s="3431"/>
      <c r="GHB10" s="3431"/>
      <c r="GHC10" s="3431"/>
      <c r="GHD10" s="3431"/>
      <c r="GHE10" s="3431"/>
      <c r="GHF10" s="3431"/>
      <c r="GHG10" s="3431"/>
      <c r="GHH10" s="3431"/>
      <c r="GHI10" s="3431"/>
      <c r="GHJ10" s="3431"/>
      <c r="GHK10" s="3431"/>
      <c r="GHL10" s="3431"/>
      <c r="GHM10" s="3431"/>
      <c r="GHN10" s="3431"/>
      <c r="GHO10" s="3431"/>
      <c r="GHP10" s="3431"/>
      <c r="GHQ10" s="3431"/>
      <c r="GHR10" s="3431"/>
      <c r="GHS10" s="3431"/>
      <c r="GHT10" s="3431"/>
      <c r="GHU10" s="3431"/>
      <c r="GHV10" s="3431"/>
      <c r="GHW10" s="3431"/>
      <c r="GHX10" s="3431"/>
      <c r="GHY10" s="3431"/>
      <c r="GHZ10" s="3431"/>
      <c r="GIA10" s="3431"/>
      <c r="GIB10" s="3431"/>
      <c r="GIC10" s="3431"/>
      <c r="GID10" s="3431"/>
      <c r="GIE10" s="3431"/>
      <c r="GIF10" s="3431"/>
      <c r="GIG10" s="3431"/>
      <c r="GIH10" s="3431"/>
      <c r="GII10" s="3431"/>
      <c r="GIJ10" s="3431"/>
      <c r="GIK10" s="3431"/>
      <c r="GIL10" s="3431"/>
      <c r="GIM10" s="3431"/>
      <c r="GIN10" s="3431"/>
      <c r="GIO10" s="3431"/>
      <c r="GIP10" s="3431"/>
      <c r="GIQ10" s="3431"/>
      <c r="GIR10" s="3431"/>
      <c r="GIS10" s="3431"/>
      <c r="GIT10" s="3431"/>
      <c r="GIU10" s="3431"/>
      <c r="GIV10" s="3431"/>
      <c r="GIW10" s="3431"/>
      <c r="GIX10" s="3431"/>
      <c r="GIY10" s="3431"/>
      <c r="GIZ10" s="3431"/>
      <c r="GJA10" s="3431"/>
      <c r="GJB10" s="3431"/>
      <c r="GJC10" s="3431"/>
      <c r="GJD10" s="3431"/>
      <c r="GJE10" s="3431"/>
      <c r="GJF10" s="3431"/>
      <c r="GJG10" s="3431"/>
      <c r="GJH10" s="3431"/>
      <c r="GJI10" s="3431"/>
      <c r="GJJ10" s="3431"/>
      <c r="GJK10" s="3431"/>
      <c r="GJL10" s="3431"/>
      <c r="GJM10" s="3431"/>
      <c r="GJN10" s="3431"/>
      <c r="GJO10" s="3431"/>
      <c r="GJP10" s="3431"/>
      <c r="GJQ10" s="3431"/>
      <c r="GJR10" s="3431"/>
      <c r="GJS10" s="3431"/>
      <c r="GJT10" s="3431"/>
      <c r="GJU10" s="3431"/>
      <c r="GJV10" s="3431"/>
      <c r="GJW10" s="3431"/>
      <c r="GJX10" s="3431"/>
      <c r="GJY10" s="3431"/>
      <c r="GJZ10" s="3431"/>
      <c r="GKA10" s="3431"/>
      <c r="GKB10" s="3431"/>
      <c r="GKC10" s="3431"/>
      <c r="GKD10" s="3431"/>
      <c r="GKE10" s="3431"/>
      <c r="GKF10" s="3431"/>
      <c r="GKG10" s="3431"/>
      <c r="GKH10" s="3431"/>
      <c r="GKI10" s="3431"/>
      <c r="GKJ10" s="3431"/>
      <c r="GKK10" s="3431"/>
      <c r="GKL10" s="3431"/>
      <c r="GKM10" s="3431"/>
      <c r="GKN10" s="3431"/>
      <c r="GKO10" s="3431"/>
      <c r="GKP10" s="3431"/>
      <c r="GKQ10" s="3431"/>
      <c r="GKR10" s="3431"/>
      <c r="GKS10" s="3431"/>
      <c r="GKT10" s="3431"/>
      <c r="GKU10" s="3431"/>
      <c r="GKV10" s="3431"/>
      <c r="GKW10" s="3431"/>
      <c r="GKX10" s="3431"/>
      <c r="GKY10" s="3431"/>
      <c r="GKZ10" s="3431"/>
      <c r="GLA10" s="3431"/>
      <c r="GLB10" s="3431"/>
      <c r="GLC10" s="3431"/>
      <c r="GLD10" s="3431"/>
      <c r="GLE10" s="3431"/>
      <c r="GLF10" s="3431"/>
      <c r="GLG10" s="3431"/>
      <c r="GLH10" s="3431"/>
      <c r="GLI10" s="3431"/>
      <c r="GLJ10" s="3431"/>
      <c r="GLK10" s="3431"/>
      <c r="GLL10" s="3431"/>
      <c r="GLM10" s="3431"/>
      <c r="GLN10" s="3431"/>
      <c r="GLO10" s="3431"/>
      <c r="GLP10" s="3431"/>
      <c r="GLQ10" s="3431"/>
      <c r="GLR10" s="3431"/>
      <c r="GLS10" s="3431"/>
      <c r="GLT10" s="3431"/>
      <c r="GLU10" s="3431"/>
      <c r="GLV10" s="3431"/>
      <c r="GLW10" s="3431"/>
      <c r="GLX10" s="3431"/>
      <c r="GLY10" s="3431"/>
      <c r="GLZ10" s="3431"/>
      <c r="GMA10" s="3431"/>
      <c r="GMB10" s="3431"/>
      <c r="GMC10" s="3431"/>
      <c r="GMD10" s="3431"/>
      <c r="GME10" s="3431"/>
      <c r="GMF10" s="3431"/>
      <c r="GMG10" s="3431"/>
      <c r="GMH10" s="3431"/>
      <c r="GMI10" s="3431"/>
      <c r="GMJ10" s="3431"/>
      <c r="GMK10" s="3431"/>
      <c r="GML10" s="3431"/>
      <c r="GMM10" s="3431"/>
      <c r="GMN10" s="3431"/>
      <c r="GMO10" s="3431"/>
      <c r="GMP10" s="3431"/>
      <c r="GMQ10" s="3431"/>
      <c r="GMR10" s="3431"/>
      <c r="GMS10" s="3431"/>
      <c r="GMT10" s="3431"/>
      <c r="GMU10" s="3431"/>
      <c r="GMV10" s="3431"/>
      <c r="GMW10" s="3431"/>
      <c r="GMX10" s="3431"/>
      <c r="GMY10" s="3431"/>
      <c r="GMZ10" s="3431"/>
      <c r="GNA10" s="3431"/>
      <c r="GNB10" s="3431"/>
      <c r="GNC10" s="3431"/>
      <c r="GND10" s="3431"/>
      <c r="GNE10" s="3431"/>
      <c r="GNF10" s="3431"/>
      <c r="GNG10" s="3431"/>
      <c r="GNH10" s="3431"/>
      <c r="GNI10" s="3431"/>
      <c r="GNJ10" s="3431"/>
      <c r="GNK10" s="3431"/>
      <c r="GNL10" s="3431"/>
      <c r="GNM10" s="3431"/>
      <c r="GNN10" s="3431"/>
      <c r="GNO10" s="3431"/>
      <c r="GNP10" s="3431"/>
      <c r="GNQ10" s="3431"/>
      <c r="GNR10" s="3431"/>
      <c r="GNS10" s="3431"/>
      <c r="GNT10" s="3431"/>
      <c r="GNU10" s="3431"/>
      <c r="GNV10" s="3431"/>
      <c r="GNW10" s="3431"/>
      <c r="GNX10" s="3431"/>
      <c r="GNY10" s="3431"/>
      <c r="GNZ10" s="3431"/>
      <c r="GOA10" s="3431"/>
      <c r="GOB10" s="3431"/>
      <c r="GOC10" s="3431"/>
      <c r="GOD10" s="3431"/>
      <c r="GOE10" s="3431"/>
      <c r="GOF10" s="3431"/>
      <c r="GOG10" s="3431"/>
      <c r="GOH10" s="3431"/>
      <c r="GOI10" s="3431"/>
      <c r="GOJ10" s="3431"/>
      <c r="GOK10" s="3431"/>
      <c r="GOL10" s="3431"/>
      <c r="GOM10" s="3431"/>
      <c r="GON10" s="3431"/>
      <c r="GOO10" s="3431"/>
      <c r="GOP10" s="3431"/>
      <c r="GOQ10" s="3431"/>
      <c r="GOR10" s="3431"/>
      <c r="GOS10" s="3431"/>
      <c r="GOT10" s="3431"/>
      <c r="GOU10" s="3431"/>
      <c r="GOV10" s="3431"/>
      <c r="GOW10" s="3431"/>
      <c r="GOX10" s="3431"/>
      <c r="GOY10" s="3431"/>
      <c r="GOZ10" s="3431"/>
      <c r="GPA10" s="3431"/>
      <c r="GPB10" s="3431"/>
      <c r="GPC10" s="3431"/>
      <c r="GPD10" s="3431"/>
      <c r="GPE10" s="3431"/>
      <c r="GPF10" s="3431"/>
      <c r="GPG10" s="3431"/>
      <c r="GPH10" s="3431"/>
      <c r="GPI10" s="3431"/>
      <c r="GPJ10" s="3431"/>
      <c r="GPK10" s="3431"/>
      <c r="GPL10" s="3431"/>
      <c r="GPM10" s="3431"/>
      <c r="GPN10" s="3431"/>
      <c r="GPO10" s="3431"/>
      <c r="GPP10" s="3431"/>
      <c r="GPQ10" s="3431"/>
      <c r="GPR10" s="3431"/>
      <c r="GPS10" s="3431"/>
      <c r="GPT10" s="3431"/>
      <c r="GPU10" s="3431"/>
      <c r="GPV10" s="3431"/>
      <c r="GPW10" s="3431"/>
      <c r="GPX10" s="3431"/>
      <c r="GPY10" s="3431"/>
      <c r="GPZ10" s="3431"/>
      <c r="GQA10" s="3431"/>
      <c r="GQB10" s="3431"/>
      <c r="GQC10" s="3431"/>
      <c r="GQD10" s="3431"/>
      <c r="GQE10" s="3431"/>
      <c r="GQF10" s="3431"/>
      <c r="GQG10" s="3431"/>
      <c r="GQH10" s="3431"/>
      <c r="GQI10" s="3431"/>
      <c r="GQJ10" s="3431"/>
      <c r="GQK10" s="3431"/>
      <c r="GQL10" s="3431"/>
      <c r="GQM10" s="3431"/>
      <c r="GQN10" s="3431"/>
      <c r="GQO10" s="3431"/>
      <c r="GQP10" s="3431"/>
      <c r="GQQ10" s="3431"/>
      <c r="GQR10" s="3431"/>
      <c r="GQS10" s="3431"/>
      <c r="GQT10" s="3431"/>
      <c r="GQU10" s="3431"/>
      <c r="GQV10" s="3431"/>
      <c r="GQW10" s="3431"/>
      <c r="GQX10" s="3431"/>
      <c r="GQY10" s="3431"/>
      <c r="GQZ10" s="3431"/>
      <c r="GRA10" s="3431"/>
      <c r="GRB10" s="3431"/>
      <c r="GRC10" s="3431"/>
      <c r="GRD10" s="3431"/>
      <c r="GRE10" s="3431"/>
      <c r="GRF10" s="3431"/>
      <c r="GRG10" s="3431"/>
      <c r="GRH10" s="3431"/>
      <c r="GRI10" s="3431"/>
      <c r="GRJ10" s="3431"/>
      <c r="GRK10" s="3431"/>
      <c r="GRL10" s="3431"/>
      <c r="GRM10" s="3431"/>
      <c r="GRN10" s="3431"/>
      <c r="GRO10" s="3431"/>
      <c r="GRP10" s="3431"/>
      <c r="GRQ10" s="3431"/>
      <c r="GRR10" s="3431"/>
      <c r="GRS10" s="3431"/>
      <c r="GRT10" s="3431"/>
      <c r="GRU10" s="3431"/>
      <c r="GRV10" s="3431"/>
      <c r="GRW10" s="3431"/>
      <c r="GRX10" s="3431"/>
      <c r="GRY10" s="3431"/>
      <c r="GRZ10" s="3431"/>
      <c r="GSA10" s="3431"/>
      <c r="GSB10" s="3431"/>
      <c r="GSC10" s="3431"/>
      <c r="GSD10" s="3431"/>
      <c r="GSE10" s="3431"/>
      <c r="GSF10" s="3431"/>
      <c r="GSG10" s="3431"/>
      <c r="GSH10" s="3431"/>
      <c r="GSI10" s="3431"/>
      <c r="GSJ10" s="3431"/>
      <c r="GSK10" s="3431"/>
      <c r="GSL10" s="3431"/>
      <c r="GSM10" s="3431"/>
      <c r="GSN10" s="3431"/>
      <c r="GSO10" s="3431"/>
      <c r="GSP10" s="3431"/>
      <c r="GSQ10" s="3431"/>
      <c r="GSR10" s="3431"/>
      <c r="GSS10" s="3431"/>
      <c r="GST10" s="3431"/>
      <c r="GSU10" s="3431"/>
      <c r="GSV10" s="3431"/>
      <c r="GSW10" s="3431"/>
      <c r="GSX10" s="3431"/>
      <c r="GSY10" s="3431"/>
      <c r="GSZ10" s="3431"/>
      <c r="GTA10" s="3431"/>
      <c r="GTB10" s="3431"/>
      <c r="GTC10" s="3431"/>
      <c r="GTD10" s="3431"/>
      <c r="GTE10" s="3431"/>
      <c r="GTF10" s="3431"/>
      <c r="GTG10" s="3431"/>
      <c r="GTH10" s="3431"/>
      <c r="GTI10" s="3431"/>
      <c r="GTJ10" s="3431"/>
      <c r="GTK10" s="3431"/>
      <c r="GTL10" s="3431"/>
      <c r="GTM10" s="3431"/>
      <c r="GTN10" s="3431"/>
      <c r="GTO10" s="3431"/>
      <c r="GTP10" s="3431"/>
      <c r="GTQ10" s="3431"/>
      <c r="GTR10" s="3431"/>
      <c r="GTS10" s="3431"/>
      <c r="GTT10" s="3431"/>
      <c r="GTU10" s="3431"/>
      <c r="GTV10" s="3431"/>
      <c r="GTW10" s="3431"/>
      <c r="GTX10" s="3431"/>
      <c r="GTY10" s="3431"/>
      <c r="GTZ10" s="3431"/>
      <c r="GUA10" s="3431"/>
      <c r="GUB10" s="3431"/>
      <c r="GUC10" s="3431"/>
      <c r="GUD10" s="3431"/>
      <c r="GUE10" s="3431"/>
      <c r="GUF10" s="3431"/>
      <c r="GUG10" s="3431"/>
      <c r="GUH10" s="3431"/>
      <c r="GUI10" s="3431"/>
      <c r="GUJ10" s="3431"/>
      <c r="GUK10" s="3431"/>
      <c r="GUL10" s="3431"/>
      <c r="GUM10" s="3431"/>
      <c r="GUN10" s="3431"/>
      <c r="GUO10" s="3431"/>
      <c r="GUP10" s="3431"/>
      <c r="GUQ10" s="3431"/>
      <c r="GUR10" s="3431"/>
      <c r="GUS10" s="3431"/>
      <c r="GUT10" s="3431"/>
      <c r="GUU10" s="3431"/>
      <c r="GUV10" s="3431"/>
      <c r="GUW10" s="3431"/>
      <c r="GUX10" s="3431"/>
      <c r="GUY10" s="3431"/>
      <c r="GUZ10" s="3431"/>
      <c r="GVA10" s="3431"/>
      <c r="GVB10" s="3431"/>
      <c r="GVC10" s="3431"/>
      <c r="GVD10" s="3431"/>
      <c r="GVE10" s="3431"/>
      <c r="GVF10" s="3431"/>
      <c r="GVG10" s="3431"/>
      <c r="GVH10" s="3431"/>
      <c r="GVI10" s="3431"/>
      <c r="GVJ10" s="3431"/>
      <c r="GVK10" s="3431"/>
      <c r="GVL10" s="3431"/>
      <c r="GVM10" s="3431"/>
      <c r="GVN10" s="3431"/>
      <c r="GVO10" s="3431"/>
      <c r="GVP10" s="3431"/>
      <c r="GVQ10" s="3431"/>
      <c r="GVR10" s="3431"/>
      <c r="GVS10" s="3431"/>
      <c r="GVT10" s="3431"/>
      <c r="GVU10" s="3431"/>
      <c r="GVV10" s="3431"/>
      <c r="GVW10" s="3431"/>
      <c r="GVX10" s="3431"/>
      <c r="GVY10" s="3431"/>
      <c r="GVZ10" s="3431"/>
      <c r="GWA10" s="3431"/>
      <c r="GWB10" s="3431"/>
      <c r="GWC10" s="3431"/>
      <c r="GWD10" s="3431"/>
      <c r="GWE10" s="3431"/>
      <c r="GWF10" s="3431"/>
      <c r="GWG10" s="3431"/>
      <c r="GWH10" s="3431"/>
      <c r="GWI10" s="3431"/>
      <c r="GWJ10" s="3431"/>
      <c r="GWK10" s="3431"/>
      <c r="GWL10" s="3431"/>
      <c r="GWM10" s="3431"/>
      <c r="GWN10" s="3431"/>
      <c r="GWO10" s="3431"/>
      <c r="GWP10" s="3431"/>
      <c r="GWQ10" s="3431"/>
      <c r="GWR10" s="3431"/>
      <c r="GWS10" s="3431"/>
      <c r="GWT10" s="3431"/>
      <c r="GWU10" s="3431"/>
      <c r="GWV10" s="3431"/>
      <c r="GWW10" s="3431"/>
      <c r="GWX10" s="3431"/>
      <c r="GWY10" s="3431"/>
      <c r="GWZ10" s="3431"/>
      <c r="GXA10" s="3431"/>
      <c r="GXB10" s="3431"/>
      <c r="GXC10" s="3431"/>
      <c r="GXD10" s="3431"/>
      <c r="GXE10" s="3431"/>
      <c r="GXF10" s="3431"/>
      <c r="GXG10" s="3431"/>
      <c r="GXH10" s="3431"/>
      <c r="GXI10" s="3431"/>
      <c r="GXJ10" s="3431"/>
      <c r="GXK10" s="3431"/>
      <c r="GXL10" s="3431"/>
      <c r="GXM10" s="3431"/>
      <c r="GXN10" s="3431"/>
      <c r="GXO10" s="3431"/>
      <c r="GXP10" s="3431"/>
      <c r="GXQ10" s="3431"/>
      <c r="GXR10" s="3431"/>
      <c r="GXS10" s="3431"/>
      <c r="GXT10" s="3431"/>
      <c r="GXU10" s="3431"/>
      <c r="GXV10" s="3431"/>
      <c r="GXW10" s="3431"/>
      <c r="GXX10" s="3431"/>
      <c r="GXY10" s="3431"/>
      <c r="GXZ10" s="3431"/>
      <c r="GYA10" s="3431"/>
      <c r="GYB10" s="3431"/>
      <c r="GYC10" s="3431"/>
      <c r="GYD10" s="3431"/>
      <c r="GYE10" s="3431"/>
      <c r="GYF10" s="3431"/>
      <c r="GYG10" s="3431"/>
      <c r="GYH10" s="3431"/>
      <c r="GYI10" s="3431"/>
      <c r="GYJ10" s="3431"/>
      <c r="GYK10" s="3431"/>
      <c r="GYL10" s="3431"/>
      <c r="GYM10" s="3431"/>
      <c r="GYN10" s="3431"/>
      <c r="GYO10" s="3431"/>
      <c r="GYP10" s="3431"/>
      <c r="GYQ10" s="3431"/>
      <c r="GYR10" s="3431"/>
      <c r="GYS10" s="3431"/>
      <c r="GYT10" s="3431"/>
      <c r="GYU10" s="3431"/>
      <c r="GYV10" s="3431"/>
      <c r="GYW10" s="3431"/>
      <c r="GYX10" s="3431"/>
      <c r="GYY10" s="3431"/>
      <c r="GYZ10" s="3431"/>
      <c r="GZA10" s="3431"/>
      <c r="GZB10" s="3431"/>
      <c r="GZC10" s="3431"/>
      <c r="GZD10" s="3431"/>
      <c r="GZE10" s="3431"/>
      <c r="GZF10" s="3431"/>
      <c r="GZG10" s="3431"/>
      <c r="GZH10" s="3431"/>
      <c r="GZI10" s="3431"/>
      <c r="GZJ10" s="3431"/>
      <c r="GZK10" s="3431"/>
      <c r="GZL10" s="3431"/>
      <c r="GZM10" s="3431"/>
      <c r="GZN10" s="3431"/>
      <c r="GZO10" s="3431"/>
      <c r="GZP10" s="3431"/>
      <c r="GZQ10" s="3431"/>
      <c r="GZR10" s="3431"/>
      <c r="GZS10" s="3431"/>
      <c r="GZT10" s="3431"/>
      <c r="GZU10" s="3431"/>
      <c r="GZV10" s="3431"/>
      <c r="GZW10" s="3431"/>
      <c r="GZX10" s="3431"/>
      <c r="GZY10" s="3431"/>
      <c r="GZZ10" s="3431"/>
      <c r="HAA10" s="3431"/>
      <c r="HAB10" s="3431"/>
      <c r="HAC10" s="3431"/>
      <c r="HAD10" s="3431"/>
      <c r="HAE10" s="3431"/>
      <c r="HAF10" s="3431"/>
      <c r="HAG10" s="3431"/>
      <c r="HAH10" s="3431"/>
      <c r="HAI10" s="3431"/>
      <c r="HAJ10" s="3431"/>
      <c r="HAK10" s="3431"/>
      <c r="HAL10" s="3431"/>
      <c r="HAM10" s="3431"/>
      <c r="HAN10" s="3431"/>
      <c r="HAO10" s="3431"/>
      <c r="HAP10" s="3431"/>
      <c r="HAQ10" s="3431"/>
      <c r="HAR10" s="3431"/>
      <c r="HAS10" s="3431"/>
      <c r="HAT10" s="3431"/>
      <c r="HAU10" s="3431"/>
      <c r="HAV10" s="3431"/>
      <c r="HAW10" s="3431"/>
      <c r="HAX10" s="3431"/>
      <c r="HAY10" s="3431"/>
      <c r="HAZ10" s="3431"/>
      <c r="HBA10" s="3431"/>
      <c r="HBB10" s="3431"/>
      <c r="HBC10" s="3431"/>
      <c r="HBD10" s="3431"/>
      <c r="HBE10" s="3431"/>
      <c r="HBF10" s="3431"/>
      <c r="HBG10" s="3431"/>
      <c r="HBH10" s="3431"/>
      <c r="HBI10" s="3431"/>
      <c r="HBJ10" s="3431"/>
      <c r="HBK10" s="3431"/>
      <c r="HBL10" s="3431"/>
      <c r="HBM10" s="3431"/>
      <c r="HBN10" s="3431"/>
      <c r="HBO10" s="3431"/>
      <c r="HBP10" s="3431"/>
      <c r="HBQ10" s="3431"/>
      <c r="HBR10" s="3431"/>
      <c r="HBS10" s="3431"/>
      <c r="HBT10" s="3431"/>
      <c r="HBU10" s="3431"/>
      <c r="HBV10" s="3431"/>
      <c r="HBW10" s="3431"/>
      <c r="HBX10" s="3431"/>
      <c r="HBY10" s="3431"/>
      <c r="HBZ10" s="3431"/>
      <c r="HCA10" s="3431"/>
      <c r="HCB10" s="3431"/>
      <c r="HCC10" s="3431"/>
      <c r="HCD10" s="3431"/>
      <c r="HCE10" s="3431"/>
      <c r="HCF10" s="3431"/>
      <c r="HCG10" s="3431"/>
      <c r="HCH10" s="3431"/>
      <c r="HCI10" s="3431"/>
      <c r="HCJ10" s="3431"/>
      <c r="HCK10" s="3431"/>
      <c r="HCL10" s="3431"/>
      <c r="HCM10" s="3431"/>
      <c r="HCN10" s="3431"/>
      <c r="HCO10" s="3431"/>
      <c r="HCP10" s="3431"/>
      <c r="HCQ10" s="3431"/>
      <c r="HCR10" s="3431"/>
      <c r="HCS10" s="3431"/>
      <c r="HCT10" s="3431"/>
      <c r="HCU10" s="3431"/>
      <c r="HCV10" s="3431"/>
      <c r="HCW10" s="3431"/>
      <c r="HCX10" s="3431"/>
      <c r="HCY10" s="3431"/>
      <c r="HCZ10" s="3431"/>
      <c r="HDA10" s="3431"/>
      <c r="HDB10" s="3431"/>
      <c r="HDC10" s="3431"/>
      <c r="HDD10" s="3431"/>
      <c r="HDE10" s="3431"/>
      <c r="HDF10" s="3431"/>
      <c r="HDG10" s="3431"/>
      <c r="HDH10" s="3431"/>
      <c r="HDI10" s="3431"/>
      <c r="HDJ10" s="3431"/>
      <c r="HDK10" s="3431"/>
      <c r="HDL10" s="3431"/>
      <c r="HDM10" s="3431"/>
      <c r="HDN10" s="3431"/>
      <c r="HDO10" s="3431"/>
      <c r="HDP10" s="3431"/>
      <c r="HDQ10" s="3431"/>
      <c r="HDR10" s="3431"/>
      <c r="HDS10" s="3431"/>
      <c r="HDT10" s="3431"/>
      <c r="HDU10" s="3431"/>
      <c r="HDV10" s="3431"/>
      <c r="HDW10" s="3431"/>
      <c r="HDX10" s="3431"/>
      <c r="HDY10" s="3431"/>
      <c r="HDZ10" s="3431"/>
      <c r="HEA10" s="3431"/>
      <c r="HEB10" s="3431"/>
      <c r="HEC10" s="3431"/>
      <c r="HED10" s="3431"/>
      <c r="HEE10" s="3431"/>
      <c r="HEF10" s="3431"/>
      <c r="HEG10" s="3431"/>
      <c r="HEH10" s="3431"/>
      <c r="HEI10" s="3431"/>
      <c r="HEJ10" s="3431"/>
      <c r="HEK10" s="3431"/>
      <c r="HEL10" s="3431"/>
      <c r="HEM10" s="3431"/>
      <c r="HEN10" s="3431"/>
      <c r="HEO10" s="3431"/>
      <c r="HEP10" s="3431"/>
      <c r="HEQ10" s="3431"/>
      <c r="HER10" s="3431"/>
      <c r="HES10" s="3431"/>
      <c r="HET10" s="3431"/>
      <c r="HEU10" s="3431"/>
      <c r="HEV10" s="3431"/>
      <c r="HEW10" s="3431"/>
      <c r="HEX10" s="3431"/>
      <c r="HEY10" s="3431"/>
      <c r="HEZ10" s="3431"/>
      <c r="HFA10" s="3431"/>
      <c r="HFB10" s="3431"/>
      <c r="HFC10" s="3431"/>
      <c r="HFD10" s="3431"/>
      <c r="HFE10" s="3431"/>
      <c r="HFF10" s="3431"/>
      <c r="HFG10" s="3431"/>
      <c r="HFH10" s="3431"/>
      <c r="HFI10" s="3431"/>
      <c r="HFJ10" s="3431"/>
      <c r="HFK10" s="3431"/>
      <c r="HFL10" s="3431"/>
      <c r="HFM10" s="3431"/>
      <c r="HFN10" s="3431"/>
      <c r="HFO10" s="3431"/>
      <c r="HFP10" s="3431"/>
      <c r="HFQ10" s="3431"/>
      <c r="HFR10" s="3431"/>
      <c r="HFS10" s="3431"/>
      <c r="HFT10" s="3431"/>
      <c r="HFU10" s="3431"/>
      <c r="HFV10" s="3431"/>
      <c r="HFW10" s="3431"/>
      <c r="HFX10" s="3431"/>
      <c r="HFY10" s="3431"/>
      <c r="HFZ10" s="3431"/>
      <c r="HGA10" s="3431"/>
      <c r="HGB10" s="3431"/>
      <c r="HGC10" s="3431"/>
      <c r="HGD10" s="3431"/>
      <c r="HGE10" s="3431"/>
      <c r="HGF10" s="3431"/>
      <c r="HGG10" s="3431"/>
      <c r="HGH10" s="3431"/>
      <c r="HGI10" s="3431"/>
      <c r="HGJ10" s="3431"/>
      <c r="HGK10" s="3431"/>
      <c r="HGL10" s="3431"/>
      <c r="HGM10" s="3431"/>
      <c r="HGN10" s="3431"/>
      <c r="HGO10" s="3431"/>
      <c r="HGP10" s="3431"/>
      <c r="HGQ10" s="3431"/>
      <c r="HGR10" s="3431"/>
      <c r="HGS10" s="3431"/>
      <c r="HGT10" s="3431"/>
      <c r="HGU10" s="3431"/>
      <c r="HGV10" s="3431"/>
      <c r="HGW10" s="3431"/>
      <c r="HGX10" s="3431"/>
      <c r="HGY10" s="3431"/>
      <c r="HGZ10" s="3431"/>
      <c r="HHA10" s="3431"/>
      <c r="HHB10" s="3431"/>
      <c r="HHC10" s="3431"/>
      <c r="HHD10" s="3431"/>
      <c r="HHE10" s="3431"/>
      <c r="HHF10" s="3431"/>
      <c r="HHG10" s="3431"/>
      <c r="HHH10" s="3431"/>
      <c r="HHI10" s="3431"/>
      <c r="HHJ10" s="3431"/>
      <c r="HHK10" s="3431"/>
      <c r="HHL10" s="3431"/>
      <c r="HHM10" s="3431"/>
      <c r="HHN10" s="3431"/>
      <c r="HHO10" s="3431"/>
      <c r="HHP10" s="3431"/>
      <c r="HHQ10" s="3431"/>
      <c r="HHR10" s="3431"/>
      <c r="HHS10" s="3431"/>
      <c r="HHT10" s="3431"/>
      <c r="HHU10" s="3431"/>
      <c r="HHV10" s="3431"/>
      <c r="HHW10" s="3431"/>
      <c r="HHX10" s="3431"/>
      <c r="HHY10" s="3431"/>
      <c r="HHZ10" s="3431"/>
      <c r="HIA10" s="3431"/>
      <c r="HIB10" s="3431"/>
      <c r="HIC10" s="3431"/>
      <c r="HID10" s="3431"/>
      <c r="HIE10" s="3431"/>
      <c r="HIF10" s="3431"/>
      <c r="HIG10" s="3431"/>
      <c r="HIH10" s="3431"/>
      <c r="HII10" s="3431"/>
      <c r="HIJ10" s="3431"/>
      <c r="HIK10" s="3431"/>
      <c r="HIL10" s="3431"/>
      <c r="HIM10" s="3431"/>
      <c r="HIN10" s="3431"/>
      <c r="HIO10" s="3431"/>
      <c r="HIP10" s="3431"/>
      <c r="HIQ10" s="3431"/>
      <c r="HIR10" s="3431"/>
      <c r="HIS10" s="3431"/>
      <c r="HIT10" s="3431"/>
      <c r="HIU10" s="3431"/>
      <c r="HIV10" s="3431"/>
      <c r="HIW10" s="3431"/>
      <c r="HIX10" s="3431"/>
      <c r="HIY10" s="3431"/>
      <c r="HIZ10" s="3431"/>
      <c r="HJA10" s="3431"/>
      <c r="HJB10" s="3431"/>
      <c r="HJC10" s="3431"/>
      <c r="HJD10" s="3431"/>
      <c r="HJE10" s="3431"/>
      <c r="HJF10" s="3431"/>
      <c r="HJG10" s="3431"/>
      <c r="HJH10" s="3431"/>
      <c r="HJI10" s="3431"/>
      <c r="HJJ10" s="3431"/>
      <c r="HJK10" s="3431"/>
      <c r="HJL10" s="3431"/>
      <c r="HJM10" s="3431"/>
      <c r="HJN10" s="3431"/>
      <c r="HJO10" s="3431"/>
      <c r="HJP10" s="3431"/>
      <c r="HJQ10" s="3431"/>
      <c r="HJR10" s="3431"/>
      <c r="HJS10" s="3431"/>
      <c r="HJT10" s="3431"/>
      <c r="HJU10" s="3431"/>
      <c r="HJV10" s="3431"/>
      <c r="HJW10" s="3431"/>
      <c r="HJX10" s="3431"/>
      <c r="HJY10" s="3431"/>
      <c r="HJZ10" s="3431"/>
      <c r="HKA10" s="3431"/>
      <c r="HKB10" s="3431"/>
      <c r="HKC10" s="3431"/>
      <c r="HKD10" s="3431"/>
      <c r="HKE10" s="3431"/>
      <c r="HKF10" s="3431"/>
      <c r="HKG10" s="3431"/>
      <c r="HKH10" s="3431"/>
      <c r="HKI10" s="3431"/>
      <c r="HKJ10" s="3431"/>
      <c r="HKK10" s="3431"/>
      <c r="HKL10" s="3431"/>
      <c r="HKM10" s="3431"/>
      <c r="HKN10" s="3431"/>
      <c r="HKO10" s="3431"/>
      <c r="HKP10" s="3431"/>
      <c r="HKQ10" s="3431"/>
      <c r="HKR10" s="3431"/>
      <c r="HKS10" s="3431"/>
      <c r="HKT10" s="3431"/>
      <c r="HKU10" s="3431"/>
      <c r="HKV10" s="3431"/>
      <c r="HKW10" s="3431"/>
      <c r="HKX10" s="3431"/>
      <c r="HKY10" s="3431"/>
      <c r="HKZ10" s="3431"/>
      <c r="HLA10" s="3431"/>
      <c r="HLB10" s="3431"/>
      <c r="HLC10" s="3431"/>
      <c r="HLD10" s="3431"/>
      <c r="HLE10" s="3431"/>
      <c r="HLF10" s="3431"/>
      <c r="HLG10" s="3431"/>
      <c r="HLH10" s="3431"/>
      <c r="HLI10" s="3431"/>
      <c r="HLJ10" s="3431"/>
      <c r="HLK10" s="3431"/>
      <c r="HLL10" s="3431"/>
      <c r="HLM10" s="3431"/>
      <c r="HLN10" s="3431"/>
      <c r="HLO10" s="3431"/>
      <c r="HLP10" s="3431"/>
      <c r="HLQ10" s="3431"/>
      <c r="HLR10" s="3431"/>
      <c r="HLS10" s="3431"/>
      <c r="HLT10" s="3431"/>
      <c r="HLU10" s="3431"/>
      <c r="HLV10" s="3431"/>
      <c r="HLW10" s="3431"/>
      <c r="HLX10" s="3431"/>
      <c r="HLY10" s="3431"/>
      <c r="HLZ10" s="3431"/>
      <c r="HMA10" s="3431"/>
      <c r="HMB10" s="3431"/>
      <c r="HMC10" s="3431"/>
      <c r="HMD10" s="3431"/>
      <c r="HME10" s="3431"/>
      <c r="HMF10" s="3431"/>
      <c r="HMG10" s="3431"/>
      <c r="HMH10" s="3431"/>
      <c r="HMI10" s="3431"/>
      <c r="HMJ10" s="3431"/>
      <c r="HMK10" s="3431"/>
      <c r="HML10" s="3431"/>
      <c r="HMM10" s="3431"/>
      <c r="HMN10" s="3431"/>
      <c r="HMO10" s="3431"/>
      <c r="HMP10" s="3431"/>
      <c r="HMQ10" s="3431"/>
      <c r="HMR10" s="3431"/>
      <c r="HMS10" s="3431"/>
      <c r="HMT10" s="3431"/>
      <c r="HMU10" s="3431"/>
      <c r="HMV10" s="3431"/>
      <c r="HMW10" s="3431"/>
      <c r="HMX10" s="3431"/>
      <c r="HMY10" s="3431"/>
      <c r="HMZ10" s="3431"/>
      <c r="HNA10" s="3431"/>
      <c r="HNB10" s="3431"/>
      <c r="HNC10" s="3431"/>
      <c r="HND10" s="3431"/>
      <c r="HNE10" s="3431"/>
      <c r="HNF10" s="3431"/>
      <c r="HNG10" s="3431"/>
      <c r="HNH10" s="3431"/>
      <c r="HNI10" s="3431"/>
      <c r="HNJ10" s="3431"/>
      <c r="HNK10" s="3431"/>
      <c r="HNL10" s="3431"/>
      <c r="HNM10" s="3431"/>
      <c r="HNN10" s="3431"/>
      <c r="HNO10" s="3431"/>
      <c r="HNP10" s="3431"/>
      <c r="HNQ10" s="3431"/>
      <c r="HNR10" s="3431"/>
      <c r="HNS10" s="3431"/>
      <c r="HNT10" s="3431"/>
      <c r="HNU10" s="3431"/>
      <c r="HNV10" s="3431"/>
      <c r="HNW10" s="3431"/>
      <c r="HNX10" s="3431"/>
      <c r="HNY10" s="3431"/>
      <c r="HNZ10" s="3431"/>
      <c r="HOA10" s="3431"/>
      <c r="HOB10" s="3431"/>
      <c r="HOC10" s="3431"/>
      <c r="HOD10" s="3431"/>
      <c r="HOE10" s="3431"/>
      <c r="HOF10" s="3431"/>
      <c r="HOG10" s="3431"/>
      <c r="HOH10" s="3431"/>
      <c r="HOI10" s="3431"/>
      <c r="HOJ10" s="3431"/>
      <c r="HOK10" s="3431"/>
      <c r="HOL10" s="3431"/>
      <c r="HOM10" s="3431"/>
      <c r="HON10" s="3431"/>
      <c r="HOO10" s="3431"/>
      <c r="HOP10" s="3431"/>
      <c r="HOQ10" s="3431"/>
      <c r="HOR10" s="3431"/>
      <c r="HOS10" s="3431"/>
      <c r="HOT10" s="3431"/>
      <c r="HOU10" s="3431"/>
      <c r="HOV10" s="3431"/>
      <c r="HOW10" s="3431"/>
      <c r="HOX10" s="3431"/>
      <c r="HOY10" s="3431"/>
      <c r="HOZ10" s="3431"/>
      <c r="HPA10" s="3431"/>
      <c r="HPB10" s="3431"/>
      <c r="HPC10" s="3431"/>
      <c r="HPD10" s="3431"/>
      <c r="HPE10" s="3431"/>
      <c r="HPF10" s="3431"/>
      <c r="HPG10" s="3431"/>
      <c r="HPH10" s="3431"/>
      <c r="HPI10" s="3431"/>
      <c r="HPJ10" s="3431"/>
      <c r="HPK10" s="3431"/>
      <c r="HPL10" s="3431"/>
      <c r="HPM10" s="3431"/>
      <c r="HPN10" s="3431"/>
      <c r="HPO10" s="3431"/>
      <c r="HPP10" s="3431"/>
      <c r="HPQ10" s="3431"/>
      <c r="HPR10" s="3431"/>
      <c r="HPS10" s="3431"/>
      <c r="HPT10" s="3431"/>
      <c r="HPU10" s="3431"/>
      <c r="HPV10" s="3431"/>
      <c r="HPW10" s="3431"/>
      <c r="HPX10" s="3431"/>
      <c r="HPY10" s="3431"/>
      <c r="HPZ10" s="3431"/>
      <c r="HQA10" s="3431"/>
      <c r="HQB10" s="3431"/>
      <c r="HQC10" s="3431"/>
      <c r="HQD10" s="3431"/>
      <c r="HQE10" s="3431"/>
      <c r="HQF10" s="3431"/>
      <c r="HQG10" s="3431"/>
      <c r="HQH10" s="3431"/>
      <c r="HQI10" s="3431"/>
      <c r="HQJ10" s="3431"/>
      <c r="HQK10" s="3431"/>
      <c r="HQL10" s="3431"/>
      <c r="HQM10" s="3431"/>
      <c r="HQN10" s="3431"/>
      <c r="HQO10" s="3431"/>
      <c r="HQP10" s="3431"/>
      <c r="HQQ10" s="3431"/>
      <c r="HQR10" s="3431"/>
      <c r="HQS10" s="3431"/>
      <c r="HQT10" s="3431"/>
      <c r="HQU10" s="3431"/>
      <c r="HQV10" s="3431"/>
      <c r="HQW10" s="3431"/>
      <c r="HQX10" s="3431"/>
      <c r="HQY10" s="3431"/>
      <c r="HQZ10" s="3431"/>
      <c r="HRA10" s="3431"/>
      <c r="HRB10" s="3431"/>
      <c r="HRC10" s="3431"/>
      <c r="HRD10" s="3431"/>
      <c r="HRE10" s="3431"/>
      <c r="HRF10" s="3431"/>
      <c r="HRG10" s="3431"/>
      <c r="HRH10" s="3431"/>
      <c r="HRI10" s="3431"/>
      <c r="HRJ10" s="3431"/>
      <c r="HRK10" s="3431"/>
      <c r="HRL10" s="3431"/>
      <c r="HRM10" s="3431"/>
      <c r="HRN10" s="3431"/>
      <c r="HRO10" s="3431"/>
      <c r="HRP10" s="3431"/>
      <c r="HRQ10" s="3431"/>
      <c r="HRR10" s="3431"/>
      <c r="HRS10" s="3431"/>
      <c r="HRT10" s="3431"/>
      <c r="HRU10" s="3431"/>
      <c r="HRV10" s="3431"/>
      <c r="HRW10" s="3431"/>
      <c r="HRX10" s="3431"/>
      <c r="HRY10" s="3431"/>
      <c r="HRZ10" s="3431"/>
      <c r="HSA10" s="3431"/>
      <c r="HSB10" s="3431"/>
      <c r="HSC10" s="3431"/>
      <c r="HSD10" s="3431"/>
      <c r="HSE10" s="3431"/>
      <c r="HSF10" s="3431"/>
      <c r="HSG10" s="3431"/>
      <c r="HSH10" s="3431"/>
      <c r="HSI10" s="3431"/>
      <c r="HSJ10" s="3431"/>
      <c r="HSK10" s="3431"/>
      <c r="HSL10" s="3431"/>
      <c r="HSM10" s="3431"/>
      <c r="HSN10" s="3431"/>
      <c r="HSO10" s="3431"/>
      <c r="HSP10" s="3431"/>
      <c r="HSQ10" s="3431"/>
      <c r="HSR10" s="3431"/>
      <c r="HSS10" s="3431"/>
      <c r="HST10" s="3431"/>
      <c r="HSU10" s="3431"/>
      <c r="HSV10" s="3431"/>
      <c r="HSW10" s="3431"/>
      <c r="HSX10" s="3431"/>
      <c r="HSY10" s="3431"/>
      <c r="HSZ10" s="3431"/>
      <c r="HTA10" s="3431"/>
      <c r="HTB10" s="3431"/>
      <c r="HTC10" s="3431"/>
      <c r="HTD10" s="3431"/>
      <c r="HTE10" s="3431"/>
      <c r="HTF10" s="3431"/>
      <c r="HTG10" s="3431"/>
      <c r="HTH10" s="3431"/>
      <c r="HTI10" s="3431"/>
      <c r="HTJ10" s="3431"/>
      <c r="HTK10" s="3431"/>
      <c r="HTL10" s="3431"/>
      <c r="HTM10" s="3431"/>
      <c r="HTN10" s="3431"/>
      <c r="HTO10" s="3431"/>
      <c r="HTP10" s="3431"/>
      <c r="HTQ10" s="3431"/>
      <c r="HTR10" s="3431"/>
      <c r="HTS10" s="3431"/>
      <c r="HTT10" s="3431"/>
      <c r="HTU10" s="3431"/>
      <c r="HTV10" s="3431"/>
      <c r="HTW10" s="3431"/>
      <c r="HTX10" s="3431"/>
      <c r="HTY10" s="3431"/>
      <c r="HTZ10" s="3431"/>
      <c r="HUA10" s="3431"/>
      <c r="HUB10" s="3431"/>
      <c r="HUC10" s="3431"/>
      <c r="HUD10" s="3431"/>
      <c r="HUE10" s="3431"/>
      <c r="HUF10" s="3431"/>
      <c r="HUG10" s="3431"/>
      <c r="HUH10" s="3431"/>
      <c r="HUI10" s="3431"/>
      <c r="HUJ10" s="3431"/>
      <c r="HUK10" s="3431"/>
      <c r="HUL10" s="3431"/>
      <c r="HUM10" s="3431"/>
      <c r="HUN10" s="3431"/>
      <c r="HUO10" s="3431"/>
      <c r="HUP10" s="3431"/>
      <c r="HUQ10" s="3431"/>
      <c r="HUR10" s="3431"/>
      <c r="HUS10" s="3431"/>
      <c r="HUT10" s="3431"/>
      <c r="HUU10" s="3431"/>
      <c r="HUV10" s="3431"/>
      <c r="HUW10" s="3431"/>
      <c r="HUX10" s="3431"/>
      <c r="HUY10" s="3431"/>
      <c r="HUZ10" s="3431"/>
      <c r="HVA10" s="3431"/>
      <c r="HVB10" s="3431"/>
      <c r="HVC10" s="3431"/>
      <c r="HVD10" s="3431"/>
      <c r="HVE10" s="3431"/>
      <c r="HVF10" s="3431"/>
      <c r="HVG10" s="3431"/>
      <c r="HVH10" s="3431"/>
      <c r="HVI10" s="3431"/>
      <c r="HVJ10" s="3431"/>
      <c r="HVK10" s="3431"/>
      <c r="HVL10" s="3431"/>
      <c r="HVM10" s="3431"/>
      <c r="HVN10" s="3431"/>
      <c r="HVO10" s="3431"/>
      <c r="HVP10" s="3431"/>
      <c r="HVQ10" s="3431"/>
      <c r="HVR10" s="3431"/>
      <c r="HVS10" s="3431"/>
      <c r="HVT10" s="3431"/>
      <c r="HVU10" s="3431"/>
      <c r="HVV10" s="3431"/>
      <c r="HVW10" s="3431"/>
      <c r="HVX10" s="3431"/>
      <c r="HVY10" s="3431"/>
      <c r="HVZ10" s="3431"/>
      <c r="HWA10" s="3431"/>
      <c r="HWB10" s="3431"/>
      <c r="HWC10" s="3431"/>
      <c r="HWD10" s="3431"/>
      <c r="HWE10" s="3431"/>
      <c r="HWF10" s="3431"/>
      <c r="HWG10" s="3431"/>
      <c r="HWH10" s="3431"/>
      <c r="HWI10" s="3431"/>
      <c r="HWJ10" s="3431"/>
      <c r="HWK10" s="3431"/>
      <c r="HWL10" s="3431"/>
      <c r="HWM10" s="3431"/>
      <c r="HWN10" s="3431"/>
      <c r="HWO10" s="3431"/>
      <c r="HWP10" s="3431"/>
      <c r="HWQ10" s="3431"/>
      <c r="HWR10" s="3431"/>
      <c r="HWS10" s="3431"/>
      <c r="HWT10" s="3431"/>
      <c r="HWU10" s="3431"/>
      <c r="HWV10" s="3431"/>
      <c r="HWW10" s="3431"/>
      <c r="HWX10" s="3431"/>
      <c r="HWY10" s="3431"/>
      <c r="HWZ10" s="3431"/>
      <c r="HXA10" s="3431"/>
      <c r="HXB10" s="3431"/>
      <c r="HXC10" s="3431"/>
      <c r="HXD10" s="3431"/>
      <c r="HXE10" s="3431"/>
      <c r="HXF10" s="3431"/>
      <c r="HXG10" s="3431"/>
      <c r="HXH10" s="3431"/>
      <c r="HXI10" s="3431"/>
      <c r="HXJ10" s="3431"/>
      <c r="HXK10" s="3431"/>
      <c r="HXL10" s="3431"/>
      <c r="HXM10" s="3431"/>
      <c r="HXN10" s="3431"/>
      <c r="HXO10" s="3431"/>
      <c r="HXP10" s="3431"/>
      <c r="HXQ10" s="3431"/>
      <c r="HXR10" s="3431"/>
      <c r="HXS10" s="3431"/>
      <c r="HXT10" s="3431"/>
      <c r="HXU10" s="3431"/>
      <c r="HXV10" s="3431"/>
      <c r="HXW10" s="3431"/>
      <c r="HXX10" s="3431"/>
      <c r="HXY10" s="3431"/>
      <c r="HXZ10" s="3431"/>
      <c r="HYA10" s="3431"/>
      <c r="HYB10" s="3431"/>
      <c r="HYC10" s="3431"/>
      <c r="HYD10" s="3431"/>
      <c r="HYE10" s="3431"/>
      <c r="HYF10" s="3431"/>
      <c r="HYG10" s="3431"/>
      <c r="HYH10" s="3431"/>
      <c r="HYI10" s="3431"/>
      <c r="HYJ10" s="3431"/>
      <c r="HYK10" s="3431"/>
      <c r="HYL10" s="3431"/>
      <c r="HYM10" s="3431"/>
      <c r="HYN10" s="3431"/>
      <c r="HYO10" s="3431"/>
      <c r="HYP10" s="3431"/>
      <c r="HYQ10" s="3431"/>
      <c r="HYR10" s="3431"/>
      <c r="HYS10" s="3431"/>
      <c r="HYT10" s="3431"/>
      <c r="HYU10" s="3431"/>
      <c r="HYV10" s="3431"/>
      <c r="HYW10" s="3431"/>
      <c r="HYX10" s="3431"/>
      <c r="HYY10" s="3431"/>
      <c r="HYZ10" s="3431"/>
      <c r="HZA10" s="3431"/>
      <c r="HZB10" s="3431"/>
      <c r="HZC10" s="3431"/>
      <c r="HZD10" s="3431"/>
      <c r="HZE10" s="3431"/>
      <c r="HZF10" s="3431"/>
      <c r="HZG10" s="3431"/>
      <c r="HZH10" s="3431"/>
      <c r="HZI10" s="3431"/>
      <c r="HZJ10" s="3431"/>
      <c r="HZK10" s="3431"/>
      <c r="HZL10" s="3431"/>
      <c r="HZM10" s="3431"/>
      <c r="HZN10" s="3431"/>
      <c r="HZO10" s="3431"/>
      <c r="HZP10" s="3431"/>
      <c r="HZQ10" s="3431"/>
      <c r="HZR10" s="3431"/>
      <c r="HZS10" s="3431"/>
      <c r="HZT10" s="3431"/>
      <c r="HZU10" s="3431"/>
      <c r="HZV10" s="3431"/>
      <c r="HZW10" s="3431"/>
      <c r="HZX10" s="3431"/>
      <c r="HZY10" s="3431"/>
      <c r="HZZ10" s="3431"/>
      <c r="IAA10" s="3431"/>
      <c r="IAB10" s="3431"/>
      <c r="IAC10" s="3431"/>
      <c r="IAD10" s="3431"/>
      <c r="IAE10" s="3431"/>
      <c r="IAF10" s="3431"/>
      <c r="IAG10" s="3431"/>
      <c r="IAH10" s="3431"/>
      <c r="IAI10" s="3431"/>
      <c r="IAJ10" s="3431"/>
      <c r="IAK10" s="3431"/>
      <c r="IAL10" s="3431"/>
      <c r="IAM10" s="3431"/>
      <c r="IAN10" s="3431"/>
      <c r="IAO10" s="3431"/>
      <c r="IAP10" s="3431"/>
      <c r="IAQ10" s="3431"/>
      <c r="IAR10" s="3431"/>
      <c r="IAS10" s="3431"/>
      <c r="IAT10" s="3431"/>
      <c r="IAU10" s="3431"/>
      <c r="IAV10" s="3431"/>
      <c r="IAW10" s="3431"/>
      <c r="IAX10" s="3431"/>
      <c r="IAY10" s="3431"/>
      <c r="IAZ10" s="3431"/>
      <c r="IBA10" s="3431"/>
      <c r="IBB10" s="3431"/>
      <c r="IBC10" s="3431"/>
      <c r="IBD10" s="3431"/>
      <c r="IBE10" s="3431"/>
      <c r="IBF10" s="3431"/>
      <c r="IBG10" s="3431"/>
      <c r="IBH10" s="3431"/>
      <c r="IBI10" s="3431"/>
      <c r="IBJ10" s="3431"/>
      <c r="IBK10" s="3431"/>
      <c r="IBL10" s="3431"/>
      <c r="IBM10" s="3431"/>
      <c r="IBN10" s="3431"/>
      <c r="IBO10" s="3431"/>
      <c r="IBP10" s="3431"/>
      <c r="IBQ10" s="3431"/>
      <c r="IBR10" s="3431"/>
      <c r="IBS10" s="3431"/>
      <c r="IBT10" s="3431"/>
      <c r="IBU10" s="3431"/>
      <c r="IBV10" s="3431"/>
      <c r="IBW10" s="3431"/>
      <c r="IBX10" s="3431"/>
      <c r="IBY10" s="3431"/>
      <c r="IBZ10" s="3431"/>
      <c r="ICA10" s="3431"/>
      <c r="ICB10" s="3431"/>
      <c r="ICC10" s="3431"/>
      <c r="ICD10" s="3431"/>
      <c r="ICE10" s="3431"/>
      <c r="ICF10" s="3431"/>
      <c r="ICG10" s="3431"/>
      <c r="ICH10" s="3431"/>
      <c r="ICI10" s="3431"/>
      <c r="ICJ10" s="3431"/>
      <c r="ICK10" s="3431"/>
      <c r="ICL10" s="3431"/>
      <c r="ICM10" s="3431"/>
      <c r="ICN10" s="3431"/>
      <c r="ICO10" s="3431"/>
      <c r="ICP10" s="3431"/>
      <c r="ICQ10" s="3431"/>
      <c r="ICR10" s="3431"/>
      <c r="ICS10" s="3431"/>
      <c r="ICT10" s="3431"/>
      <c r="ICU10" s="3431"/>
      <c r="ICV10" s="3431"/>
      <c r="ICW10" s="3431"/>
      <c r="ICX10" s="3431"/>
      <c r="ICY10" s="3431"/>
      <c r="ICZ10" s="3431"/>
      <c r="IDA10" s="3431"/>
      <c r="IDB10" s="3431"/>
      <c r="IDC10" s="3431"/>
      <c r="IDD10" s="3431"/>
      <c r="IDE10" s="3431"/>
      <c r="IDF10" s="3431"/>
      <c r="IDG10" s="3431"/>
      <c r="IDH10" s="3431"/>
      <c r="IDI10" s="3431"/>
      <c r="IDJ10" s="3431"/>
      <c r="IDK10" s="3431"/>
      <c r="IDL10" s="3431"/>
      <c r="IDM10" s="3431"/>
      <c r="IDN10" s="3431"/>
      <c r="IDO10" s="3431"/>
      <c r="IDP10" s="3431"/>
      <c r="IDQ10" s="3431"/>
      <c r="IDR10" s="3431"/>
      <c r="IDS10" s="3431"/>
      <c r="IDT10" s="3431"/>
      <c r="IDU10" s="3431"/>
      <c r="IDV10" s="3431"/>
      <c r="IDW10" s="3431"/>
      <c r="IDX10" s="3431"/>
      <c r="IDY10" s="3431"/>
      <c r="IDZ10" s="3431"/>
      <c r="IEA10" s="3431"/>
      <c r="IEB10" s="3431"/>
      <c r="IEC10" s="3431"/>
      <c r="IED10" s="3431"/>
      <c r="IEE10" s="3431"/>
      <c r="IEF10" s="3431"/>
      <c r="IEG10" s="3431"/>
      <c r="IEH10" s="3431"/>
      <c r="IEI10" s="3431"/>
      <c r="IEJ10" s="3431"/>
      <c r="IEK10" s="3431"/>
      <c r="IEL10" s="3431"/>
      <c r="IEM10" s="3431"/>
      <c r="IEN10" s="3431"/>
      <c r="IEO10" s="3431"/>
      <c r="IEP10" s="3431"/>
      <c r="IEQ10" s="3431"/>
      <c r="IER10" s="3431"/>
      <c r="IES10" s="3431"/>
      <c r="IET10" s="3431"/>
      <c r="IEU10" s="3431"/>
      <c r="IEV10" s="3431"/>
      <c r="IEW10" s="3431"/>
      <c r="IEX10" s="3431"/>
      <c r="IEY10" s="3431"/>
      <c r="IEZ10" s="3431"/>
      <c r="IFA10" s="3431"/>
      <c r="IFB10" s="3431"/>
      <c r="IFC10" s="3431"/>
      <c r="IFD10" s="3431"/>
      <c r="IFE10" s="3431"/>
      <c r="IFF10" s="3431"/>
      <c r="IFG10" s="3431"/>
      <c r="IFH10" s="3431"/>
      <c r="IFI10" s="3431"/>
      <c r="IFJ10" s="3431"/>
      <c r="IFK10" s="3431"/>
      <c r="IFL10" s="3431"/>
      <c r="IFM10" s="3431"/>
      <c r="IFN10" s="3431"/>
      <c r="IFO10" s="3431"/>
      <c r="IFP10" s="3431"/>
      <c r="IFQ10" s="3431"/>
      <c r="IFR10" s="3431"/>
      <c r="IFS10" s="3431"/>
      <c r="IFT10" s="3431"/>
      <c r="IFU10" s="3431"/>
      <c r="IFV10" s="3431"/>
      <c r="IFW10" s="3431"/>
      <c r="IFX10" s="3431"/>
      <c r="IFY10" s="3431"/>
      <c r="IFZ10" s="3431"/>
      <c r="IGA10" s="3431"/>
      <c r="IGB10" s="3431"/>
      <c r="IGC10" s="3431"/>
      <c r="IGD10" s="3431"/>
      <c r="IGE10" s="3431"/>
      <c r="IGF10" s="3431"/>
      <c r="IGG10" s="3431"/>
      <c r="IGH10" s="3431"/>
      <c r="IGI10" s="3431"/>
      <c r="IGJ10" s="3431"/>
      <c r="IGK10" s="3431"/>
      <c r="IGL10" s="3431"/>
      <c r="IGM10" s="3431"/>
      <c r="IGN10" s="3431"/>
      <c r="IGO10" s="3431"/>
      <c r="IGP10" s="3431"/>
      <c r="IGQ10" s="3431"/>
      <c r="IGR10" s="3431"/>
      <c r="IGS10" s="3431"/>
      <c r="IGT10" s="3431"/>
      <c r="IGU10" s="3431"/>
      <c r="IGV10" s="3431"/>
      <c r="IGW10" s="3431"/>
      <c r="IGX10" s="3431"/>
      <c r="IGY10" s="3431"/>
      <c r="IGZ10" s="3431"/>
      <c r="IHA10" s="3431"/>
      <c r="IHB10" s="3431"/>
      <c r="IHC10" s="3431"/>
      <c r="IHD10" s="3431"/>
      <c r="IHE10" s="3431"/>
      <c r="IHF10" s="3431"/>
      <c r="IHG10" s="3431"/>
      <c r="IHH10" s="3431"/>
      <c r="IHI10" s="3431"/>
      <c r="IHJ10" s="3431"/>
      <c r="IHK10" s="3431"/>
      <c r="IHL10" s="3431"/>
      <c r="IHM10" s="3431"/>
      <c r="IHN10" s="3431"/>
      <c r="IHO10" s="3431"/>
      <c r="IHP10" s="3431"/>
      <c r="IHQ10" s="3431"/>
      <c r="IHR10" s="3431"/>
      <c r="IHS10" s="3431"/>
      <c r="IHT10" s="3431"/>
      <c r="IHU10" s="3431"/>
      <c r="IHV10" s="3431"/>
      <c r="IHW10" s="3431"/>
      <c r="IHX10" s="3431"/>
      <c r="IHY10" s="3431"/>
      <c r="IHZ10" s="3431"/>
      <c r="IIA10" s="3431"/>
      <c r="IIB10" s="3431"/>
      <c r="IIC10" s="3431"/>
      <c r="IID10" s="3431"/>
      <c r="IIE10" s="3431"/>
      <c r="IIF10" s="3431"/>
      <c r="IIG10" s="3431"/>
      <c r="IIH10" s="3431"/>
      <c r="III10" s="3431"/>
      <c r="IIJ10" s="3431"/>
      <c r="IIK10" s="3431"/>
      <c r="IIL10" s="3431"/>
      <c r="IIM10" s="3431"/>
      <c r="IIN10" s="3431"/>
      <c r="IIO10" s="3431"/>
      <c r="IIP10" s="3431"/>
      <c r="IIQ10" s="3431"/>
      <c r="IIR10" s="3431"/>
      <c r="IIS10" s="3431"/>
      <c r="IIT10" s="3431"/>
      <c r="IIU10" s="3431"/>
      <c r="IIV10" s="3431"/>
      <c r="IIW10" s="3431"/>
      <c r="IIX10" s="3431"/>
      <c r="IIY10" s="3431"/>
      <c r="IIZ10" s="3431"/>
      <c r="IJA10" s="3431"/>
      <c r="IJB10" s="3431"/>
      <c r="IJC10" s="3431"/>
      <c r="IJD10" s="3431"/>
      <c r="IJE10" s="3431"/>
      <c r="IJF10" s="3431"/>
      <c r="IJG10" s="3431"/>
      <c r="IJH10" s="3431"/>
      <c r="IJI10" s="3431"/>
      <c r="IJJ10" s="3431"/>
      <c r="IJK10" s="3431"/>
      <c r="IJL10" s="3431"/>
      <c r="IJM10" s="3431"/>
      <c r="IJN10" s="3431"/>
      <c r="IJO10" s="3431"/>
      <c r="IJP10" s="3431"/>
      <c r="IJQ10" s="3431"/>
      <c r="IJR10" s="3431"/>
      <c r="IJS10" s="3431"/>
      <c r="IJT10" s="3431"/>
      <c r="IJU10" s="3431"/>
      <c r="IJV10" s="3431"/>
      <c r="IJW10" s="3431"/>
      <c r="IJX10" s="3431"/>
      <c r="IJY10" s="3431"/>
      <c r="IJZ10" s="3431"/>
      <c r="IKA10" s="3431"/>
      <c r="IKB10" s="3431"/>
      <c r="IKC10" s="3431"/>
      <c r="IKD10" s="3431"/>
      <c r="IKE10" s="3431"/>
      <c r="IKF10" s="3431"/>
      <c r="IKG10" s="3431"/>
      <c r="IKH10" s="3431"/>
      <c r="IKI10" s="3431"/>
      <c r="IKJ10" s="3431"/>
      <c r="IKK10" s="3431"/>
      <c r="IKL10" s="3431"/>
      <c r="IKM10" s="3431"/>
      <c r="IKN10" s="3431"/>
      <c r="IKO10" s="3431"/>
      <c r="IKP10" s="3431"/>
      <c r="IKQ10" s="3431"/>
      <c r="IKR10" s="3431"/>
      <c r="IKS10" s="3431"/>
      <c r="IKT10" s="3431"/>
      <c r="IKU10" s="3431"/>
      <c r="IKV10" s="3431"/>
      <c r="IKW10" s="3431"/>
      <c r="IKX10" s="3431"/>
      <c r="IKY10" s="3431"/>
      <c r="IKZ10" s="3431"/>
      <c r="ILA10" s="3431"/>
      <c r="ILB10" s="3431"/>
      <c r="ILC10" s="3431"/>
      <c r="ILD10" s="3431"/>
      <c r="ILE10" s="3431"/>
      <c r="ILF10" s="3431"/>
      <c r="ILG10" s="3431"/>
      <c r="ILH10" s="3431"/>
      <c r="ILI10" s="3431"/>
      <c r="ILJ10" s="3431"/>
      <c r="ILK10" s="3431"/>
      <c r="ILL10" s="3431"/>
      <c r="ILM10" s="3431"/>
      <c r="ILN10" s="3431"/>
      <c r="ILO10" s="3431"/>
      <c r="ILP10" s="3431"/>
      <c r="ILQ10" s="3431"/>
      <c r="ILR10" s="3431"/>
      <c r="ILS10" s="3431"/>
      <c r="ILT10" s="3431"/>
      <c r="ILU10" s="3431"/>
      <c r="ILV10" s="3431"/>
      <c r="ILW10" s="3431"/>
      <c r="ILX10" s="3431"/>
      <c r="ILY10" s="3431"/>
      <c r="ILZ10" s="3431"/>
      <c r="IMA10" s="3431"/>
      <c r="IMB10" s="3431"/>
      <c r="IMC10" s="3431"/>
      <c r="IMD10" s="3431"/>
      <c r="IME10" s="3431"/>
      <c r="IMF10" s="3431"/>
      <c r="IMG10" s="3431"/>
      <c r="IMH10" s="3431"/>
      <c r="IMI10" s="3431"/>
      <c r="IMJ10" s="3431"/>
      <c r="IMK10" s="3431"/>
      <c r="IML10" s="3431"/>
      <c r="IMM10" s="3431"/>
      <c r="IMN10" s="3431"/>
      <c r="IMO10" s="3431"/>
      <c r="IMP10" s="3431"/>
      <c r="IMQ10" s="3431"/>
      <c r="IMR10" s="3431"/>
      <c r="IMS10" s="3431"/>
      <c r="IMT10" s="3431"/>
      <c r="IMU10" s="3431"/>
      <c r="IMV10" s="3431"/>
      <c r="IMW10" s="3431"/>
      <c r="IMX10" s="3431"/>
      <c r="IMY10" s="3431"/>
      <c r="IMZ10" s="3431"/>
      <c r="INA10" s="3431"/>
      <c r="INB10" s="3431"/>
      <c r="INC10" s="3431"/>
      <c r="IND10" s="3431"/>
      <c r="INE10" s="3431"/>
      <c r="INF10" s="3431"/>
      <c r="ING10" s="3431"/>
      <c r="INH10" s="3431"/>
      <c r="INI10" s="3431"/>
      <c r="INJ10" s="3431"/>
      <c r="INK10" s="3431"/>
      <c r="INL10" s="3431"/>
      <c r="INM10" s="3431"/>
      <c r="INN10" s="3431"/>
      <c r="INO10" s="3431"/>
      <c r="INP10" s="3431"/>
      <c r="INQ10" s="3431"/>
      <c r="INR10" s="3431"/>
      <c r="INS10" s="3431"/>
      <c r="INT10" s="3431"/>
      <c r="INU10" s="3431"/>
      <c r="INV10" s="3431"/>
      <c r="INW10" s="3431"/>
      <c r="INX10" s="3431"/>
      <c r="INY10" s="3431"/>
      <c r="INZ10" s="3431"/>
      <c r="IOA10" s="3431"/>
      <c r="IOB10" s="3431"/>
      <c r="IOC10" s="3431"/>
      <c r="IOD10" s="3431"/>
      <c r="IOE10" s="3431"/>
      <c r="IOF10" s="3431"/>
      <c r="IOG10" s="3431"/>
      <c r="IOH10" s="3431"/>
      <c r="IOI10" s="3431"/>
      <c r="IOJ10" s="3431"/>
      <c r="IOK10" s="3431"/>
      <c r="IOL10" s="3431"/>
      <c r="IOM10" s="3431"/>
      <c r="ION10" s="3431"/>
      <c r="IOO10" s="3431"/>
      <c r="IOP10" s="3431"/>
      <c r="IOQ10" s="3431"/>
      <c r="IOR10" s="3431"/>
      <c r="IOS10" s="3431"/>
      <c r="IOT10" s="3431"/>
      <c r="IOU10" s="3431"/>
      <c r="IOV10" s="3431"/>
      <c r="IOW10" s="3431"/>
      <c r="IOX10" s="3431"/>
      <c r="IOY10" s="3431"/>
      <c r="IOZ10" s="3431"/>
      <c r="IPA10" s="3431"/>
      <c r="IPB10" s="3431"/>
      <c r="IPC10" s="3431"/>
      <c r="IPD10" s="3431"/>
      <c r="IPE10" s="3431"/>
      <c r="IPF10" s="3431"/>
      <c r="IPG10" s="3431"/>
      <c r="IPH10" s="3431"/>
      <c r="IPI10" s="3431"/>
      <c r="IPJ10" s="3431"/>
      <c r="IPK10" s="3431"/>
      <c r="IPL10" s="3431"/>
      <c r="IPM10" s="3431"/>
      <c r="IPN10" s="3431"/>
      <c r="IPO10" s="3431"/>
      <c r="IPP10" s="3431"/>
      <c r="IPQ10" s="3431"/>
      <c r="IPR10" s="3431"/>
      <c r="IPS10" s="3431"/>
      <c r="IPT10" s="3431"/>
      <c r="IPU10" s="3431"/>
      <c r="IPV10" s="3431"/>
      <c r="IPW10" s="3431"/>
      <c r="IPX10" s="3431"/>
      <c r="IPY10" s="3431"/>
      <c r="IPZ10" s="3431"/>
      <c r="IQA10" s="3431"/>
      <c r="IQB10" s="3431"/>
      <c r="IQC10" s="3431"/>
      <c r="IQD10" s="3431"/>
      <c r="IQE10" s="3431"/>
      <c r="IQF10" s="3431"/>
      <c r="IQG10" s="3431"/>
      <c r="IQH10" s="3431"/>
      <c r="IQI10" s="3431"/>
      <c r="IQJ10" s="3431"/>
      <c r="IQK10" s="3431"/>
      <c r="IQL10" s="3431"/>
      <c r="IQM10" s="3431"/>
      <c r="IQN10" s="3431"/>
      <c r="IQO10" s="3431"/>
      <c r="IQP10" s="3431"/>
      <c r="IQQ10" s="3431"/>
      <c r="IQR10" s="3431"/>
      <c r="IQS10" s="3431"/>
      <c r="IQT10" s="3431"/>
      <c r="IQU10" s="3431"/>
      <c r="IQV10" s="3431"/>
      <c r="IQW10" s="3431"/>
      <c r="IQX10" s="3431"/>
      <c r="IQY10" s="3431"/>
      <c r="IQZ10" s="3431"/>
      <c r="IRA10" s="3431"/>
      <c r="IRB10" s="3431"/>
      <c r="IRC10" s="3431"/>
      <c r="IRD10" s="3431"/>
      <c r="IRE10" s="3431"/>
      <c r="IRF10" s="3431"/>
      <c r="IRG10" s="3431"/>
      <c r="IRH10" s="3431"/>
      <c r="IRI10" s="3431"/>
      <c r="IRJ10" s="3431"/>
      <c r="IRK10" s="3431"/>
      <c r="IRL10" s="3431"/>
      <c r="IRM10" s="3431"/>
      <c r="IRN10" s="3431"/>
      <c r="IRO10" s="3431"/>
      <c r="IRP10" s="3431"/>
      <c r="IRQ10" s="3431"/>
      <c r="IRR10" s="3431"/>
      <c r="IRS10" s="3431"/>
      <c r="IRT10" s="3431"/>
      <c r="IRU10" s="3431"/>
      <c r="IRV10" s="3431"/>
      <c r="IRW10" s="3431"/>
      <c r="IRX10" s="3431"/>
      <c r="IRY10" s="3431"/>
      <c r="IRZ10" s="3431"/>
      <c r="ISA10" s="3431"/>
      <c r="ISB10" s="3431"/>
      <c r="ISC10" s="3431"/>
      <c r="ISD10" s="3431"/>
      <c r="ISE10" s="3431"/>
      <c r="ISF10" s="3431"/>
      <c r="ISG10" s="3431"/>
      <c r="ISH10" s="3431"/>
      <c r="ISI10" s="3431"/>
      <c r="ISJ10" s="3431"/>
      <c r="ISK10" s="3431"/>
      <c r="ISL10" s="3431"/>
      <c r="ISM10" s="3431"/>
      <c r="ISN10" s="3431"/>
      <c r="ISO10" s="3431"/>
      <c r="ISP10" s="3431"/>
      <c r="ISQ10" s="3431"/>
      <c r="ISR10" s="3431"/>
      <c r="ISS10" s="3431"/>
      <c r="IST10" s="3431"/>
      <c r="ISU10" s="3431"/>
      <c r="ISV10" s="3431"/>
      <c r="ISW10" s="3431"/>
      <c r="ISX10" s="3431"/>
      <c r="ISY10" s="3431"/>
      <c r="ISZ10" s="3431"/>
      <c r="ITA10" s="3431"/>
      <c r="ITB10" s="3431"/>
      <c r="ITC10" s="3431"/>
      <c r="ITD10" s="3431"/>
      <c r="ITE10" s="3431"/>
      <c r="ITF10" s="3431"/>
      <c r="ITG10" s="3431"/>
      <c r="ITH10" s="3431"/>
      <c r="ITI10" s="3431"/>
      <c r="ITJ10" s="3431"/>
      <c r="ITK10" s="3431"/>
      <c r="ITL10" s="3431"/>
      <c r="ITM10" s="3431"/>
      <c r="ITN10" s="3431"/>
      <c r="ITO10" s="3431"/>
      <c r="ITP10" s="3431"/>
      <c r="ITQ10" s="3431"/>
      <c r="ITR10" s="3431"/>
      <c r="ITS10" s="3431"/>
      <c r="ITT10" s="3431"/>
      <c r="ITU10" s="3431"/>
      <c r="ITV10" s="3431"/>
      <c r="ITW10" s="3431"/>
      <c r="ITX10" s="3431"/>
      <c r="ITY10" s="3431"/>
      <c r="ITZ10" s="3431"/>
      <c r="IUA10" s="3431"/>
      <c r="IUB10" s="3431"/>
      <c r="IUC10" s="3431"/>
      <c r="IUD10" s="3431"/>
      <c r="IUE10" s="3431"/>
      <c r="IUF10" s="3431"/>
      <c r="IUG10" s="3431"/>
      <c r="IUH10" s="3431"/>
      <c r="IUI10" s="3431"/>
      <c r="IUJ10" s="3431"/>
      <c r="IUK10" s="3431"/>
      <c r="IUL10" s="3431"/>
      <c r="IUM10" s="3431"/>
      <c r="IUN10" s="3431"/>
      <c r="IUO10" s="3431"/>
      <c r="IUP10" s="3431"/>
      <c r="IUQ10" s="3431"/>
      <c r="IUR10" s="3431"/>
      <c r="IUS10" s="3431"/>
      <c r="IUT10" s="3431"/>
      <c r="IUU10" s="3431"/>
      <c r="IUV10" s="3431"/>
      <c r="IUW10" s="3431"/>
      <c r="IUX10" s="3431"/>
      <c r="IUY10" s="3431"/>
      <c r="IUZ10" s="3431"/>
      <c r="IVA10" s="3431"/>
      <c r="IVB10" s="3431"/>
      <c r="IVC10" s="3431"/>
      <c r="IVD10" s="3431"/>
      <c r="IVE10" s="3431"/>
      <c r="IVF10" s="3431"/>
      <c r="IVG10" s="3431"/>
      <c r="IVH10" s="3431"/>
      <c r="IVI10" s="3431"/>
      <c r="IVJ10" s="3431"/>
      <c r="IVK10" s="3431"/>
      <c r="IVL10" s="3431"/>
      <c r="IVM10" s="3431"/>
      <c r="IVN10" s="3431"/>
      <c r="IVO10" s="3431"/>
      <c r="IVP10" s="3431"/>
      <c r="IVQ10" s="3431"/>
      <c r="IVR10" s="3431"/>
      <c r="IVS10" s="3431"/>
      <c r="IVT10" s="3431"/>
      <c r="IVU10" s="3431"/>
      <c r="IVV10" s="3431"/>
      <c r="IVW10" s="3431"/>
      <c r="IVX10" s="3431"/>
      <c r="IVY10" s="3431"/>
      <c r="IVZ10" s="3431"/>
      <c r="IWA10" s="3431"/>
      <c r="IWB10" s="3431"/>
      <c r="IWC10" s="3431"/>
      <c r="IWD10" s="3431"/>
      <c r="IWE10" s="3431"/>
      <c r="IWF10" s="3431"/>
      <c r="IWG10" s="3431"/>
      <c r="IWH10" s="3431"/>
      <c r="IWI10" s="3431"/>
      <c r="IWJ10" s="3431"/>
      <c r="IWK10" s="3431"/>
      <c r="IWL10" s="3431"/>
      <c r="IWM10" s="3431"/>
      <c r="IWN10" s="3431"/>
      <c r="IWO10" s="3431"/>
      <c r="IWP10" s="3431"/>
      <c r="IWQ10" s="3431"/>
      <c r="IWR10" s="3431"/>
      <c r="IWS10" s="3431"/>
      <c r="IWT10" s="3431"/>
      <c r="IWU10" s="3431"/>
      <c r="IWV10" s="3431"/>
      <c r="IWW10" s="3431"/>
      <c r="IWX10" s="3431"/>
      <c r="IWY10" s="3431"/>
      <c r="IWZ10" s="3431"/>
      <c r="IXA10" s="3431"/>
      <c r="IXB10" s="3431"/>
      <c r="IXC10" s="3431"/>
      <c r="IXD10" s="3431"/>
      <c r="IXE10" s="3431"/>
      <c r="IXF10" s="3431"/>
      <c r="IXG10" s="3431"/>
      <c r="IXH10" s="3431"/>
      <c r="IXI10" s="3431"/>
      <c r="IXJ10" s="3431"/>
      <c r="IXK10" s="3431"/>
      <c r="IXL10" s="3431"/>
      <c r="IXM10" s="3431"/>
      <c r="IXN10" s="3431"/>
      <c r="IXO10" s="3431"/>
      <c r="IXP10" s="3431"/>
      <c r="IXQ10" s="3431"/>
      <c r="IXR10" s="3431"/>
      <c r="IXS10" s="3431"/>
      <c r="IXT10" s="3431"/>
      <c r="IXU10" s="3431"/>
      <c r="IXV10" s="3431"/>
      <c r="IXW10" s="3431"/>
      <c r="IXX10" s="3431"/>
      <c r="IXY10" s="3431"/>
      <c r="IXZ10" s="3431"/>
      <c r="IYA10" s="3431"/>
      <c r="IYB10" s="3431"/>
      <c r="IYC10" s="3431"/>
      <c r="IYD10" s="3431"/>
      <c r="IYE10" s="3431"/>
      <c r="IYF10" s="3431"/>
      <c r="IYG10" s="3431"/>
      <c r="IYH10" s="3431"/>
      <c r="IYI10" s="3431"/>
      <c r="IYJ10" s="3431"/>
      <c r="IYK10" s="3431"/>
      <c r="IYL10" s="3431"/>
      <c r="IYM10" s="3431"/>
      <c r="IYN10" s="3431"/>
      <c r="IYO10" s="3431"/>
      <c r="IYP10" s="3431"/>
      <c r="IYQ10" s="3431"/>
      <c r="IYR10" s="3431"/>
      <c r="IYS10" s="3431"/>
      <c r="IYT10" s="3431"/>
      <c r="IYU10" s="3431"/>
      <c r="IYV10" s="3431"/>
      <c r="IYW10" s="3431"/>
      <c r="IYX10" s="3431"/>
      <c r="IYY10" s="3431"/>
      <c r="IYZ10" s="3431"/>
      <c r="IZA10" s="3431"/>
      <c r="IZB10" s="3431"/>
      <c r="IZC10" s="3431"/>
      <c r="IZD10" s="3431"/>
      <c r="IZE10" s="3431"/>
      <c r="IZF10" s="3431"/>
      <c r="IZG10" s="3431"/>
      <c r="IZH10" s="3431"/>
      <c r="IZI10" s="3431"/>
      <c r="IZJ10" s="3431"/>
      <c r="IZK10" s="3431"/>
      <c r="IZL10" s="3431"/>
      <c r="IZM10" s="3431"/>
      <c r="IZN10" s="3431"/>
      <c r="IZO10" s="3431"/>
      <c r="IZP10" s="3431"/>
      <c r="IZQ10" s="3431"/>
      <c r="IZR10" s="3431"/>
      <c r="IZS10" s="3431"/>
      <c r="IZT10" s="3431"/>
      <c r="IZU10" s="3431"/>
      <c r="IZV10" s="3431"/>
      <c r="IZW10" s="3431"/>
      <c r="IZX10" s="3431"/>
      <c r="IZY10" s="3431"/>
      <c r="IZZ10" s="3431"/>
      <c r="JAA10" s="3431"/>
      <c r="JAB10" s="3431"/>
      <c r="JAC10" s="3431"/>
      <c r="JAD10" s="3431"/>
      <c r="JAE10" s="3431"/>
      <c r="JAF10" s="3431"/>
      <c r="JAG10" s="3431"/>
      <c r="JAH10" s="3431"/>
      <c r="JAI10" s="3431"/>
      <c r="JAJ10" s="3431"/>
      <c r="JAK10" s="3431"/>
      <c r="JAL10" s="3431"/>
      <c r="JAM10" s="3431"/>
      <c r="JAN10" s="3431"/>
      <c r="JAO10" s="3431"/>
      <c r="JAP10" s="3431"/>
      <c r="JAQ10" s="3431"/>
      <c r="JAR10" s="3431"/>
      <c r="JAS10" s="3431"/>
      <c r="JAT10" s="3431"/>
      <c r="JAU10" s="3431"/>
      <c r="JAV10" s="3431"/>
      <c r="JAW10" s="3431"/>
      <c r="JAX10" s="3431"/>
      <c r="JAY10" s="3431"/>
      <c r="JAZ10" s="3431"/>
      <c r="JBA10" s="3431"/>
      <c r="JBB10" s="3431"/>
      <c r="JBC10" s="3431"/>
      <c r="JBD10" s="3431"/>
      <c r="JBE10" s="3431"/>
      <c r="JBF10" s="3431"/>
      <c r="JBG10" s="3431"/>
      <c r="JBH10" s="3431"/>
      <c r="JBI10" s="3431"/>
      <c r="JBJ10" s="3431"/>
      <c r="JBK10" s="3431"/>
      <c r="JBL10" s="3431"/>
      <c r="JBM10" s="3431"/>
      <c r="JBN10" s="3431"/>
      <c r="JBO10" s="3431"/>
      <c r="JBP10" s="3431"/>
      <c r="JBQ10" s="3431"/>
      <c r="JBR10" s="3431"/>
      <c r="JBS10" s="3431"/>
      <c r="JBT10" s="3431"/>
      <c r="JBU10" s="3431"/>
      <c r="JBV10" s="3431"/>
      <c r="JBW10" s="3431"/>
      <c r="JBX10" s="3431"/>
      <c r="JBY10" s="3431"/>
      <c r="JBZ10" s="3431"/>
      <c r="JCA10" s="3431"/>
      <c r="JCB10" s="3431"/>
      <c r="JCC10" s="3431"/>
      <c r="JCD10" s="3431"/>
      <c r="JCE10" s="3431"/>
      <c r="JCF10" s="3431"/>
      <c r="JCG10" s="3431"/>
      <c r="JCH10" s="3431"/>
      <c r="JCI10" s="3431"/>
      <c r="JCJ10" s="3431"/>
      <c r="JCK10" s="3431"/>
      <c r="JCL10" s="3431"/>
      <c r="JCM10" s="3431"/>
      <c r="JCN10" s="3431"/>
      <c r="JCO10" s="3431"/>
      <c r="JCP10" s="3431"/>
      <c r="JCQ10" s="3431"/>
      <c r="JCR10" s="3431"/>
      <c r="JCS10" s="3431"/>
      <c r="JCT10" s="3431"/>
      <c r="JCU10" s="3431"/>
      <c r="JCV10" s="3431"/>
      <c r="JCW10" s="3431"/>
      <c r="JCX10" s="3431"/>
      <c r="JCY10" s="3431"/>
      <c r="JCZ10" s="3431"/>
      <c r="JDA10" s="3431"/>
      <c r="JDB10" s="3431"/>
      <c r="JDC10" s="3431"/>
      <c r="JDD10" s="3431"/>
      <c r="JDE10" s="3431"/>
      <c r="JDF10" s="3431"/>
      <c r="JDG10" s="3431"/>
      <c r="JDH10" s="3431"/>
      <c r="JDI10" s="3431"/>
      <c r="JDJ10" s="3431"/>
      <c r="JDK10" s="3431"/>
      <c r="JDL10" s="3431"/>
      <c r="JDM10" s="3431"/>
      <c r="JDN10" s="3431"/>
      <c r="JDO10" s="3431"/>
      <c r="JDP10" s="3431"/>
      <c r="JDQ10" s="3431"/>
      <c r="JDR10" s="3431"/>
      <c r="JDS10" s="3431"/>
      <c r="JDT10" s="3431"/>
      <c r="JDU10" s="3431"/>
      <c r="JDV10" s="3431"/>
      <c r="JDW10" s="3431"/>
      <c r="JDX10" s="3431"/>
      <c r="JDY10" s="3431"/>
      <c r="JDZ10" s="3431"/>
      <c r="JEA10" s="3431"/>
      <c r="JEB10" s="3431"/>
      <c r="JEC10" s="3431"/>
      <c r="JED10" s="3431"/>
      <c r="JEE10" s="3431"/>
      <c r="JEF10" s="3431"/>
      <c r="JEG10" s="3431"/>
      <c r="JEH10" s="3431"/>
      <c r="JEI10" s="3431"/>
      <c r="JEJ10" s="3431"/>
      <c r="JEK10" s="3431"/>
      <c r="JEL10" s="3431"/>
      <c r="JEM10" s="3431"/>
      <c r="JEN10" s="3431"/>
      <c r="JEO10" s="3431"/>
      <c r="JEP10" s="3431"/>
      <c r="JEQ10" s="3431"/>
      <c r="JER10" s="3431"/>
      <c r="JES10" s="3431"/>
      <c r="JET10" s="3431"/>
      <c r="JEU10" s="3431"/>
      <c r="JEV10" s="3431"/>
      <c r="JEW10" s="3431"/>
      <c r="JEX10" s="3431"/>
      <c r="JEY10" s="3431"/>
      <c r="JEZ10" s="3431"/>
      <c r="JFA10" s="3431"/>
      <c r="JFB10" s="3431"/>
      <c r="JFC10" s="3431"/>
      <c r="JFD10" s="3431"/>
      <c r="JFE10" s="3431"/>
      <c r="JFF10" s="3431"/>
      <c r="JFG10" s="3431"/>
      <c r="JFH10" s="3431"/>
      <c r="JFI10" s="3431"/>
      <c r="JFJ10" s="3431"/>
      <c r="JFK10" s="3431"/>
      <c r="JFL10" s="3431"/>
      <c r="JFM10" s="3431"/>
      <c r="JFN10" s="3431"/>
      <c r="JFO10" s="3431"/>
      <c r="JFP10" s="3431"/>
      <c r="JFQ10" s="3431"/>
      <c r="JFR10" s="3431"/>
      <c r="JFS10" s="3431"/>
      <c r="JFT10" s="3431"/>
      <c r="JFU10" s="3431"/>
      <c r="JFV10" s="3431"/>
      <c r="JFW10" s="3431"/>
      <c r="JFX10" s="3431"/>
      <c r="JFY10" s="3431"/>
      <c r="JFZ10" s="3431"/>
      <c r="JGA10" s="3431"/>
      <c r="JGB10" s="3431"/>
      <c r="JGC10" s="3431"/>
      <c r="JGD10" s="3431"/>
      <c r="JGE10" s="3431"/>
      <c r="JGF10" s="3431"/>
      <c r="JGG10" s="3431"/>
      <c r="JGH10" s="3431"/>
      <c r="JGI10" s="3431"/>
      <c r="JGJ10" s="3431"/>
      <c r="JGK10" s="3431"/>
      <c r="JGL10" s="3431"/>
      <c r="JGM10" s="3431"/>
      <c r="JGN10" s="3431"/>
      <c r="JGO10" s="3431"/>
      <c r="JGP10" s="3431"/>
      <c r="JGQ10" s="3431"/>
      <c r="JGR10" s="3431"/>
      <c r="JGS10" s="3431"/>
      <c r="JGT10" s="3431"/>
      <c r="JGU10" s="3431"/>
      <c r="JGV10" s="3431"/>
      <c r="JGW10" s="3431"/>
      <c r="JGX10" s="3431"/>
      <c r="JGY10" s="3431"/>
      <c r="JGZ10" s="3431"/>
      <c r="JHA10" s="3431"/>
      <c r="JHB10" s="3431"/>
      <c r="JHC10" s="3431"/>
      <c r="JHD10" s="3431"/>
      <c r="JHE10" s="3431"/>
      <c r="JHF10" s="3431"/>
      <c r="JHG10" s="3431"/>
      <c r="JHH10" s="3431"/>
      <c r="JHI10" s="3431"/>
      <c r="JHJ10" s="3431"/>
      <c r="JHK10" s="3431"/>
      <c r="JHL10" s="3431"/>
      <c r="JHM10" s="3431"/>
      <c r="JHN10" s="3431"/>
      <c r="JHO10" s="3431"/>
      <c r="JHP10" s="3431"/>
      <c r="JHQ10" s="3431"/>
      <c r="JHR10" s="3431"/>
      <c r="JHS10" s="3431"/>
      <c r="JHT10" s="3431"/>
      <c r="JHU10" s="3431"/>
      <c r="JHV10" s="3431"/>
      <c r="JHW10" s="3431"/>
      <c r="JHX10" s="3431"/>
      <c r="JHY10" s="3431"/>
      <c r="JHZ10" s="3431"/>
      <c r="JIA10" s="3431"/>
      <c r="JIB10" s="3431"/>
      <c r="JIC10" s="3431"/>
      <c r="JID10" s="3431"/>
      <c r="JIE10" s="3431"/>
      <c r="JIF10" s="3431"/>
      <c r="JIG10" s="3431"/>
      <c r="JIH10" s="3431"/>
      <c r="JII10" s="3431"/>
      <c r="JIJ10" s="3431"/>
      <c r="JIK10" s="3431"/>
      <c r="JIL10" s="3431"/>
      <c r="JIM10" s="3431"/>
      <c r="JIN10" s="3431"/>
      <c r="JIO10" s="3431"/>
      <c r="JIP10" s="3431"/>
      <c r="JIQ10" s="3431"/>
      <c r="JIR10" s="3431"/>
      <c r="JIS10" s="3431"/>
      <c r="JIT10" s="3431"/>
      <c r="JIU10" s="3431"/>
      <c r="JIV10" s="3431"/>
      <c r="JIW10" s="3431"/>
      <c r="JIX10" s="3431"/>
      <c r="JIY10" s="3431"/>
      <c r="JIZ10" s="3431"/>
      <c r="JJA10" s="3431"/>
      <c r="JJB10" s="3431"/>
      <c r="JJC10" s="3431"/>
      <c r="JJD10" s="3431"/>
      <c r="JJE10" s="3431"/>
      <c r="JJF10" s="3431"/>
      <c r="JJG10" s="3431"/>
      <c r="JJH10" s="3431"/>
      <c r="JJI10" s="3431"/>
      <c r="JJJ10" s="3431"/>
      <c r="JJK10" s="3431"/>
      <c r="JJL10" s="3431"/>
      <c r="JJM10" s="3431"/>
      <c r="JJN10" s="3431"/>
      <c r="JJO10" s="3431"/>
      <c r="JJP10" s="3431"/>
      <c r="JJQ10" s="3431"/>
      <c r="JJR10" s="3431"/>
      <c r="JJS10" s="3431"/>
      <c r="JJT10" s="3431"/>
      <c r="JJU10" s="3431"/>
      <c r="JJV10" s="3431"/>
      <c r="JJW10" s="3431"/>
      <c r="JJX10" s="3431"/>
      <c r="JJY10" s="3431"/>
      <c r="JJZ10" s="3431"/>
      <c r="JKA10" s="3431"/>
      <c r="JKB10" s="3431"/>
      <c r="JKC10" s="3431"/>
      <c r="JKD10" s="3431"/>
      <c r="JKE10" s="3431"/>
      <c r="JKF10" s="3431"/>
      <c r="JKG10" s="3431"/>
      <c r="JKH10" s="3431"/>
      <c r="JKI10" s="3431"/>
      <c r="JKJ10" s="3431"/>
      <c r="JKK10" s="3431"/>
      <c r="JKL10" s="3431"/>
      <c r="JKM10" s="3431"/>
      <c r="JKN10" s="3431"/>
      <c r="JKO10" s="3431"/>
      <c r="JKP10" s="3431"/>
      <c r="JKQ10" s="3431"/>
      <c r="JKR10" s="3431"/>
      <c r="JKS10" s="3431"/>
      <c r="JKT10" s="3431"/>
      <c r="JKU10" s="3431"/>
      <c r="JKV10" s="3431"/>
      <c r="JKW10" s="3431"/>
      <c r="JKX10" s="3431"/>
      <c r="JKY10" s="3431"/>
      <c r="JKZ10" s="3431"/>
      <c r="JLA10" s="3431"/>
      <c r="JLB10" s="3431"/>
      <c r="JLC10" s="3431"/>
      <c r="JLD10" s="3431"/>
      <c r="JLE10" s="3431"/>
      <c r="JLF10" s="3431"/>
      <c r="JLG10" s="3431"/>
      <c r="JLH10" s="3431"/>
      <c r="JLI10" s="3431"/>
      <c r="JLJ10" s="3431"/>
      <c r="JLK10" s="3431"/>
      <c r="JLL10" s="3431"/>
      <c r="JLM10" s="3431"/>
      <c r="JLN10" s="3431"/>
      <c r="JLO10" s="3431"/>
      <c r="JLP10" s="3431"/>
      <c r="JLQ10" s="3431"/>
      <c r="JLR10" s="3431"/>
      <c r="JLS10" s="3431"/>
      <c r="JLT10" s="3431"/>
      <c r="JLU10" s="3431"/>
      <c r="JLV10" s="3431"/>
      <c r="JLW10" s="3431"/>
      <c r="JLX10" s="3431"/>
      <c r="JLY10" s="3431"/>
      <c r="JLZ10" s="3431"/>
      <c r="JMA10" s="3431"/>
      <c r="JMB10" s="3431"/>
      <c r="JMC10" s="3431"/>
      <c r="JMD10" s="3431"/>
      <c r="JME10" s="3431"/>
      <c r="JMF10" s="3431"/>
      <c r="JMG10" s="3431"/>
      <c r="JMH10" s="3431"/>
      <c r="JMI10" s="3431"/>
      <c r="JMJ10" s="3431"/>
      <c r="JMK10" s="3431"/>
      <c r="JML10" s="3431"/>
      <c r="JMM10" s="3431"/>
      <c r="JMN10" s="3431"/>
      <c r="JMO10" s="3431"/>
      <c r="JMP10" s="3431"/>
      <c r="JMQ10" s="3431"/>
      <c r="JMR10" s="3431"/>
      <c r="JMS10" s="3431"/>
      <c r="JMT10" s="3431"/>
      <c r="JMU10" s="3431"/>
      <c r="JMV10" s="3431"/>
      <c r="JMW10" s="3431"/>
      <c r="JMX10" s="3431"/>
      <c r="JMY10" s="3431"/>
      <c r="JMZ10" s="3431"/>
      <c r="JNA10" s="3431"/>
      <c r="JNB10" s="3431"/>
      <c r="JNC10" s="3431"/>
      <c r="JND10" s="3431"/>
      <c r="JNE10" s="3431"/>
      <c r="JNF10" s="3431"/>
      <c r="JNG10" s="3431"/>
      <c r="JNH10" s="3431"/>
      <c r="JNI10" s="3431"/>
      <c r="JNJ10" s="3431"/>
      <c r="JNK10" s="3431"/>
      <c r="JNL10" s="3431"/>
      <c r="JNM10" s="3431"/>
      <c r="JNN10" s="3431"/>
      <c r="JNO10" s="3431"/>
      <c r="JNP10" s="3431"/>
      <c r="JNQ10" s="3431"/>
      <c r="JNR10" s="3431"/>
      <c r="JNS10" s="3431"/>
      <c r="JNT10" s="3431"/>
      <c r="JNU10" s="3431"/>
      <c r="JNV10" s="3431"/>
      <c r="JNW10" s="3431"/>
      <c r="JNX10" s="3431"/>
      <c r="JNY10" s="3431"/>
      <c r="JNZ10" s="3431"/>
      <c r="JOA10" s="3431"/>
      <c r="JOB10" s="3431"/>
      <c r="JOC10" s="3431"/>
      <c r="JOD10" s="3431"/>
      <c r="JOE10" s="3431"/>
      <c r="JOF10" s="3431"/>
      <c r="JOG10" s="3431"/>
      <c r="JOH10" s="3431"/>
      <c r="JOI10" s="3431"/>
      <c r="JOJ10" s="3431"/>
      <c r="JOK10" s="3431"/>
      <c r="JOL10" s="3431"/>
      <c r="JOM10" s="3431"/>
      <c r="JON10" s="3431"/>
      <c r="JOO10" s="3431"/>
      <c r="JOP10" s="3431"/>
      <c r="JOQ10" s="3431"/>
      <c r="JOR10" s="3431"/>
      <c r="JOS10" s="3431"/>
      <c r="JOT10" s="3431"/>
      <c r="JOU10" s="3431"/>
      <c r="JOV10" s="3431"/>
      <c r="JOW10" s="3431"/>
      <c r="JOX10" s="3431"/>
      <c r="JOY10" s="3431"/>
      <c r="JOZ10" s="3431"/>
      <c r="JPA10" s="3431"/>
      <c r="JPB10" s="3431"/>
      <c r="JPC10" s="3431"/>
      <c r="JPD10" s="3431"/>
      <c r="JPE10" s="3431"/>
      <c r="JPF10" s="3431"/>
      <c r="JPG10" s="3431"/>
      <c r="JPH10" s="3431"/>
      <c r="JPI10" s="3431"/>
      <c r="JPJ10" s="3431"/>
      <c r="JPK10" s="3431"/>
      <c r="JPL10" s="3431"/>
      <c r="JPM10" s="3431"/>
      <c r="JPN10" s="3431"/>
      <c r="JPO10" s="3431"/>
      <c r="JPP10" s="3431"/>
      <c r="JPQ10" s="3431"/>
      <c r="JPR10" s="3431"/>
      <c r="JPS10" s="3431"/>
      <c r="JPT10" s="3431"/>
      <c r="JPU10" s="3431"/>
      <c r="JPV10" s="3431"/>
      <c r="JPW10" s="3431"/>
      <c r="JPX10" s="3431"/>
      <c r="JPY10" s="3431"/>
      <c r="JPZ10" s="3431"/>
      <c r="JQA10" s="3431"/>
      <c r="JQB10" s="3431"/>
      <c r="JQC10" s="3431"/>
      <c r="JQD10" s="3431"/>
      <c r="JQE10" s="3431"/>
      <c r="JQF10" s="3431"/>
      <c r="JQG10" s="3431"/>
      <c r="JQH10" s="3431"/>
      <c r="JQI10" s="3431"/>
      <c r="JQJ10" s="3431"/>
      <c r="JQK10" s="3431"/>
      <c r="JQL10" s="3431"/>
      <c r="JQM10" s="3431"/>
      <c r="JQN10" s="3431"/>
      <c r="JQO10" s="3431"/>
      <c r="JQP10" s="3431"/>
      <c r="JQQ10" s="3431"/>
      <c r="JQR10" s="3431"/>
      <c r="JQS10" s="3431"/>
      <c r="JQT10" s="3431"/>
      <c r="JQU10" s="3431"/>
      <c r="JQV10" s="3431"/>
      <c r="JQW10" s="3431"/>
      <c r="JQX10" s="3431"/>
      <c r="JQY10" s="3431"/>
      <c r="JQZ10" s="3431"/>
      <c r="JRA10" s="3431"/>
      <c r="JRB10" s="3431"/>
      <c r="JRC10" s="3431"/>
      <c r="JRD10" s="3431"/>
      <c r="JRE10" s="3431"/>
      <c r="JRF10" s="3431"/>
      <c r="JRG10" s="3431"/>
      <c r="JRH10" s="3431"/>
      <c r="JRI10" s="3431"/>
      <c r="JRJ10" s="3431"/>
      <c r="JRK10" s="3431"/>
      <c r="JRL10" s="3431"/>
      <c r="JRM10" s="3431"/>
      <c r="JRN10" s="3431"/>
      <c r="JRO10" s="3431"/>
      <c r="JRP10" s="3431"/>
      <c r="JRQ10" s="3431"/>
      <c r="JRR10" s="3431"/>
      <c r="JRS10" s="3431"/>
      <c r="JRT10" s="3431"/>
      <c r="JRU10" s="3431"/>
      <c r="JRV10" s="3431"/>
      <c r="JRW10" s="3431"/>
      <c r="JRX10" s="3431"/>
      <c r="JRY10" s="3431"/>
      <c r="JRZ10" s="3431"/>
      <c r="JSA10" s="3431"/>
      <c r="JSB10" s="3431"/>
      <c r="JSC10" s="3431"/>
      <c r="JSD10" s="3431"/>
      <c r="JSE10" s="3431"/>
      <c r="JSF10" s="3431"/>
      <c r="JSG10" s="3431"/>
      <c r="JSH10" s="3431"/>
      <c r="JSI10" s="3431"/>
      <c r="JSJ10" s="3431"/>
      <c r="JSK10" s="3431"/>
      <c r="JSL10" s="3431"/>
      <c r="JSM10" s="3431"/>
      <c r="JSN10" s="3431"/>
      <c r="JSO10" s="3431"/>
      <c r="JSP10" s="3431"/>
      <c r="JSQ10" s="3431"/>
      <c r="JSR10" s="3431"/>
      <c r="JSS10" s="3431"/>
      <c r="JST10" s="3431"/>
      <c r="JSU10" s="3431"/>
      <c r="JSV10" s="3431"/>
      <c r="JSW10" s="3431"/>
      <c r="JSX10" s="3431"/>
      <c r="JSY10" s="3431"/>
      <c r="JSZ10" s="3431"/>
      <c r="JTA10" s="3431"/>
      <c r="JTB10" s="3431"/>
      <c r="JTC10" s="3431"/>
      <c r="JTD10" s="3431"/>
      <c r="JTE10" s="3431"/>
      <c r="JTF10" s="3431"/>
      <c r="JTG10" s="3431"/>
      <c r="JTH10" s="3431"/>
      <c r="JTI10" s="3431"/>
      <c r="JTJ10" s="3431"/>
      <c r="JTK10" s="3431"/>
      <c r="JTL10" s="3431"/>
      <c r="JTM10" s="3431"/>
      <c r="JTN10" s="3431"/>
      <c r="JTO10" s="3431"/>
      <c r="JTP10" s="3431"/>
      <c r="JTQ10" s="3431"/>
      <c r="JTR10" s="3431"/>
      <c r="JTS10" s="3431"/>
      <c r="JTT10" s="3431"/>
      <c r="JTU10" s="3431"/>
      <c r="JTV10" s="3431"/>
      <c r="JTW10" s="3431"/>
      <c r="JTX10" s="3431"/>
      <c r="JTY10" s="3431"/>
      <c r="JTZ10" s="3431"/>
      <c r="JUA10" s="3431"/>
      <c r="JUB10" s="3431"/>
      <c r="JUC10" s="3431"/>
      <c r="JUD10" s="3431"/>
      <c r="JUE10" s="3431"/>
      <c r="JUF10" s="3431"/>
      <c r="JUG10" s="3431"/>
      <c r="JUH10" s="3431"/>
      <c r="JUI10" s="3431"/>
      <c r="JUJ10" s="3431"/>
      <c r="JUK10" s="3431"/>
      <c r="JUL10" s="3431"/>
      <c r="JUM10" s="3431"/>
      <c r="JUN10" s="3431"/>
      <c r="JUO10" s="3431"/>
      <c r="JUP10" s="3431"/>
      <c r="JUQ10" s="3431"/>
      <c r="JUR10" s="3431"/>
      <c r="JUS10" s="3431"/>
      <c r="JUT10" s="3431"/>
      <c r="JUU10" s="3431"/>
      <c r="JUV10" s="3431"/>
      <c r="JUW10" s="3431"/>
      <c r="JUX10" s="3431"/>
      <c r="JUY10" s="3431"/>
      <c r="JUZ10" s="3431"/>
      <c r="JVA10" s="3431"/>
      <c r="JVB10" s="3431"/>
      <c r="JVC10" s="3431"/>
      <c r="JVD10" s="3431"/>
      <c r="JVE10" s="3431"/>
      <c r="JVF10" s="3431"/>
      <c r="JVG10" s="3431"/>
      <c r="JVH10" s="3431"/>
      <c r="JVI10" s="3431"/>
      <c r="JVJ10" s="3431"/>
      <c r="JVK10" s="3431"/>
      <c r="JVL10" s="3431"/>
      <c r="JVM10" s="3431"/>
      <c r="JVN10" s="3431"/>
      <c r="JVO10" s="3431"/>
      <c r="JVP10" s="3431"/>
      <c r="JVQ10" s="3431"/>
      <c r="JVR10" s="3431"/>
      <c r="JVS10" s="3431"/>
      <c r="JVT10" s="3431"/>
      <c r="JVU10" s="3431"/>
      <c r="JVV10" s="3431"/>
      <c r="JVW10" s="3431"/>
      <c r="JVX10" s="3431"/>
      <c r="JVY10" s="3431"/>
      <c r="JVZ10" s="3431"/>
      <c r="JWA10" s="3431"/>
      <c r="JWB10" s="3431"/>
      <c r="JWC10" s="3431"/>
      <c r="JWD10" s="3431"/>
      <c r="JWE10" s="3431"/>
      <c r="JWF10" s="3431"/>
      <c r="JWG10" s="3431"/>
      <c r="JWH10" s="3431"/>
      <c r="JWI10" s="3431"/>
      <c r="JWJ10" s="3431"/>
      <c r="JWK10" s="3431"/>
      <c r="JWL10" s="3431"/>
      <c r="JWM10" s="3431"/>
      <c r="JWN10" s="3431"/>
      <c r="JWO10" s="3431"/>
      <c r="JWP10" s="3431"/>
      <c r="JWQ10" s="3431"/>
      <c r="JWR10" s="3431"/>
      <c r="JWS10" s="3431"/>
      <c r="JWT10" s="3431"/>
      <c r="JWU10" s="3431"/>
      <c r="JWV10" s="3431"/>
      <c r="JWW10" s="3431"/>
      <c r="JWX10" s="3431"/>
      <c r="JWY10" s="3431"/>
      <c r="JWZ10" s="3431"/>
      <c r="JXA10" s="3431"/>
      <c r="JXB10" s="3431"/>
      <c r="JXC10" s="3431"/>
      <c r="JXD10" s="3431"/>
      <c r="JXE10" s="3431"/>
      <c r="JXF10" s="3431"/>
      <c r="JXG10" s="3431"/>
      <c r="JXH10" s="3431"/>
      <c r="JXI10" s="3431"/>
      <c r="JXJ10" s="3431"/>
      <c r="JXK10" s="3431"/>
      <c r="JXL10" s="3431"/>
      <c r="JXM10" s="3431"/>
      <c r="JXN10" s="3431"/>
      <c r="JXO10" s="3431"/>
      <c r="JXP10" s="3431"/>
      <c r="JXQ10" s="3431"/>
      <c r="JXR10" s="3431"/>
      <c r="JXS10" s="3431"/>
      <c r="JXT10" s="3431"/>
      <c r="JXU10" s="3431"/>
      <c r="JXV10" s="3431"/>
      <c r="JXW10" s="3431"/>
      <c r="JXX10" s="3431"/>
      <c r="JXY10" s="3431"/>
      <c r="JXZ10" s="3431"/>
      <c r="JYA10" s="3431"/>
      <c r="JYB10" s="3431"/>
      <c r="JYC10" s="3431"/>
      <c r="JYD10" s="3431"/>
      <c r="JYE10" s="3431"/>
      <c r="JYF10" s="3431"/>
      <c r="JYG10" s="3431"/>
      <c r="JYH10" s="3431"/>
      <c r="JYI10" s="3431"/>
      <c r="JYJ10" s="3431"/>
      <c r="JYK10" s="3431"/>
      <c r="JYL10" s="3431"/>
      <c r="JYM10" s="3431"/>
      <c r="JYN10" s="3431"/>
      <c r="JYO10" s="3431"/>
      <c r="JYP10" s="3431"/>
      <c r="JYQ10" s="3431"/>
      <c r="JYR10" s="3431"/>
      <c r="JYS10" s="3431"/>
      <c r="JYT10" s="3431"/>
      <c r="JYU10" s="3431"/>
      <c r="JYV10" s="3431"/>
      <c r="JYW10" s="3431"/>
      <c r="JYX10" s="3431"/>
      <c r="JYY10" s="3431"/>
      <c r="JYZ10" s="3431"/>
      <c r="JZA10" s="3431"/>
      <c r="JZB10" s="3431"/>
      <c r="JZC10" s="3431"/>
      <c r="JZD10" s="3431"/>
      <c r="JZE10" s="3431"/>
      <c r="JZF10" s="3431"/>
      <c r="JZG10" s="3431"/>
      <c r="JZH10" s="3431"/>
      <c r="JZI10" s="3431"/>
      <c r="JZJ10" s="3431"/>
      <c r="JZK10" s="3431"/>
      <c r="JZL10" s="3431"/>
      <c r="JZM10" s="3431"/>
      <c r="JZN10" s="3431"/>
      <c r="JZO10" s="3431"/>
      <c r="JZP10" s="3431"/>
      <c r="JZQ10" s="3431"/>
      <c r="JZR10" s="3431"/>
      <c r="JZS10" s="3431"/>
      <c r="JZT10" s="3431"/>
      <c r="JZU10" s="3431"/>
      <c r="JZV10" s="3431"/>
      <c r="JZW10" s="3431"/>
      <c r="JZX10" s="3431"/>
      <c r="JZY10" s="3431"/>
      <c r="JZZ10" s="3431"/>
      <c r="KAA10" s="3431"/>
      <c r="KAB10" s="3431"/>
      <c r="KAC10" s="3431"/>
      <c r="KAD10" s="3431"/>
      <c r="KAE10" s="3431"/>
      <c r="KAF10" s="3431"/>
      <c r="KAG10" s="3431"/>
      <c r="KAH10" s="3431"/>
      <c r="KAI10" s="3431"/>
      <c r="KAJ10" s="3431"/>
      <c r="KAK10" s="3431"/>
      <c r="KAL10" s="3431"/>
      <c r="KAM10" s="3431"/>
      <c r="KAN10" s="3431"/>
      <c r="KAO10" s="3431"/>
      <c r="KAP10" s="3431"/>
      <c r="KAQ10" s="3431"/>
      <c r="KAR10" s="3431"/>
      <c r="KAS10" s="3431"/>
      <c r="KAT10" s="3431"/>
      <c r="KAU10" s="3431"/>
      <c r="KAV10" s="3431"/>
      <c r="KAW10" s="3431"/>
      <c r="KAX10" s="3431"/>
      <c r="KAY10" s="3431"/>
      <c r="KAZ10" s="3431"/>
      <c r="KBA10" s="3431"/>
      <c r="KBB10" s="3431"/>
      <c r="KBC10" s="3431"/>
      <c r="KBD10" s="3431"/>
      <c r="KBE10" s="3431"/>
      <c r="KBF10" s="3431"/>
      <c r="KBG10" s="3431"/>
      <c r="KBH10" s="3431"/>
      <c r="KBI10" s="3431"/>
      <c r="KBJ10" s="3431"/>
      <c r="KBK10" s="3431"/>
      <c r="KBL10" s="3431"/>
      <c r="KBM10" s="3431"/>
      <c r="KBN10" s="3431"/>
      <c r="KBO10" s="3431"/>
      <c r="KBP10" s="3431"/>
      <c r="KBQ10" s="3431"/>
      <c r="KBR10" s="3431"/>
      <c r="KBS10" s="3431"/>
      <c r="KBT10" s="3431"/>
      <c r="KBU10" s="3431"/>
      <c r="KBV10" s="3431"/>
      <c r="KBW10" s="3431"/>
      <c r="KBX10" s="3431"/>
      <c r="KBY10" s="3431"/>
      <c r="KBZ10" s="3431"/>
      <c r="KCA10" s="3431"/>
      <c r="KCB10" s="3431"/>
      <c r="KCC10" s="3431"/>
      <c r="KCD10" s="3431"/>
      <c r="KCE10" s="3431"/>
      <c r="KCF10" s="3431"/>
      <c r="KCG10" s="3431"/>
      <c r="KCH10" s="3431"/>
      <c r="KCI10" s="3431"/>
      <c r="KCJ10" s="3431"/>
      <c r="KCK10" s="3431"/>
      <c r="KCL10" s="3431"/>
      <c r="KCM10" s="3431"/>
      <c r="KCN10" s="3431"/>
      <c r="KCO10" s="3431"/>
      <c r="KCP10" s="3431"/>
      <c r="KCQ10" s="3431"/>
      <c r="KCR10" s="3431"/>
      <c r="KCS10" s="3431"/>
      <c r="KCT10" s="3431"/>
      <c r="KCU10" s="3431"/>
      <c r="KCV10" s="3431"/>
      <c r="KCW10" s="3431"/>
      <c r="KCX10" s="3431"/>
      <c r="KCY10" s="3431"/>
      <c r="KCZ10" s="3431"/>
      <c r="KDA10" s="3431"/>
      <c r="KDB10" s="3431"/>
      <c r="KDC10" s="3431"/>
      <c r="KDD10" s="3431"/>
      <c r="KDE10" s="3431"/>
      <c r="KDF10" s="3431"/>
      <c r="KDG10" s="3431"/>
      <c r="KDH10" s="3431"/>
      <c r="KDI10" s="3431"/>
      <c r="KDJ10" s="3431"/>
      <c r="KDK10" s="3431"/>
      <c r="KDL10" s="3431"/>
      <c r="KDM10" s="3431"/>
      <c r="KDN10" s="3431"/>
      <c r="KDO10" s="3431"/>
      <c r="KDP10" s="3431"/>
      <c r="KDQ10" s="3431"/>
      <c r="KDR10" s="3431"/>
      <c r="KDS10" s="3431"/>
      <c r="KDT10" s="3431"/>
      <c r="KDU10" s="3431"/>
      <c r="KDV10" s="3431"/>
      <c r="KDW10" s="3431"/>
      <c r="KDX10" s="3431"/>
      <c r="KDY10" s="3431"/>
      <c r="KDZ10" s="3431"/>
      <c r="KEA10" s="3431"/>
      <c r="KEB10" s="3431"/>
      <c r="KEC10" s="3431"/>
      <c r="KED10" s="3431"/>
      <c r="KEE10" s="3431"/>
      <c r="KEF10" s="3431"/>
      <c r="KEG10" s="3431"/>
      <c r="KEH10" s="3431"/>
      <c r="KEI10" s="3431"/>
      <c r="KEJ10" s="3431"/>
      <c r="KEK10" s="3431"/>
      <c r="KEL10" s="3431"/>
      <c r="KEM10" s="3431"/>
      <c r="KEN10" s="3431"/>
      <c r="KEO10" s="3431"/>
      <c r="KEP10" s="3431"/>
      <c r="KEQ10" s="3431"/>
      <c r="KER10" s="3431"/>
      <c r="KES10" s="3431"/>
      <c r="KET10" s="3431"/>
      <c r="KEU10" s="3431"/>
      <c r="KEV10" s="3431"/>
      <c r="KEW10" s="3431"/>
      <c r="KEX10" s="3431"/>
      <c r="KEY10" s="3431"/>
      <c r="KEZ10" s="3431"/>
      <c r="KFA10" s="3431"/>
      <c r="KFB10" s="3431"/>
      <c r="KFC10" s="3431"/>
      <c r="KFD10" s="3431"/>
      <c r="KFE10" s="3431"/>
      <c r="KFF10" s="3431"/>
      <c r="KFG10" s="3431"/>
      <c r="KFH10" s="3431"/>
      <c r="KFI10" s="3431"/>
      <c r="KFJ10" s="3431"/>
      <c r="KFK10" s="3431"/>
      <c r="KFL10" s="3431"/>
      <c r="KFM10" s="3431"/>
      <c r="KFN10" s="3431"/>
      <c r="KFO10" s="3431"/>
      <c r="KFP10" s="3431"/>
      <c r="KFQ10" s="3431"/>
      <c r="KFR10" s="3431"/>
      <c r="KFS10" s="3431"/>
      <c r="KFT10" s="3431"/>
      <c r="KFU10" s="3431"/>
      <c r="KFV10" s="3431"/>
      <c r="KFW10" s="3431"/>
      <c r="KFX10" s="3431"/>
      <c r="KFY10" s="3431"/>
      <c r="KFZ10" s="3431"/>
      <c r="KGA10" s="3431"/>
      <c r="KGB10" s="3431"/>
      <c r="KGC10" s="3431"/>
      <c r="KGD10" s="3431"/>
      <c r="KGE10" s="3431"/>
      <c r="KGF10" s="3431"/>
      <c r="KGG10" s="3431"/>
      <c r="KGH10" s="3431"/>
      <c r="KGI10" s="3431"/>
      <c r="KGJ10" s="3431"/>
      <c r="KGK10" s="3431"/>
      <c r="KGL10" s="3431"/>
      <c r="KGM10" s="3431"/>
      <c r="KGN10" s="3431"/>
      <c r="KGO10" s="3431"/>
      <c r="KGP10" s="3431"/>
      <c r="KGQ10" s="3431"/>
      <c r="KGR10" s="3431"/>
      <c r="KGS10" s="3431"/>
      <c r="KGT10" s="3431"/>
      <c r="KGU10" s="3431"/>
      <c r="KGV10" s="3431"/>
      <c r="KGW10" s="3431"/>
      <c r="KGX10" s="3431"/>
      <c r="KGY10" s="3431"/>
      <c r="KGZ10" s="3431"/>
      <c r="KHA10" s="3431"/>
      <c r="KHB10" s="3431"/>
      <c r="KHC10" s="3431"/>
      <c r="KHD10" s="3431"/>
      <c r="KHE10" s="3431"/>
      <c r="KHF10" s="3431"/>
      <c r="KHG10" s="3431"/>
      <c r="KHH10" s="3431"/>
      <c r="KHI10" s="3431"/>
      <c r="KHJ10" s="3431"/>
      <c r="KHK10" s="3431"/>
      <c r="KHL10" s="3431"/>
      <c r="KHM10" s="3431"/>
      <c r="KHN10" s="3431"/>
      <c r="KHO10" s="3431"/>
      <c r="KHP10" s="3431"/>
      <c r="KHQ10" s="3431"/>
      <c r="KHR10" s="3431"/>
      <c r="KHS10" s="3431"/>
      <c r="KHT10" s="3431"/>
      <c r="KHU10" s="3431"/>
      <c r="KHV10" s="3431"/>
      <c r="KHW10" s="3431"/>
      <c r="KHX10" s="3431"/>
      <c r="KHY10" s="3431"/>
      <c r="KHZ10" s="3431"/>
      <c r="KIA10" s="3431"/>
      <c r="KIB10" s="3431"/>
      <c r="KIC10" s="3431"/>
      <c r="KID10" s="3431"/>
      <c r="KIE10" s="3431"/>
      <c r="KIF10" s="3431"/>
      <c r="KIG10" s="3431"/>
      <c r="KIH10" s="3431"/>
      <c r="KII10" s="3431"/>
      <c r="KIJ10" s="3431"/>
      <c r="KIK10" s="3431"/>
      <c r="KIL10" s="3431"/>
      <c r="KIM10" s="3431"/>
      <c r="KIN10" s="3431"/>
      <c r="KIO10" s="3431"/>
      <c r="KIP10" s="3431"/>
      <c r="KIQ10" s="3431"/>
      <c r="KIR10" s="3431"/>
      <c r="KIS10" s="3431"/>
      <c r="KIT10" s="3431"/>
      <c r="KIU10" s="3431"/>
      <c r="KIV10" s="3431"/>
      <c r="KIW10" s="3431"/>
      <c r="KIX10" s="3431"/>
      <c r="KIY10" s="3431"/>
      <c r="KIZ10" s="3431"/>
      <c r="KJA10" s="3431"/>
      <c r="KJB10" s="3431"/>
      <c r="KJC10" s="3431"/>
      <c r="KJD10" s="3431"/>
      <c r="KJE10" s="3431"/>
      <c r="KJF10" s="3431"/>
      <c r="KJG10" s="3431"/>
      <c r="KJH10" s="3431"/>
      <c r="KJI10" s="3431"/>
      <c r="KJJ10" s="3431"/>
      <c r="KJK10" s="3431"/>
      <c r="KJL10" s="3431"/>
      <c r="KJM10" s="3431"/>
      <c r="KJN10" s="3431"/>
      <c r="KJO10" s="3431"/>
      <c r="KJP10" s="3431"/>
      <c r="KJQ10" s="3431"/>
      <c r="KJR10" s="3431"/>
      <c r="KJS10" s="3431"/>
      <c r="KJT10" s="3431"/>
      <c r="KJU10" s="3431"/>
      <c r="KJV10" s="3431"/>
      <c r="KJW10" s="3431"/>
      <c r="KJX10" s="3431"/>
      <c r="KJY10" s="3431"/>
      <c r="KJZ10" s="3431"/>
      <c r="KKA10" s="3431"/>
      <c r="KKB10" s="3431"/>
      <c r="KKC10" s="3431"/>
      <c r="KKD10" s="3431"/>
      <c r="KKE10" s="3431"/>
      <c r="KKF10" s="3431"/>
      <c r="KKG10" s="3431"/>
      <c r="KKH10" s="3431"/>
      <c r="KKI10" s="3431"/>
      <c r="KKJ10" s="3431"/>
      <c r="KKK10" s="3431"/>
      <c r="KKL10" s="3431"/>
      <c r="KKM10" s="3431"/>
      <c r="KKN10" s="3431"/>
      <c r="KKO10" s="3431"/>
      <c r="KKP10" s="3431"/>
      <c r="KKQ10" s="3431"/>
      <c r="KKR10" s="3431"/>
      <c r="KKS10" s="3431"/>
      <c r="KKT10" s="3431"/>
      <c r="KKU10" s="3431"/>
      <c r="KKV10" s="3431"/>
      <c r="KKW10" s="3431"/>
      <c r="KKX10" s="3431"/>
      <c r="KKY10" s="3431"/>
      <c r="KKZ10" s="3431"/>
      <c r="KLA10" s="3431"/>
      <c r="KLB10" s="3431"/>
      <c r="KLC10" s="3431"/>
      <c r="KLD10" s="3431"/>
      <c r="KLE10" s="3431"/>
      <c r="KLF10" s="3431"/>
      <c r="KLG10" s="3431"/>
      <c r="KLH10" s="3431"/>
      <c r="KLI10" s="3431"/>
      <c r="KLJ10" s="3431"/>
      <c r="KLK10" s="3431"/>
      <c r="KLL10" s="3431"/>
      <c r="KLM10" s="3431"/>
      <c r="KLN10" s="3431"/>
      <c r="KLO10" s="3431"/>
      <c r="KLP10" s="3431"/>
      <c r="KLQ10" s="3431"/>
      <c r="KLR10" s="3431"/>
      <c r="KLS10" s="3431"/>
      <c r="KLT10" s="3431"/>
      <c r="KLU10" s="3431"/>
      <c r="KLV10" s="3431"/>
      <c r="KLW10" s="3431"/>
      <c r="KLX10" s="3431"/>
      <c r="KLY10" s="3431"/>
      <c r="KLZ10" s="3431"/>
      <c r="KMA10" s="3431"/>
      <c r="KMB10" s="3431"/>
      <c r="KMC10" s="3431"/>
      <c r="KMD10" s="3431"/>
      <c r="KME10" s="3431"/>
      <c r="KMF10" s="3431"/>
      <c r="KMG10" s="3431"/>
      <c r="KMH10" s="3431"/>
      <c r="KMI10" s="3431"/>
      <c r="KMJ10" s="3431"/>
      <c r="KMK10" s="3431"/>
      <c r="KML10" s="3431"/>
      <c r="KMM10" s="3431"/>
      <c r="KMN10" s="3431"/>
      <c r="KMO10" s="3431"/>
      <c r="KMP10" s="3431"/>
      <c r="KMQ10" s="3431"/>
      <c r="KMR10" s="3431"/>
      <c r="KMS10" s="3431"/>
      <c r="KMT10" s="3431"/>
      <c r="KMU10" s="3431"/>
      <c r="KMV10" s="3431"/>
      <c r="KMW10" s="3431"/>
      <c r="KMX10" s="3431"/>
      <c r="KMY10" s="3431"/>
      <c r="KMZ10" s="3431"/>
      <c r="KNA10" s="3431"/>
      <c r="KNB10" s="3431"/>
      <c r="KNC10" s="3431"/>
      <c r="KND10" s="3431"/>
      <c r="KNE10" s="3431"/>
      <c r="KNF10" s="3431"/>
      <c r="KNG10" s="3431"/>
      <c r="KNH10" s="3431"/>
      <c r="KNI10" s="3431"/>
      <c r="KNJ10" s="3431"/>
      <c r="KNK10" s="3431"/>
      <c r="KNL10" s="3431"/>
      <c r="KNM10" s="3431"/>
      <c r="KNN10" s="3431"/>
      <c r="KNO10" s="3431"/>
      <c r="KNP10" s="3431"/>
      <c r="KNQ10" s="3431"/>
      <c r="KNR10" s="3431"/>
      <c r="KNS10" s="3431"/>
      <c r="KNT10" s="3431"/>
      <c r="KNU10" s="3431"/>
      <c r="KNV10" s="3431"/>
      <c r="KNW10" s="3431"/>
      <c r="KNX10" s="3431"/>
      <c r="KNY10" s="3431"/>
      <c r="KNZ10" s="3431"/>
      <c r="KOA10" s="3431"/>
      <c r="KOB10" s="3431"/>
      <c r="KOC10" s="3431"/>
      <c r="KOD10" s="3431"/>
      <c r="KOE10" s="3431"/>
      <c r="KOF10" s="3431"/>
      <c r="KOG10" s="3431"/>
      <c r="KOH10" s="3431"/>
      <c r="KOI10" s="3431"/>
      <c r="KOJ10" s="3431"/>
      <c r="KOK10" s="3431"/>
      <c r="KOL10" s="3431"/>
      <c r="KOM10" s="3431"/>
      <c r="KON10" s="3431"/>
      <c r="KOO10" s="3431"/>
      <c r="KOP10" s="3431"/>
      <c r="KOQ10" s="3431"/>
      <c r="KOR10" s="3431"/>
      <c r="KOS10" s="3431"/>
      <c r="KOT10" s="3431"/>
      <c r="KOU10" s="3431"/>
      <c r="KOV10" s="3431"/>
      <c r="KOW10" s="3431"/>
      <c r="KOX10" s="3431"/>
      <c r="KOY10" s="3431"/>
      <c r="KOZ10" s="3431"/>
      <c r="KPA10" s="3431"/>
      <c r="KPB10" s="3431"/>
      <c r="KPC10" s="3431"/>
      <c r="KPD10" s="3431"/>
      <c r="KPE10" s="3431"/>
      <c r="KPF10" s="3431"/>
      <c r="KPG10" s="3431"/>
      <c r="KPH10" s="3431"/>
      <c r="KPI10" s="3431"/>
      <c r="KPJ10" s="3431"/>
      <c r="KPK10" s="3431"/>
      <c r="KPL10" s="3431"/>
      <c r="KPM10" s="3431"/>
      <c r="KPN10" s="3431"/>
      <c r="KPO10" s="3431"/>
      <c r="KPP10" s="3431"/>
      <c r="KPQ10" s="3431"/>
      <c r="KPR10" s="3431"/>
      <c r="KPS10" s="3431"/>
      <c r="KPT10" s="3431"/>
      <c r="KPU10" s="3431"/>
      <c r="KPV10" s="3431"/>
      <c r="KPW10" s="3431"/>
      <c r="KPX10" s="3431"/>
      <c r="KPY10" s="3431"/>
      <c r="KPZ10" s="3431"/>
      <c r="KQA10" s="3431"/>
      <c r="KQB10" s="3431"/>
      <c r="KQC10" s="3431"/>
      <c r="KQD10" s="3431"/>
      <c r="KQE10" s="3431"/>
      <c r="KQF10" s="3431"/>
      <c r="KQG10" s="3431"/>
      <c r="KQH10" s="3431"/>
      <c r="KQI10" s="3431"/>
      <c r="KQJ10" s="3431"/>
      <c r="KQK10" s="3431"/>
      <c r="KQL10" s="3431"/>
      <c r="KQM10" s="3431"/>
      <c r="KQN10" s="3431"/>
      <c r="KQO10" s="3431"/>
      <c r="KQP10" s="3431"/>
      <c r="KQQ10" s="3431"/>
      <c r="KQR10" s="3431"/>
      <c r="KQS10" s="3431"/>
      <c r="KQT10" s="3431"/>
      <c r="KQU10" s="3431"/>
      <c r="KQV10" s="3431"/>
      <c r="KQW10" s="3431"/>
      <c r="KQX10" s="3431"/>
      <c r="KQY10" s="3431"/>
      <c r="KQZ10" s="3431"/>
      <c r="KRA10" s="3431"/>
      <c r="KRB10" s="3431"/>
      <c r="KRC10" s="3431"/>
      <c r="KRD10" s="3431"/>
      <c r="KRE10" s="3431"/>
      <c r="KRF10" s="3431"/>
      <c r="KRG10" s="3431"/>
      <c r="KRH10" s="3431"/>
      <c r="KRI10" s="3431"/>
      <c r="KRJ10" s="3431"/>
      <c r="KRK10" s="3431"/>
      <c r="KRL10" s="3431"/>
      <c r="KRM10" s="3431"/>
      <c r="KRN10" s="3431"/>
      <c r="KRO10" s="3431"/>
      <c r="KRP10" s="3431"/>
      <c r="KRQ10" s="3431"/>
      <c r="KRR10" s="3431"/>
      <c r="KRS10" s="3431"/>
      <c r="KRT10" s="3431"/>
      <c r="KRU10" s="3431"/>
      <c r="KRV10" s="3431"/>
      <c r="KRW10" s="3431"/>
      <c r="KRX10" s="3431"/>
      <c r="KRY10" s="3431"/>
      <c r="KRZ10" s="3431"/>
      <c r="KSA10" s="3431"/>
      <c r="KSB10" s="3431"/>
      <c r="KSC10" s="3431"/>
      <c r="KSD10" s="3431"/>
      <c r="KSE10" s="3431"/>
      <c r="KSF10" s="3431"/>
      <c r="KSG10" s="3431"/>
      <c r="KSH10" s="3431"/>
      <c r="KSI10" s="3431"/>
      <c r="KSJ10" s="3431"/>
      <c r="KSK10" s="3431"/>
      <c r="KSL10" s="3431"/>
      <c r="KSM10" s="3431"/>
      <c r="KSN10" s="3431"/>
      <c r="KSO10" s="3431"/>
      <c r="KSP10" s="3431"/>
      <c r="KSQ10" s="3431"/>
      <c r="KSR10" s="3431"/>
      <c r="KSS10" s="3431"/>
      <c r="KST10" s="3431"/>
      <c r="KSU10" s="3431"/>
      <c r="KSV10" s="3431"/>
      <c r="KSW10" s="3431"/>
      <c r="KSX10" s="3431"/>
      <c r="KSY10" s="3431"/>
      <c r="KSZ10" s="3431"/>
      <c r="KTA10" s="3431"/>
      <c r="KTB10" s="3431"/>
      <c r="KTC10" s="3431"/>
      <c r="KTD10" s="3431"/>
      <c r="KTE10" s="3431"/>
      <c r="KTF10" s="3431"/>
      <c r="KTG10" s="3431"/>
      <c r="KTH10" s="3431"/>
      <c r="KTI10" s="3431"/>
      <c r="KTJ10" s="3431"/>
      <c r="KTK10" s="3431"/>
      <c r="KTL10" s="3431"/>
      <c r="KTM10" s="3431"/>
      <c r="KTN10" s="3431"/>
      <c r="KTO10" s="3431"/>
      <c r="KTP10" s="3431"/>
      <c r="KTQ10" s="3431"/>
      <c r="KTR10" s="3431"/>
      <c r="KTS10" s="3431"/>
      <c r="KTT10" s="3431"/>
      <c r="KTU10" s="3431"/>
      <c r="KTV10" s="3431"/>
      <c r="KTW10" s="3431"/>
      <c r="KTX10" s="3431"/>
      <c r="KTY10" s="3431"/>
      <c r="KTZ10" s="3431"/>
      <c r="KUA10" s="3431"/>
      <c r="KUB10" s="3431"/>
      <c r="KUC10" s="3431"/>
      <c r="KUD10" s="3431"/>
      <c r="KUE10" s="3431"/>
      <c r="KUF10" s="3431"/>
      <c r="KUG10" s="3431"/>
      <c r="KUH10" s="3431"/>
      <c r="KUI10" s="3431"/>
      <c r="KUJ10" s="3431"/>
      <c r="KUK10" s="3431"/>
      <c r="KUL10" s="3431"/>
      <c r="KUM10" s="3431"/>
      <c r="KUN10" s="3431"/>
      <c r="KUO10" s="3431"/>
      <c r="KUP10" s="3431"/>
      <c r="KUQ10" s="3431"/>
      <c r="KUR10" s="3431"/>
      <c r="KUS10" s="3431"/>
      <c r="KUT10" s="3431"/>
      <c r="KUU10" s="3431"/>
      <c r="KUV10" s="3431"/>
      <c r="KUW10" s="3431"/>
      <c r="KUX10" s="3431"/>
      <c r="KUY10" s="3431"/>
      <c r="KUZ10" s="3431"/>
      <c r="KVA10" s="3431"/>
      <c r="KVB10" s="3431"/>
      <c r="KVC10" s="3431"/>
      <c r="KVD10" s="3431"/>
      <c r="KVE10" s="3431"/>
      <c r="KVF10" s="3431"/>
      <c r="KVG10" s="3431"/>
      <c r="KVH10" s="3431"/>
      <c r="KVI10" s="3431"/>
      <c r="KVJ10" s="3431"/>
      <c r="KVK10" s="3431"/>
      <c r="KVL10" s="3431"/>
      <c r="KVM10" s="3431"/>
      <c r="KVN10" s="3431"/>
      <c r="KVO10" s="3431"/>
      <c r="KVP10" s="3431"/>
      <c r="KVQ10" s="3431"/>
      <c r="KVR10" s="3431"/>
      <c r="KVS10" s="3431"/>
      <c r="KVT10" s="3431"/>
      <c r="KVU10" s="3431"/>
      <c r="KVV10" s="3431"/>
      <c r="KVW10" s="3431"/>
      <c r="KVX10" s="3431"/>
      <c r="KVY10" s="3431"/>
      <c r="KVZ10" s="3431"/>
      <c r="KWA10" s="3431"/>
      <c r="KWB10" s="3431"/>
      <c r="KWC10" s="3431"/>
      <c r="KWD10" s="3431"/>
      <c r="KWE10" s="3431"/>
      <c r="KWF10" s="3431"/>
      <c r="KWG10" s="3431"/>
      <c r="KWH10" s="3431"/>
      <c r="KWI10" s="3431"/>
      <c r="KWJ10" s="3431"/>
      <c r="KWK10" s="3431"/>
      <c r="KWL10" s="3431"/>
      <c r="KWM10" s="3431"/>
      <c r="KWN10" s="3431"/>
      <c r="KWO10" s="3431"/>
      <c r="KWP10" s="3431"/>
      <c r="KWQ10" s="3431"/>
      <c r="KWR10" s="3431"/>
      <c r="KWS10" s="3431"/>
      <c r="KWT10" s="3431"/>
      <c r="KWU10" s="3431"/>
      <c r="KWV10" s="3431"/>
      <c r="KWW10" s="3431"/>
      <c r="KWX10" s="3431"/>
      <c r="KWY10" s="3431"/>
      <c r="KWZ10" s="3431"/>
      <c r="KXA10" s="3431"/>
      <c r="KXB10" s="3431"/>
      <c r="KXC10" s="3431"/>
      <c r="KXD10" s="3431"/>
      <c r="KXE10" s="3431"/>
      <c r="KXF10" s="3431"/>
      <c r="KXG10" s="3431"/>
      <c r="KXH10" s="3431"/>
      <c r="KXI10" s="3431"/>
      <c r="KXJ10" s="3431"/>
      <c r="KXK10" s="3431"/>
      <c r="KXL10" s="3431"/>
      <c r="KXM10" s="3431"/>
      <c r="KXN10" s="3431"/>
      <c r="KXO10" s="3431"/>
      <c r="KXP10" s="3431"/>
      <c r="KXQ10" s="3431"/>
      <c r="KXR10" s="3431"/>
      <c r="KXS10" s="3431"/>
      <c r="KXT10" s="3431"/>
      <c r="KXU10" s="3431"/>
      <c r="KXV10" s="3431"/>
      <c r="KXW10" s="3431"/>
      <c r="KXX10" s="3431"/>
      <c r="KXY10" s="3431"/>
      <c r="KXZ10" s="3431"/>
      <c r="KYA10" s="3431"/>
      <c r="KYB10" s="3431"/>
      <c r="KYC10" s="3431"/>
      <c r="KYD10" s="3431"/>
      <c r="KYE10" s="3431"/>
      <c r="KYF10" s="3431"/>
      <c r="KYG10" s="3431"/>
      <c r="KYH10" s="3431"/>
      <c r="KYI10" s="3431"/>
      <c r="KYJ10" s="3431"/>
      <c r="KYK10" s="3431"/>
      <c r="KYL10" s="3431"/>
      <c r="KYM10" s="3431"/>
      <c r="KYN10" s="3431"/>
      <c r="KYO10" s="3431"/>
      <c r="KYP10" s="3431"/>
      <c r="KYQ10" s="3431"/>
      <c r="KYR10" s="3431"/>
      <c r="KYS10" s="3431"/>
      <c r="KYT10" s="3431"/>
      <c r="KYU10" s="3431"/>
      <c r="KYV10" s="3431"/>
      <c r="KYW10" s="3431"/>
      <c r="KYX10" s="3431"/>
      <c r="KYY10" s="3431"/>
      <c r="KYZ10" s="3431"/>
      <c r="KZA10" s="3431"/>
      <c r="KZB10" s="3431"/>
      <c r="KZC10" s="3431"/>
      <c r="KZD10" s="3431"/>
      <c r="KZE10" s="3431"/>
      <c r="KZF10" s="3431"/>
      <c r="KZG10" s="3431"/>
      <c r="KZH10" s="3431"/>
      <c r="KZI10" s="3431"/>
      <c r="KZJ10" s="3431"/>
      <c r="KZK10" s="3431"/>
      <c r="KZL10" s="3431"/>
      <c r="KZM10" s="3431"/>
      <c r="KZN10" s="3431"/>
      <c r="KZO10" s="3431"/>
      <c r="KZP10" s="3431"/>
      <c r="KZQ10" s="3431"/>
      <c r="KZR10" s="3431"/>
      <c r="KZS10" s="3431"/>
      <c r="KZT10" s="3431"/>
      <c r="KZU10" s="3431"/>
      <c r="KZV10" s="3431"/>
      <c r="KZW10" s="3431"/>
      <c r="KZX10" s="3431"/>
      <c r="KZY10" s="3431"/>
      <c r="KZZ10" s="3431"/>
      <c r="LAA10" s="3431"/>
      <c r="LAB10" s="3431"/>
      <c r="LAC10" s="3431"/>
      <c r="LAD10" s="3431"/>
      <c r="LAE10" s="3431"/>
      <c r="LAF10" s="3431"/>
      <c r="LAG10" s="3431"/>
      <c r="LAH10" s="3431"/>
      <c r="LAI10" s="3431"/>
      <c r="LAJ10" s="3431"/>
      <c r="LAK10" s="3431"/>
      <c r="LAL10" s="3431"/>
      <c r="LAM10" s="3431"/>
      <c r="LAN10" s="3431"/>
      <c r="LAO10" s="3431"/>
      <c r="LAP10" s="3431"/>
      <c r="LAQ10" s="3431"/>
      <c r="LAR10" s="3431"/>
      <c r="LAS10" s="3431"/>
      <c r="LAT10" s="3431"/>
      <c r="LAU10" s="3431"/>
      <c r="LAV10" s="3431"/>
      <c r="LAW10" s="3431"/>
      <c r="LAX10" s="3431"/>
      <c r="LAY10" s="3431"/>
      <c r="LAZ10" s="3431"/>
      <c r="LBA10" s="3431"/>
      <c r="LBB10" s="3431"/>
      <c r="LBC10" s="3431"/>
      <c r="LBD10" s="3431"/>
      <c r="LBE10" s="3431"/>
      <c r="LBF10" s="3431"/>
      <c r="LBG10" s="3431"/>
      <c r="LBH10" s="3431"/>
      <c r="LBI10" s="3431"/>
      <c r="LBJ10" s="3431"/>
      <c r="LBK10" s="3431"/>
      <c r="LBL10" s="3431"/>
      <c r="LBM10" s="3431"/>
      <c r="LBN10" s="3431"/>
      <c r="LBO10" s="3431"/>
      <c r="LBP10" s="3431"/>
      <c r="LBQ10" s="3431"/>
      <c r="LBR10" s="3431"/>
      <c r="LBS10" s="3431"/>
      <c r="LBT10" s="3431"/>
      <c r="LBU10" s="3431"/>
      <c r="LBV10" s="3431"/>
      <c r="LBW10" s="3431"/>
      <c r="LBX10" s="3431"/>
      <c r="LBY10" s="3431"/>
      <c r="LBZ10" s="3431"/>
      <c r="LCA10" s="3431"/>
      <c r="LCB10" s="3431"/>
      <c r="LCC10" s="3431"/>
      <c r="LCD10" s="3431"/>
      <c r="LCE10" s="3431"/>
      <c r="LCF10" s="3431"/>
      <c r="LCG10" s="3431"/>
      <c r="LCH10" s="3431"/>
      <c r="LCI10" s="3431"/>
      <c r="LCJ10" s="3431"/>
      <c r="LCK10" s="3431"/>
      <c r="LCL10" s="3431"/>
      <c r="LCM10" s="3431"/>
      <c r="LCN10" s="3431"/>
      <c r="LCO10" s="3431"/>
      <c r="LCP10" s="3431"/>
      <c r="LCQ10" s="3431"/>
      <c r="LCR10" s="3431"/>
      <c r="LCS10" s="3431"/>
      <c r="LCT10" s="3431"/>
      <c r="LCU10" s="3431"/>
      <c r="LCV10" s="3431"/>
      <c r="LCW10" s="3431"/>
      <c r="LCX10" s="3431"/>
      <c r="LCY10" s="3431"/>
      <c r="LCZ10" s="3431"/>
      <c r="LDA10" s="3431"/>
      <c r="LDB10" s="3431"/>
      <c r="LDC10" s="3431"/>
      <c r="LDD10" s="3431"/>
      <c r="LDE10" s="3431"/>
      <c r="LDF10" s="3431"/>
      <c r="LDG10" s="3431"/>
      <c r="LDH10" s="3431"/>
      <c r="LDI10" s="3431"/>
      <c r="LDJ10" s="3431"/>
      <c r="LDK10" s="3431"/>
      <c r="LDL10" s="3431"/>
      <c r="LDM10" s="3431"/>
      <c r="LDN10" s="3431"/>
      <c r="LDO10" s="3431"/>
      <c r="LDP10" s="3431"/>
      <c r="LDQ10" s="3431"/>
      <c r="LDR10" s="3431"/>
      <c r="LDS10" s="3431"/>
      <c r="LDT10" s="3431"/>
      <c r="LDU10" s="3431"/>
      <c r="LDV10" s="3431"/>
      <c r="LDW10" s="3431"/>
      <c r="LDX10" s="3431"/>
      <c r="LDY10" s="3431"/>
      <c r="LDZ10" s="3431"/>
      <c r="LEA10" s="3431"/>
      <c r="LEB10" s="3431"/>
      <c r="LEC10" s="3431"/>
      <c r="LED10" s="3431"/>
      <c r="LEE10" s="3431"/>
      <c r="LEF10" s="3431"/>
      <c r="LEG10" s="3431"/>
      <c r="LEH10" s="3431"/>
      <c r="LEI10" s="3431"/>
      <c r="LEJ10" s="3431"/>
      <c r="LEK10" s="3431"/>
      <c r="LEL10" s="3431"/>
      <c r="LEM10" s="3431"/>
      <c r="LEN10" s="3431"/>
      <c r="LEO10" s="3431"/>
      <c r="LEP10" s="3431"/>
      <c r="LEQ10" s="3431"/>
      <c r="LER10" s="3431"/>
      <c r="LES10" s="3431"/>
      <c r="LET10" s="3431"/>
      <c r="LEU10" s="3431"/>
      <c r="LEV10" s="3431"/>
      <c r="LEW10" s="3431"/>
      <c r="LEX10" s="3431"/>
      <c r="LEY10" s="3431"/>
      <c r="LEZ10" s="3431"/>
      <c r="LFA10" s="3431"/>
      <c r="LFB10" s="3431"/>
      <c r="LFC10" s="3431"/>
      <c r="LFD10" s="3431"/>
      <c r="LFE10" s="3431"/>
      <c r="LFF10" s="3431"/>
      <c r="LFG10" s="3431"/>
      <c r="LFH10" s="3431"/>
      <c r="LFI10" s="3431"/>
      <c r="LFJ10" s="3431"/>
      <c r="LFK10" s="3431"/>
      <c r="LFL10" s="3431"/>
      <c r="LFM10" s="3431"/>
      <c r="LFN10" s="3431"/>
      <c r="LFO10" s="3431"/>
      <c r="LFP10" s="3431"/>
      <c r="LFQ10" s="3431"/>
      <c r="LFR10" s="3431"/>
      <c r="LFS10" s="3431"/>
      <c r="LFT10" s="3431"/>
      <c r="LFU10" s="3431"/>
      <c r="LFV10" s="3431"/>
      <c r="LFW10" s="3431"/>
      <c r="LFX10" s="3431"/>
      <c r="LFY10" s="3431"/>
      <c r="LFZ10" s="3431"/>
      <c r="LGA10" s="3431"/>
      <c r="LGB10" s="3431"/>
      <c r="LGC10" s="3431"/>
      <c r="LGD10" s="3431"/>
      <c r="LGE10" s="3431"/>
      <c r="LGF10" s="3431"/>
      <c r="LGG10" s="3431"/>
      <c r="LGH10" s="3431"/>
      <c r="LGI10" s="3431"/>
      <c r="LGJ10" s="3431"/>
      <c r="LGK10" s="3431"/>
      <c r="LGL10" s="3431"/>
      <c r="LGM10" s="3431"/>
      <c r="LGN10" s="3431"/>
      <c r="LGO10" s="3431"/>
      <c r="LGP10" s="3431"/>
      <c r="LGQ10" s="3431"/>
      <c r="LGR10" s="3431"/>
      <c r="LGS10" s="3431"/>
      <c r="LGT10" s="3431"/>
      <c r="LGU10" s="3431"/>
      <c r="LGV10" s="3431"/>
      <c r="LGW10" s="3431"/>
      <c r="LGX10" s="3431"/>
      <c r="LGY10" s="3431"/>
      <c r="LGZ10" s="3431"/>
      <c r="LHA10" s="3431"/>
      <c r="LHB10" s="3431"/>
      <c r="LHC10" s="3431"/>
      <c r="LHD10" s="3431"/>
      <c r="LHE10" s="3431"/>
      <c r="LHF10" s="3431"/>
      <c r="LHG10" s="3431"/>
      <c r="LHH10" s="3431"/>
      <c r="LHI10" s="3431"/>
      <c r="LHJ10" s="3431"/>
      <c r="LHK10" s="3431"/>
      <c r="LHL10" s="3431"/>
      <c r="LHM10" s="3431"/>
      <c r="LHN10" s="3431"/>
      <c r="LHO10" s="3431"/>
      <c r="LHP10" s="3431"/>
      <c r="LHQ10" s="3431"/>
      <c r="LHR10" s="3431"/>
      <c r="LHS10" s="3431"/>
      <c r="LHT10" s="3431"/>
      <c r="LHU10" s="3431"/>
      <c r="LHV10" s="3431"/>
      <c r="LHW10" s="3431"/>
      <c r="LHX10" s="3431"/>
      <c r="LHY10" s="3431"/>
      <c r="LHZ10" s="3431"/>
      <c r="LIA10" s="3431"/>
      <c r="LIB10" s="3431"/>
      <c r="LIC10" s="3431"/>
      <c r="LID10" s="3431"/>
      <c r="LIE10" s="3431"/>
      <c r="LIF10" s="3431"/>
      <c r="LIG10" s="3431"/>
      <c r="LIH10" s="3431"/>
      <c r="LII10" s="3431"/>
      <c r="LIJ10" s="3431"/>
      <c r="LIK10" s="3431"/>
      <c r="LIL10" s="3431"/>
      <c r="LIM10" s="3431"/>
      <c r="LIN10" s="3431"/>
      <c r="LIO10" s="3431"/>
      <c r="LIP10" s="3431"/>
      <c r="LIQ10" s="3431"/>
      <c r="LIR10" s="3431"/>
      <c r="LIS10" s="3431"/>
      <c r="LIT10" s="3431"/>
      <c r="LIU10" s="3431"/>
      <c r="LIV10" s="3431"/>
      <c r="LIW10" s="3431"/>
      <c r="LIX10" s="3431"/>
      <c r="LIY10" s="3431"/>
      <c r="LIZ10" s="3431"/>
      <c r="LJA10" s="3431"/>
      <c r="LJB10" s="3431"/>
      <c r="LJC10" s="3431"/>
      <c r="LJD10" s="3431"/>
      <c r="LJE10" s="3431"/>
      <c r="LJF10" s="3431"/>
      <c r="LJG10" s="3431"/>
      <c r="LJH10" s="3431"/>
      <c r="LJI10" s="3431"/>
      <c r="LJJ10" s="3431"/>
      <c r="LJK10" s="3431"/>
      <c r="LJL10" s="3431"/>
      <c r="LJM10" s="3431"/>
      <c r="LJN10" s="3431"/>
      <c r="LJO10" s="3431"/>
      <c r="LJP10" s="3431"/>
      <c r="LJQ10" s="3431"/>
      <c r="LJR10" s="3431"/>
      <c r="LJS10" s="3431"/>
      <c r="LJT10" s="3431"/>
      <c r="LJU10" s="3431"/>
      <c r="LJV10" s="3431"/>
      <c r="LJW10" s="3431"/>
      <c r="LJX10" s="3431"/>
      <c r="LJY10" s="3431"/>
      <c r="LJZ10" s="3431"/>
      <c r="LKA10" s="3431"/>
      <c r="LKB10" s="3431"/>
      <c r="LKC10" s="3431"/>
      <c r="LKD10" s="3431"/>
      <c r="LKE10" s="3431"/>
      <c r="LKF10" s="3431"/>
      <c r="LKG10" s="3431"/>
      <c r="LKH10" s="3431"/>
      <c r="LKI10" s="3431"/>
      <c r="LKJ10" s="3431"/>
      <c r="LKK10" s="3431"/>
      <c r="LKL10" s="3431"/>
      <c r="LKM10" s="3431"/>
      <c r="LKN10" s="3431"/>
      <c r="LKO10" s="3431"/>
      <c r="LKP10" s="3431"/>
      <c r="LKQ10" s="3431"/>
      <c r="LKR10" s="3431"/>
      <c r="LKS10" s="3431"/>
      <c r="LKT10" s="3431"/>
      <c r="LKU10" s="3431"/>
      <c r="LKV10" s="3431"/>
      <c r="LKW10" s="3431"/>
      <c r="LKX10" s="3431"/>
      <c r="LKY10" s="3431"/>
      <c r="LKZ10" s="3431"/>
      <c r="LLA10" s="3431"/>
      <c r="LLB10" s="3431"/>
      <c r="LLC10" s="3431"/>
      <c r="LLD10" s="3431"/>
      <c r="LLE10" s="3431"/>
      <c r="LLF10" s="3431"/>
      <c r="LLG10" s="3431"/>
      <c r="LLH10" s="3431"/>
      <c r="LLI10" s="3431"/>
      <c r="LLJ10" s="3431"/>
      <c r="LLK10" s="3431"/>
      <c r="LLL10" s="3431"/>
      <c r="LLM10" s="3431"/>
      <c r="LLN10" s="3431"/>
      <c r="LLO10" s="3431"/>
      <c r="LLP10" s="3431"/>
      <c r="LLQ10" s="3431"/>
      <c r="LLR10" s="3431"/>
      <c r="LLS10" s="3431"/>
      <c r="LLT10" s="3431"/>
      <c r="LLU10" s="3431"/>
      <c r="LLV10" s="3431"/>
      <c r="LLW10" s="3431"/>
      <c r="LLX10" s="3431"/>
      <c r="LLY10" s="3431"/>
      <c r="LLZ10" s="3431"/>
      <c r="LMA10" s="3431"/>
      <c r="LMB10" s="3431"/>
      <c r="LMC10" s="3431"/>
      <c r="LMD10" s="3431"/>
      <c r="LME10" s="3431"/>
      <c r="LMF10" s="3431"/>
      <c r="LMG10" s="3431"/>
      <c r="LMH10" s="3431"/>
      <c r="LMI10" s="3431"/>
      <c r="LMJ10" s="3431"/>
      <c r="LMK10" s="3431"/>
      <c r="LML10" s="3431"/>
      <c r="LMM10" s="3431"/>
      <c r="LMN10" s="3431"/>
      <c r="LMO10" s="3431"/>
      <c r="LMP10" s="3431"/>
      <c r="LMQ10" s="3431"/>
      <c r="LMR10" s="3431"/>
      <c r="LMS10" s="3431"/>
      <c r="LMT10" s="3431"/>
      <c r="LMU10" s="3431"/>
      <c r="LMV10" s="3431"/>
      <c r="LMW10" s="3431"/>
      <c r="LMX10" s="3431"/>
      <c r="LMY10" s="3431"/>
      <c r="LMZ10" s="3431"/>
      <c r="LNA10" s="3431"/>
      <c r="LNB10" s="3431"/>
      <c r="LNC10" s="3431"/>
      <c r="LND10" s="3431"/>
      <c r="LNE10" s="3431"/>
      <c r="LNF10" s="3431"/>
      <c r="LNG10" s="3431"/>
      <c r="LNH10" s="3431"/>
      <c r="LNI10" s="3431"/>
      <c r="LNJ10" s="3431"/>
      <c r="LNK10" s="3431"/>
      <c r="LNL10" s="3431"/>
      <c r="LNM10" s="3431"/>
      <c r="LNN10" s="3431"/>
      <c r="LNO10" s="3431"/>
      <c r="LNP10" s="3431"/>
      <c r="LNQ10" s="3431"/>
      <c r="LNR10" s="3431"/>
      <c r="LNS10" s="3431"/>
      <c r="LNT10" s="3431"/>
      <c r="LNU10" s="3431"/>
      <c r="LNV10" s="3431"/>
      <c r="LNW10" s="3431"/>
      <c r="LNX10" s="3431"/>
      <c r="LNY10" s="3431"/>
      <c r="LNZ10" s="3431"/>
      <c r="LOA10" s="3431"/>
      <c r="LOB10" s="3431"/>
      <c r="LOC10" s="3431"/>
      <c r="LOD10" s="3431"/>
      <c r="LOE10" s="3431"/>
      <c r="LOF10" s="3431"/>
      <c r="LOG10" s="3431"/>
      <c r="LOH10" s="3431"/>
      <c r="LOI10" s="3431"/>
      <c r="LOJ10" s="3431"/>
      <c r="LOK10" s="3431"/>
      <c r="LOL10" s="3431"/>
      <c r="LOM10" s="3431"/>
      <c r="LON10" s="3431"/>
      <c r="LOO10" s="3431"/>
      <c r="LOP10" s="3431"/>
      <c r="LOQ10" s="3431"/>
      <c r="LOR10" s="3431"/>
      <c r="LOS10" s="3431"/>
      <c r="LOT10" s="3431"/>
      <c r="LOU10" s="3431"/>
      <c r="LOV10" s="3431"/>
      <c r="LOW10" s="3431"/>
      <c r="LOX10" s="3431"/>
      <c r="LOY10" s="3431"/>
      <c r="LOZ10" s="3431"/>
      <c r="LPA10" s="3431"/>
      <c r="LPB10" s="3431"/>
      <c r="LPC10" s="3431"/>
      <c r="LPD10" s="3431"/>
      <c r="LPE10" s="3431"/>
      <c r="LPF10" s="3431"/>
      <c r="LPG10" s="3431"/>
      <c r="LPH10" s="3431"/>
      <c r="LPI10" s="3431"/>
      <c r="LPJ10" s="3431"/>
      <c r="LPK10" s="3431"/>
      <c r="LPL10" s="3431"/>
      <c r="LPM10" s="3431"/>
      <c r="LPN10" s="3431"/>
      <c r="LPO10" s="3431"/>
      <c r="LPP10" s="3431"/>
      <c r="LPQ10" s="3431"/>
      <c r="LPR10" s="3431"/>
      <c r="LPS10" s="3431"/>
      <c r="LPT10" s="3431"/>
      <c r="LPU10" s="3431"/>
      <c r="LPV10" s="3431"/>
      <c r="LPW10" s="3431"/>
      <c r="LPX10" s="3431"/>
      <c r="LPY10" s="3431"/>
      <c r="LPZ10" s="3431"/>
      <c r="LQA10" s="3431"/>
      <c r="LQB10" s="3431"/>
      <c r="LQC10" s="3431"/>
      <c r="LQD10" s="3431"/>
      <c r="LQE10" s="3431"/>
      <c r="LQF10" s="3431"/>
      <c r="LQG10" s="3431"/>
      <c r="LQH10" s="3431"/>
      <c r="LQI10" s="3431"/>
      <c r="LQJ10" s="3431"/>
      <c r="LQK10" s="3431"/>
      <c r="LQL10" s="3431"/>
      <c r="LQM10" s="3431"/>
      <c r="LQN10" s="3431"/>
      <c r="LQO10" s="3431"/>
      <c r="LQP10" s="3431"/>
      <c r="LQQ10" s="3431"/>
      <c r="LQR10" s="3431"/>
      <c r="LQS10" s="3431"/>
      <c r="LQT10" s="3431"/>
      <c r="LQU10" s="3431"/>
      <c r="LQV10" s="3431"/>
      <c r="LQW10" s="3431"/>
      <c r="LQX10" s="3431"/>
      <c r="LQY10" s="3431"/>
      <c r="LQZ10" s="3431"/>
      <c r="LRA10" s="3431"/>
      <c r="LRB10" s="3431"/>
      <c r="LRC10" s="3431"/>
      <c r="LRD10" s="3431"/>
      <c r="LRE10" s="3431"/>
      <c r="LRF10" s="3431"/>
      <c r="LRG10" s="3431"/>
      <c r="LRH10" s="3431"/>
      <c r="LRI10" s="3431"/>
      <c r="LRJ10" s="3431"/>
      <c r="LRK10" s="3431"/>
      <c r="LRL10" s="3431"/>
      <c r="LRM10" s="3431"/>
      <c r="LRN10" s="3431"/>
      <c r="LRO10" s="3431"/>
      <c r="LRP10" s="3431"/>
      <c r="LRQ10" s="3431"/>
      <c r="LRR10" s="3431"/>
      <c r="LRS10" s="3431"/>
      <c r="LRT10" s="3431"/>
      <c r="LRU10" s="3431"/>
      <c r="LRV10" s="3431"/>
      <c r="LRW10" s="3431"/>
      <c r="LRX10" s="3431"/>
      <c r="LRY10" s="3431"/>
      <c r="LRZ10" s="3431"/>
      <c r="LSA10" s="3431"/>
      <c r="LSB10" s="3431"/>
      <c r="LSC10" s="3431"/>
      <c r="LSD10" s="3431"/>
      <c r="LSE10" s="3431"/>
      <c r="LSF10" s="3431"/>
      <c r="LSG10" s="3431"/>
      <c r="LSH10" s="3431"/>
      <c r="LSI10" s="3431"/>
      <c r="LSJ10" s="3431"/>
      <c r="LSK10" s="3431"/>
      <c r="LSL10" s="3431"/>
      <c r="LSM10" s="3431"/>
      <c r="LSN10" s="3431"/>
      <c r="LSO10" s="3431"/>
      <c r="LSP10" s="3431"/>
      <c r="LSQ10" s="3431"/>
      <c r="LSR10" s="3431"/>
      <c r="LSS10" s="3431"/>
      <c r="LST10" s="3431"/>
      <c r="LSU10" s="3431"/>
      <c r="LSV10" s="3431"/>
      <c r="LSW10" s="3431"/>
      <c r="LSX10" s="3431"/>
      <c r="LSY10" s="3431"/>
      <c r="LSZ10" s="3431"/>
      <c r="LTA10" s="3431"/>
      <c r="LTB10" s="3431"/>
      <c r="LTC10" s="3431"/>
      <c r="LTD10" s="3431"/>
      <c r="LTE10" s="3431"/>
      <c r="LTF10" s="3431"/>
      <c r="LTG10" s="3431"/>
      <c r="LTH10" s="3431"/>
      <c r="LTI10" s="3431"/>
      <c r="LTJ10" s="3431"/>
      <c r="LTK10" s="3431"/>
      <c r="LTL10" s="3431"/>
      <c r="LTM10" s="3431"/>
      <c r="LTN10" s="3431"/>
      <c r="LTO10" s="3431"/>
      <c r="LTP10" s="3431"/>
      <c r="LTQ10" s="3431"/>
      <c r="LTR10" s="3431"/>
      <c r="LTS10" s="3431"/>
      <c r="LTT10" s="3431"/>
      <c r="LTU10" s="3431"/>
      <c r="LTV10" s="3431"/>
      <c r="LTW10" s="3431"/>
      <c r="LTX10" s="3431"/>
      <c r="LTY10" s="3431"/>
      <c r="LTZ10" s="3431"/>
      <c r="LUA10" s="3431"/>
      <c r="LUB10" s="3431"/>
      <c r="LUC10" s="3431"/>
      <c r="LUD10" s="3431"/>
      <c r="LUE10" s="3431"/>
      <c r="LUF10" s="3431"/>
      <c r="LUG10" s="3431"/>
      <c r="LUH10" s="3431"/>
      <c r="LUI10" s="3431"/>
      <c r="LUJ10" s="3431"/>
      <c r="LUK10" s="3431"/>
      <c r="LUL10" s="3431"/>
      <c r="LUM10" s="3431"/>
      <c r="LUN10" s="3431"/>
      <c r="LUO10" s="3431"/>
      <c r="LUP10" s="3431"/>
      <c r="LUQ10" s="3431"/>
      <c r="LUR10" s="3431"/>
      <c r="LUS10" s="3431"/>
      <c r="LUT10" s="3431"/>
      <c r="LUU10" s="3431"/>
      <c r="LUV10" s="3431"/>
      <c r="LUW10" s="3431"/>
      <c r="LUX10" s="3431"/>
      <c r="LUY10" s="3431"/>
      <c r="LUZ10" s="3431"/>
      <c r="LVA10" s="3431"/>
      <c r="LVB10" s="3431"/>
      <c r="LVC10" s="3431"/>
      <c r="LVD10" s="3431"/>
      <c r="LVE10" s="3431"/>
      <c r="LVF10" s="3431"/>
      <c r="LVG10" s="3431"/>
      <c r="LVH10" s="3431"/>
      <c r="LVI10" s="3431"/>
      <c r="LVJ10" s="3431"/>
      <c r="LVK10" s="3431"/>
      <c r="LVL10" s="3431"/>
      <c r="LVM10" s="3431"/>
      <c r="LVN10" s="3431"/>
      <c r="LVO10" s="3431"/>
      <c r="LVP10" s="3431"/>
      <c r="LVQ10" s="3431"/>
      <c r="LVR10" s="3431"/>
      <c r="LVS10" s="3431"/>
      <c r="LVT10" s="3431"/>
      <c r="LVU10" s="3431"/>
      <c r="LVV10" s="3431"/>
      <c r="LVW10" s="3431"/>
      <c r="LVX10" s="3431"/>
      <c r="LVY10" s="3431"/>
      <c r="LVZ10" s="3431"/>
      <c r="LWA10" s="3431"/>
      <c r="LWB10" s="3431"/>
      <c r="LWC10" s="3431"/>
      <c r="LWD10" s="3431"/>
      <c r="LWE10" s="3431"/>
      <c r="LWF10" s="3431"/>
      <c r="LWG10" s="3431"/>
      <c r="LWH10" s="3431"/>
      <c r="LWI10" s="3431"/>
      <c r="LWJ10" s="3431"/>
      <c r="LWK10" s="3431"/>
      <c r="LWL10" s="3431"/>
      <c r="LWM10" s="3431"/>
      <c r="LWN10" s="3431"/>
      <c r="LWO10" s="3431"/>
      <c r="LWP10" s="3431"/>
      <c r="LWQ10" s="3431"/>
      <c r="LWR10" s="3431"/>
      <c r="LWS10" s="3431"/>
      <c r="LWT10" s="3431"/>
      <c r="LWU10" s="3431"/>
      <c r="LWV10" s="3431"/>
      <c r="LWW10" s="3431"/>
      <c r="LWX10" s="3431"/>
      <c r="LWY10" s="3431"/>
      <c r="LWZ10" s="3431"/>
      <c r="LXA10" s="3431"/>
      <c r="LXB10" s="3431"/>
      <c r="LXC10" s="3431"/>
      <c r="LXD10" s="3431"/>
      <c r="LXE10" s="3431"/>
      <c r="LXF10" s="3431"/>
      <c r="LXG10" s="3431"/>
      <c r="LXH10" s="3431"/>
      <c r="LXI10" s="3431"/>
      <c r="LXJ10" s="3431"/>
      <c r="LXK10" s="3431"/>
      <c r="LXL10" s="3431"/>
      <c r="LXM10" s="3431"/>
      <c r="LXN10" s="3431"/>
      <c r="LXO10" s="3431"/>
      <c r="LXP10" s="3431"/>
      <c r="LXQ10" s="3431"/>
      <c r="LXR10" s="3431"/>
      <c r="LXS10" s="3431"/>
      <c r="LXT10" s="3431"/>
      <c r="LXU10" s="3431"/>
      <c r="LXV10" s="3431"/>
      <c r="LXW10" s="3431"/>
      <c r="LXX10" s="3431"/>
      <c r="LXY10" s="3431"/>
      <c r="LXZ10" s="3431"/>
      <c r="LYA10" s="3431"/>
      <c r="LYB10" s="3431"/>
      <c r="LYC10" s="3431"/>
      <c r="LYD10" s="3431"/>
      <c r="LYE10" s="3431"/>
      <c r="LYF10" s="3431"/>
      <c r="LYG10" s="3431"/>
      <c r="LYH10" s="3431"/>
      <c r="LYI10" s="3431"/>
      <c r="LYJ10" s="3431"/>
      <c r="LYK10" s="3431"/>
      <c r="LYL10" s="3431"/>
      <c r="LYM10" s="3431"/>
      <c r="LYN10" s="3431"/>
      <c r="LYO10" s="3431"/>
      <c r="LYP10" s="3431"/>
      <c r="LYQ10" s="3431"/>
      <c r="LYR10" s="3431"/>
      <c r="LYS10" s="3431"/>
      <c r="LYT10" s="3431"/>
      <c r="LYU10" s="3431"/>
      <c r="LYV10" s="3431"/>
      <c r="LYW10" s="3431"/>
      <c r="LYX10" s="3431"/>
      <c r="LYY10" s="3431"/>
      <c r="LYZ10" s="3431"/>
      <c r="LZA10" s="3431"/>
      <c r="LZB10" s="3431"/>
      <c r="LZC10" s="3431"/>
      <c r="LZD10" s="3431"/>
      <c r="LZE10" s="3431"/>
      <c r="LZF10" s="3431"/>
      <c r="LZG10" s="3431"/>
      <c r="LZH10" s="3431"/>
      <c r="LZI10" s="3431"/>
      <c r="LZJ10" s="3431"/>
      <c r="LZK10" s="3431"/>
      <c r="LZL10" s="3431"/>
      <c r="LZM10" s="3431"/>
      <c r="LZN10" s="3431"/>
      <c r="LZO10" s="3431"/>
      <c r="LZP10" s="3431"/>
      <c r="LZQ10" s="3431"/>
      <c r="LZR10" s="3431"/>
      <c r="LZS10" s="3431"/>
      <c r="LZT10" s="3431"/>
      <c r="LZU10" s="3431"/>
      <c r="LZV10" s="3431"/>
      <c r="LZW10" s="3431"/>
      <c r="LZX10" s="3431"/>
      <c r="LZY10" s="3431"/>
      <c r="LZZ10" s="3431"/>
      <c r="MAA10" s="3431"/>
      <c r="MAB10" s="3431"/>
      <c r="MAC10" s="3431"/>
      <c r="MAD10" s="3431"/>
      <c r="MAE10" s="3431"/>
      <c r="MAF10" s="3431"/>
      <c r="MAG10" s="3431"/>
      <c r="MAH10" s="3431"/>
      <c r="MAI10" s="3431"/>
      <c r="MAJ10" s="3431"/>
      <c r="MAK10" s="3431"/>
      <c r="MAL10" s="3431"/>
      <c r="MAM10" s="3431"/>
      <c r="MAN10" s="3431"/>
      <c r="MAO10" s="3431"/>
      <c r="MAP10" s="3431"/>
      <c r="MAQ10" s="3431"/>
      <c r="MAR10" s="3431"/>
      <c r="MAS10" s="3431"/>
      <c r="MAT10" s="3431"/>
      <c r="MAU10" s="3431"/>
      <c r="MAV10" s="3431"/>
      <c r="MAW10" s="3431"/>
      <c r="MAX10" s="3431"/>
      <c r="MAY10" s="3431"/>
      <c r="MAZ10" s="3431"/>
      <c r="MBA10" s="3431"/>
      <c r="MBB10" s="3431"/>
      <c r="MBC10" s="3431"/>
      <c r="MBD10" s="3431"/>
      <c r="MBE10" s="3431"/>
      <c r="MBF10" s="3431"/>
      <c r="MBG10" s="3431"/>
      <c r="MBH10" s="3431"/>
      <c r="MBI10" s="3431"/>
      <c r="MBJ10" s="3431"/>
      <c r="MBK10" s="3431"/>
      <c r="MBL10" s="3431"/>
      <c r="MBM10" s="3431"/>
      <c r="MBN10" s="3431"/>
      <c r="MBO10" s="3431"/>
      <c r="MBP10" s="3431"/>
      <c r="MBQ10" s="3431"/>
      <c r="MBR10" s="3431"/>
      <c r="MBS10" s="3431"/>
      <c r="MBT10" s="3431"/>
      <c r="MBU10" s="3431"/>
      <c r="MBV10" s="3431"/>
      <c r="MBW10" s="3431"/>
      <c r="MBX10" s="3431"/>
      <c r="MBY10" s="3431"/>
      <c r="MBZ10" s="3431"/>
      <c r="MCA10" s="3431"/>
      <c r="MCB10" s="3431"/>
      <c r="MCC10" s="3431"/>
      <c r="MCD10" s="3431"/>
      <c r="MCE10" s="3431"/>
      <c r="MCF10" s="3431"/>
      <c r="MCG10" s="3431"/>
      <c r="MCH10" s="3431"/>
      <c r="MCI10" s="3431"/>
      <c r="MCJ10" s="3431"/>
      <c r="MCK10" s="3431"/>
      <c r="MCL10" s="3431"/>
      <c r="MCM10" s="3431"/>
      <c r="MCN10" s="3431"/>
      <c r="MCO10" s="3431"/>
      <c r="MCP10" s="3431"/>
      <c r="MCQ10" s="3431"/>
      <c r="MCR10" s="3431"/>
      <c r="MCS10" s="3431"/>
      <c r="MCT10" s="3431"/>
      <c r="MCU10" s="3431"/>
      <c r="MCV10" s="3431"/>
      <c r="MCW10" s="3431"/>
      <c r="MCX10" s="3431"/>
      <c r="MCY10" s="3431"/>
      <c r="MCZ10" s="3431"/>
      <c r="MDA10" s="3431"/>
      <c r="MDB10" s="3431"/>
      <c r="MDC10" s="3431"/>
      <c r="MDD10" s="3431"/>
      <c r="MDE10" s="3431"/>
      <c r="MDF10" s="3431"/>
      <c r="MDG10" s="3431"/>
      <c r="MDH10" s="3431"/>
      <c r="MDI10" s="3431"/>
      <c r="MDJ10" s="3431"/>
      <c r="MDK10" s="3431"/>
      <c r="MDL10" s="3431"/>
      <c r="MDM10" s="3431"/>
      <c r="MDN10" s="3431"/>
      <c r="MDO10" s="3431"/>
      <c r="MDP10" s="3431"/>
      <c r="MDQ10" s="3431"/>
      <c r="MDR10" s="3431"/>
      <c r="MDS10" s="3431"/>
      <c r="MDT10" s="3431"/>
      <c r="MDU10" s="3431"/>
      <c r="MDV10" s="3431"/>
      <c r="MDW10" s="3431"/>
      <c r="MDX10" s="3431"/>
      <c r="MDY10" s="3431"/>
      <c r="MDZ10" s="3431"/>
      <c r="MEA10" s="3431"/>
      <c r="MEB10" s="3431"/>
      <c r="MEC10" s="3431"/>
      <c r="MED10" s="3431"/>
      <c r="MEE10" s="3431"/>
      <c r="MEF10" s="3431"/>
      <c r="MEG10" s="3431"/>
      <c r="MEH10" s="3431"/>
      <c r="MEI10" s="3431"/>
      <c r="MEJ10" s="3431"/>
      <c r="MEK10" s="3431"/>
      <c r="MEL10" s="3431"/>
      <c r="MEM10" s="3431"/>
      <c r="MEN10" s="3431"/>
      <c r="MEO10" s="3431"/>
      <c r="MEP10" s="3431"/>
      <c r="MEQ10" s="3431"/>
      <c r="MER10" s="3431"/>
      <c r="MES10" s="3431"/>
      <c r="MET10" s="3431"/>
      <c r="MEU10" s="3431"/>
      <c r="MEV10" s="3431"/>
      <c r="MEW10" s="3431"/>
      <c r="MEX10" s="3431"/>
      <c r="MEY10" s="3431"/>
      <c r="MEZ10" s="3431"/>
      <c r="MFA10" s="3431"/>
      <c r="MFB10" s="3431"/>
      <c r="MFC10" s="3431"/>
      <c r="MFD10" s="3431"/>
      <c r="MFE10" s="3431"/>
      <c r="MFF10" s="3431"/>
      <c r="MFG10" s="3431"/>
      <c r="MFH10" s="3431"/>
      <c r="MFI10" s="3431"/>
      <c r="MFJ10" s="3431"/>
      <c r="MFK10" s="3431"/>
      <c r="MFL10" s="3431"/>
      <c r="MFM10" s="3431"/>
      <c r="MFN10" s="3431"/>
      <c r="MFO10" s="3431"/>
      <c r="MFP10" s="3431"/>
      <c r="MFQ10" s="3431"/>
      <c r="MFR10" s="3431"/>
      <c r="MFS10" s="3431"/>
      <c r="MFT10" s="3431"/>
      <c r="MFU10" s="3431"/>
      <c r="MFV10" s="3431"/>
      <c r="MFW10" s="3431"/>
      <c r="MFX10" s="3431"/>
      <c r="MFY10" s="3431"/>
      <c r="MFZ10" s="3431"/>
      <c r="MGA10" s="3431"/>
      <c r="MGB10" s="3431"/>
      <c r="MGC10" s="3431"/>
      <c r="MGD10" s="3431"/>
      <c r="MGE10" s="3431"/>
      <c r="MGF10" s="3431"/>
      <c r="MGG10" s="3431"/>
      <c r="MGH10" s="3431"/>
      <c r="MGI10" s="3431"/>
      <c r="MGJ10" s="3431"/>
      <c r="MGK10" s="3431"/>
      <c r="MGL10" s="3431"/>
      <c r="MGM10" s="3431"/>
      <c r="MGN10" s="3431"/>
      <c r="MGO10" s="3431"/>
      <c r="MGP10" s="3431"/>
      <c r="MGQ10" s="3431"/>
      <c r="MGR10" s="3431"/>
      <c r="MGS10" s="3431"/>
      <c r="MGT10" s="3431"/>
      <c r="MGU10" s="3431"/>
      <c r="MGV10" s="3431"/>
      <c r="MGW10" s="3431"/>
      <c r="MGX10" s="3431"/>
      <c r="MGY10" s="3431"/>
      <c r="MGZ10" s="3431"/>
      <c r="MHA10" s="3431"/>
      <c r="MHB10" s="3431"/>
      <c r="MHC10" s="3431"/>
      <c r="MHD10" s="3431"/>
      <c r="MHE10" s="3431"/>
      <c r="MHF10" s="3431"/>
      <c r="MHG10" s="3431"/>
      <c r="MHH10" s="3431"/>
      <c r="MHI10" s="3431"/>
      <c r="MHJ10" s="3431"/>
      <c r="MHK10" s="3431"/>
      <c r="MHL10" s="3431"/>
      <c r="MHM10" s="3431"/>
      <c r="MHN10" s="3431"/>
      <c r="MHO10" s="3431"/>
      <c r="MHP10" s="3431"/>
      <c r="MHQ10" s="3431"/>
      <c r="MHR10" s="3431"/>
      <c r="MHS10" s="3431"/>
      <c r="MHT10" s="3431"/>
      <c r="MHU10" s="3431"/>
      <c r="MHV10" s="3431"/>
      <c r="MHW10" s="3431"/>
      <c r="MHX10" s="3431"/>
      <c r="MHY10" s="3431"/>
      <c r="MHZ10" s="3431"/>
      <c r="MIA10" s="3431"/>
      <c r="MIB10" s="3431"/>
      <c r="MIC10" s="3431"/>
      <c r="MID10" s="3431"/>
      <c r="MIE10" s="3431"/>
      <c r="MIF10" s="3431"/>
      <c r="MIG10" s="3431"/>
      <c r="MIH10" s="3431"/>
      <c r="MII10" s="3431"/>
      <c r="MIJ10" s="3431"/>
      <c r="MIK10" s="3431"/>
      <c r="MIL10" s="3431"/>
      <c r="MIM10" s="3431"/>
      <c r="MIN10" s="3431"/>
      <c r="MIO10" s="3431"/>
      <c r="MIP10" s="3431"/>
      <c r="MIQ10" s="3431"/>
      <c r="MIR10" s="3431"/>
      <c r="MIS10" s="3431"/>
      <c r="MIT10" s="3431"/>
      <c r="MIU10" s="3431"/>
      <c r="MIV10" s="3431"/>
      <c r="MIW10" s="3431"/>
      <c r="MIX10" s="3431"/>
      <c r="MIY10" s="3431"/>
      <c r="MIZ10" s="3431"/>
      <c r="MJA10" s="3431"/>
      <c r="MJB10" s="3431"/>
      <c r="MJC10" s="3431"/>
      <c r="MJD10" s="3431"/>
      <c r="MJE10" s="3431"/>
      <c r="MJF10" s="3431"/>
      <c r="MJG10" s="3431"/>
      <c r="MJH10" s="3431"/>
      <c r="MJI10" s="3431"/>
      <c r="MJJ10" s="3431"/>
      <c r="MJK10" s="3431"/>
      <c r="MJL10" s="3431"/>
      <c r="MJM10" s="3431"/>
      <c r="MJN10" s="3431"/>
      <c r="MJO10" s="3431"/>
      <c r="MJP10" s="3431"/>
      <c r="MJQ10" s="3431"/>
      <c r="MJR10" s="3431"/>
      <c r="MJS10" s="3431"/>
      <c r="MJT10" s="3431"/>
      <c r="MJU10" s="3431"/>
      <c r="MJV10" s="3431"/>
      <c r="MJW10" s="3431"/>
      <c r="MJX10" s="3431"/>
      <c r="MJY10" s="3431"/>
      <c r="MJZ10" s="3431"/>
      <c r="MKA10" s="3431"/>
      <c r="MKB10" s="3431"/>
      <c r="MKC10" s="3431"/>
      <c r="MKD10" s="3431"/>
      <c r="MKE10" s="3431"/>
      <c r="MKF10" s="3431"/>
      <c r="MKG10" s="3431"/>
      <c r="MKH10" s="3431"/>
      <c r="MKI10" s="3431"/>
      <c r="MKJ10" s="3431"/>
      <c r="MKK10" s="3431"/>
      <c r="MKL10" s="3431"/>
      <c r="MKM10" s="3431"/>
      <c r="MKN10" s="3431"/>
      <c r="MKO10" s="3431"/>
      <c r="MKP10" s="3431"/>
      <c r="MKQ10" s="3431"/>
      <c r="MKR10" s="3431"/>
      <c r="MKS10" s="3431"/>
      <c r="MKT10" s="3431"/>
      <c r="MKU10" s="3431"/>
      <c r="MKV10" s="3431"/>
      <c r="MKW10" s="3431"/>
      <c r="MKX10" s="3431"/>
      <c r="MKY10" s="3431"/>
      <c r="MKZ10" s="3431"/>
      <c r="MLA10" s="3431"/>
      <c r="MLB10" s="3431"/>
      <c r="MLC10" s="3431"/>
      <c r="MLD10" s="3431"/>
      <c r="MLE10" s="3431"/>
      <c r="MLF10" s="3431"/>
      <c r="MLG10" s="3431"/>
      <c r="MLH10" s="3431"/>
      <c r="MLI10" s="3431"/>
      <c r="MLJ10" s="3431"/>
      <c r="MLK10" s="3431"/>
      <c r="MLL10" s="3431"/>
      <c r="MLM10" s="3431"/>
      <c r="MLN10" s="3431"/>
      <c r="MLO10" s="3431"/>
      <c r="MLP10" s="3431"/>
      <c r="MLQ10" s="3431"/>
      <c r="MLR10" s="3431"/>
      <c r="MLS10" s="3431"/>
      <c r="MLT10" s="3431"/>
      <c r="MLU10" s="3431"/>
      <c r="MLV10" s="3431"/>
      <c r="MLW10" s="3431"/>
      <c r="MLX10" s="3431"/>
      <c r="MLY10" s="3431"/>
      <c r="MLZ10" s="3431"/>
      <c r="MMA10" s="3431"/>
      <c r="MMB10" s="3431"/>
      <c r="MMC10" s="3431"/>
      <c r="MMD10" s="3431"/>
      <c r="MME10" s="3431"/>
      <c r="MMF10" s="3431"/>
      <c r="MMG10" s="3431"/>
      <c r="MMH10" s="3431"/>
      <c r="MMI10" s="3431"/>
      <c r="MMJ10" s="3431"/>
      <c r="MMK10" s="3431"/>
      <c r="MML10" s="3431"/>
      <c r="MMM10" s="3431"/>
      <c r="MMN10" s="3431"/>
      <c r="MMO10" s="3431"/>
      <c r="MMP10" s="3431"/>
      <c r="MMQ10" s="3431"/>
      <c r="MMR10" s="3431"/>
      <c r="MMS10" s="3431"/>
      <c r="MMT10" s="3431"/>
      <c r="MMU10" s="3431"/>
      <c r="MMV10" s="3431"/>
      <c r="MMW10" s="3431"/>
      <c r="MMX10" s="3431"/>
      <c r="MMY10" s="3431"/>
      <c r="MMZ10" s="3431"/>
      <c r="MNA10" s="3431"/>
      <c r="MNB10" s="3431"/>
      <c r="MNC10" s="3431"/>
      <c r="MND10" s="3431"/>
      <c r="MNE10" s="3431"/>
      <c r="MNF10" s="3431"/>
      <c r="MNG10" s="3431"/>
      <c r="MNH10" s="3431"/>
      <c r="MNI10" s="3431"/>
      <c r="MNJ10" s="3431"/>
      <c r="MNK10" s="3431"/>
      <c r="MNL10" s="3431"/>
      <c r="MNM10" s="3431"/>
      <c r="MNN10" s="3431"/>
      <c r="MNO10" s="3431"/>
      <c r="MNP10" s="3431"/>
      <c r="MNQ10" s="3431"/>
      <c r="MNR10" s="3431"/>
      <c r="MNS10" s="3431"/>
      <c r="MNT10" s="3431"/>
      <c r="MNU10" s="3431"/>
      <c r="MNV10" s="3431"/>
      <c r="MNW10" s="3431"/>
      <c r="MNX10" s="3431"/>
      <c r="MNY10" s="3431"/>
      <c r="MNZ10" s="3431"/>
      <c r="MOA10" s="3431"/>
      <c r="MOB10" s="3431"/>
      <c r="MOC10" s="3431"/>
      <c r="MOD10" s="3431"/>
      <c r="MOE10" s="3431"/>
      <c r="MOF10" s="3431"/>
      <c r="MOG10" s="3431"/>
      <c r="MOH10" s="3431"/>
      <c r="MOI10" s="3431"/>
      <c r="MOJ10" s="3431"/>
      <c r="MOK10" s="3431"/>
      <c r="MOL10" s="3431"/>
      <c r="MOM10" s="3431"/>
      <c r="MON10" s="3431"/>
      <c r="MOO10" s="3431"/>
      <c r="MOP10" s="3431"/>
      <c r="MOQ10" s="3431"/>
      <c r="MOR10" s="3431"/>
      <c r="MOS10" s="3431"/>
      <c r="MOT10" s="3431"/>
      <c r="MOU10" s="3431"/>
      <c r="MOV10" s="3431"/>
      <c r="MOW10" s="3431"/>
      <c r="MOX10" s="3431"/>
      <c r="MOY10" s="3431"/>
      <c r="MOZ10" s="3431"/>
      <c r="MPA10" s="3431"/>
      <c r="MPB10" s="3431"/>
      <c r="MPC10" s="3431"/>
      <c r="MPD10" s="3431"/>
      <c r="MPE10" s="3431"/>
      <c r="MPF10" s="3431"/>
      <c r="MPG10" s="3431"/>
      <c r="MPH10" s="3431"/>
      <c r="MPI10" s="3431"/>
      <c r="MPJ10" s="3431"/>
      <c r="MPK10" s="3431"/>
      <c r="MPL10" s="3431"/>
      <c r="MPM10" s="3431"/>
      <c r="MPN10" s="3431"/>
      <c r="MPO10" s="3431"/>
      <c r="MPP10" s="3431"/>
      <c r="MPQ10" s="3431"/>
      <c r="MPR10" s="3431"/>
      <c r="MPS10" s="3431"/>
      <c r="MPT10" s="3431"/>
      <c r="MPU10" s="3431"/>
      <c r="MPV10" s="3431"/>
      <c r="MPW10" s="3431"/>
      <c r="MPX10" s="3431"/>
      <c r="MPY10" s="3431"/>
      <c r="MPZ10" s="3431"/>
      <c r="MQA10" s="3431"/>
      <c r="MQB10" s="3431"/>
      <c r="MQC10" s="3431"/>
      <c r="MQD10" s="3431"/>
      <c r="MQE10" s="3431"/>
      <c r="MQF10" s="3431"/>
      <c r="MQG10" s="3431"/>
      <c r="MQH10" s="3431"/>
      <c r="MQI10" s="3431"/>
      <c r="MQJ10" s="3431"/>
      <c r="MQK10" s="3431"/>
      <c r="MQL10" s="3431"/>
      <c r="MQM10" s="3431"/>
      <c r="MQN10" s="3431"/>
      <c r="MQO10" s="3431"/>
      <c r="MQP10" s="3431"/>
      <c r="MQQ10" s="3431"/>
      <c r="MQR10" s="3431"/>
      <c r="MQS10" s="3431"/>
      <c r="MQT10" s="3431"/>
      <c r="MQU10" s="3431"/>
      <c r="MQV10" s="3431"/>
      <c r="MQW10" s="3431"/>
      <c r="MQX10" s="3431"/>
      <c r="MQY10" s="3431"/>
      <c r="MQZ10" s="3431"/>
      <c r="MRA10" s="3431"/>
      <c r="MRB10" s="3431"/>
      <c r="MRC10" s="3431"/>
      <c r="MRD10" s="3431"/>
      <c r="MRE10" s="3431"/>
      <c r="MRF10" s="3431"/>
      <c r="MRG10" s="3431"/>
      <c r="MRH10" s="3431"/>
      <c r="MRI10" s="3431"/>
      <c r="MRJ10" s="3431"/>
      <c r="MRK10" s="3431"/>
      <c r="MRL10" s="3431"/>
      <c r="MRM10" s="3431"/>
      <c r="MRN10" s="3431"/>
      <c r="MRO10" s="3431"/>
      <c r="MRP10" s="3431"/>
      <c r="MRQ10" s="3431"/>
      <c r="MRR10" s="3431"/>
      <c r="MRS10" s="3431"/>
      <c r="MRT10" s="3431"/>
      <c r="MRU10" s="3431"/>
      <c r="MRV10" s="3431"/>
      <c r="MRW10" s="3431"/>
      <c r="MRX10" s="3431"/>
      <c r="MRY10" s="3431"/>
      <c r="MRZ10" s="3431"/>
      <c r="MSA10" s="3431"/>
      <c r="MSB10" s="3431"/>
      <c r="MSC10" s="3431"/>
      <c r="MSD10" s="3431"/>
      <c r="MSE10" s="3431"/>
      <c r="MSF10" s="3431"/>
      <c r="MSG10" s="3431"/>
      <c r="MSH10" s="3431"/>
      <c r="MSI10" s="3431"/>
      <c r="MSJ10" s="3431"/>
      <c r="MSK10" s="3431"/>
      <c r="MSL10" s="3431"/>
      <c r="MSM10" s="3431"/>
      <c r="MSN10" s="3431"/>
      <c r="MSO10" s="3431"/>
      <c r="MSP10" s="3431"/>
      <c r="MSQ10" s="3431"/>
      <c r="MSR10" s="3431"/>
      <c r="MSS10" s="3431"/>
      <c r="MST10" s="3431"/>
      <c r="MSU10" s="3431"/>
      <c r="MSV10" s="3431"/>
      <c r="MSW10" s="3431"/>
      <c r="MSX10" s="3431"/>
      <c r="MSY10" s="3431"/>
      <c r="MSZ10" s="3431"/>
      <c r="MTA10" s="3431"/>
      <c r="MTB10" s="3431"/>
      <c r="MTC10" s="3431"/>
      <c r="MTD10" s="3431"/>
      <c r="MTE10" s="3431"/>
      <c r="MTF10" s="3431"/>
      <c r="MTG10" s="3431"/>
      <c r="MTH10" s="3431"/>
      <c r="MTI10" s="3431"/>
      <c r="MTJ10" s="3431"/>
      <c r="MTK10" s="3431"/>
      <c r="MTL10" s="3431"/>
      <c r="MTM10" s="3431"/>
      <c r="MTN10" s="3431"/>
      <c r="MTO10" s="3431"/>
      <c r="MTP10" s="3431"/>
      <c r="MTQ10" s="3431"/>
      <c r="MTR10" s="3431"/>
      <c r="MTS10" s="3431"/>
      <c r="MTT10" s="3431"/>
      <c r="MTU10" s="3431"/>
      <c r="MTV10" s="3431"/>
      <c r="MTW10" s="3431"/>
      <c r="MTX10" s="3431"/>
      <c r="MTY10" s="3431"/>
      <c r="MTZ10" s="3431"/>
      <c r="MUA10" s="3431"/>
      <c r="MUB10" s="3431"/>
      <c r="MUC10" s="3431"/>
      <c r="MUD10" s="3431"/>
      <c r="MUE10" s="3431"/>
      <c r="MUF10" s="3431"/>
      <c r="MUG10" s="3431"/>
      <c r="MUH10" s="3431"/>
      <c r="MUI10" s="3431"/>
      <c r="MUJ10" s="3431"/>
      <c r="MUK10" s="3431"/>
      <c r="MUL10" s="3431"/>
      <c r="MUM10" s="3431"/>
      <c r="MUN10" s="3431"/>
      <c r="MUO10" s="3431"/>
      <c r="MUP10" s="3431"/>
      <c r="MUQ10" s="3431"/>
      <c r="MUR10" s="3431"/>
      <c r="MUS10" s="3431"/>
      <c r="MUT10" s="3431"/>
      <c r="MUU10" s="3431"/>
      <c r="MUV10" s="3431"/>
      <c r="MUW10" s="3431"/>
      <c r="MUX10" s="3431"/>
      <c r="MUY10" s="3431"/>
      <c r="MUZ10" s="3431"/>
      <c r="MVA10" s="3431"/>
      <c r="MVB10" s="3431"/>
      <c r="MVC10" s="3431"/>
      <c r="MVD10" s="3431"/>
      <c r="MVE10" s="3431"/>
      <c r="MVF10" s="3431"/>
      <c r="MVG10" s="3431"/>
      <c r="MVH10" s="3431"/>
      <c r="MVI10" s="3431"/>
      <c r="MVJ10" s="3431"/>
      <c r="MVK10" s="3431"/>
      <c r="MVL10" s="3431"/>
      <c r="MVM10" s="3431"/>
      <c r="MVN10" s="3431"/>
      <c r="MVO10" s="3431"/>
      <c r="MVP10" s="3431"/>
      <c r="MVQ10" s="3431"/>
      <c r="MVR10" s="3431"/>
      <c r="MVS10" s="3431"/>
      <c r="MVT10" s="3431"/>
      <c r="MVU10" s="3431"/>
      <c r="MVV10" s="3431"/>
      <c r="MVW10" s="3431"/>
      <c r="MVX10" s="3431"/>
      <c r="MVY10" s="3431"/>
      <c r="MVZ10" s="3431"/>
      <c r="MWA10" s="3431"/>
      <c r="MWB10" s="3431"/>
      <c r="MWC10" s="3431"/>
      <c r="MWD10" s="3431"/>
      <c r="MWE10" s="3431"/>
      <c r="MWF10" s="3431"/>
      <c r="MWG10" s="3431"/>
      <c r="MWH10" s="3431"/>
      <c r="MWI10" s="3431"/>
      <c r="MWJ10" s="3431"/>
      <c r="MWK10" s="3431"/>
      <c r="MWL10" s="3431"/>
      <c r="MWM10" s="3431"/>
      <c r="MWN10" s="3431"/>
      <c r="MWO10" s="3431"/>
      <c r="MWP10" s="3431"/>
      <c r="MWQ10" s="3431"/>
      <c r="MWR10" s="3431"/>
      <c r="MWS10" s="3431"/>
      <c r="MWT10" s="3431"/>
      <c r="MWU10" s="3431"/>
      <c r="MWV10" s="3431"/>
      <c r="MWW10" s="3431"/>
      <c r="MWX10" s="3431"/>
      <c r="MWY10" s="3431"/>
      <c r="MWZ10" s="3431"/>
      <c r="MXA10" s="3431"/>
      <c r="MXB10" s="3431"/>
      <c r="MXC10" s="3431"/>
      <c r="MXD10" s="3431"/>
      <c r="MXE10" s="3431"/>
      <c r="MXF10" s="3431"/>
      <c r="MXG10" s="3431"/>
      <c r="MXH10" s="3431"/>
      <c r="MXI10" s="3431"/>
      <c r="MXJ10" s="3431"/>
      <c r="MXK10" s="3431"/>
      <c r="MXL10" s="3431"/>
      <c r="MXM10" s="3431"/>
      <c r="MXN10" s="3431"/>
      <c r="MXO10" s="3431"/>
      <c r="MXP10" s="3431"/>
      <c r="MXQ10" s="3431"/>
      <c r="MXR10" s="3431"/>
      <c r="MXS10" s="3431"/>
      <c r="MXT10" s="3431"/>
      <c r="MXU10" s="3431"/>
      <c r="MXV10" s="3431"/>
      <c r="MXW10" s="3431"/>
      <c r="MXX10" s="3431"/>
      <c r="MXY10" s="3431"/>
      <c r="MXZ10" s="3431"/>
      <c r="MYA10" s="3431"/>
      <c r="MYB10" s="3431"/>
      <c r="MYC10" s="3431"/>
      <c r="MYD10" s="3431"/>
      <c r="MYE10" s="3431"/>
      <c r="MYF10" s="3431"/>
      <c r="MYG10" s="3431"/>
      <c r="MYH10" s="3431"/>
      <c r="MYI10" s="3431"/>
      <c r="MYJ10" s="3431"/>
      <c r="MYK10" s="3431"/>
      <c r="MYL10" s="3431"/>
      <c r="MYM10" s="3431"/>
      <c r="MYN10" s="3431"/>
      <c r="MYO10" s="3431"/>
      <c r="MYP10" s="3431"/>
      <c r="MYQ10" s="3431"/>
      <c r="MYR10" s="3431"/>
      <c r="MYS10" s="3431"/>
      <c r="MYT10" s="3431"/>
      <c r="MYU10" s="3431"/>
      <c r="MYV10" s="3431"/>
      <c r="MYW10" s="3431"/>
      <c r="MYX10" s="3431"/>
      <c r="MYY10" s="3431"/>
      <c r="MYZ10" s="3431"/>
      <c r="MZA10" s="3431"/>
      <c r="MZB10" s="3431"/>
      <c r="MZC10" s="3431"/>
      <c r="MZD10" s="3431"/>
      <c r="MZE10" s="3431"/>
      <c r="MZF10" s="3431"/>
      <c r="MZG10" s="3431"/>
      <c r="MZH10" s="3431"/>
      <c r="MZI10" s="3431"/>
      <c r="MZJ10" s="3431"/>
      <c r="MZK10" s="3431"/>
      <c r="MZL10" s="3431"/>
      <c r="MZM10" s="3431"/>
      <c r="MZN10" s="3431"/>
      <c r="MZO10" s="3431"/>
      <c r="MZP10" s="3431"/>
      <c r="MZQ10" s="3431"/>
      <c r="MZR10" s="3431"/>
      <c r="MZS10" s="3431"/>
      <c r="MZT10" s="3431"/>
      <c r="MZU10" s="3431"/>
      <c r="MZV10" s="3431"/>
      <c r="MZW10" s="3431"/>
      <c r="MZX10" s="3431"/>
      <c r="MZY10" s="3431"/>
      <c r="MZZ10" s="3431"/>
      <c r="NAA10" s="3431"/>
      <c r="NAB10" s="3431"/>
      <c r="NAC10" s="3431"/>
      <c r="NAD10" s="3431"/>
      <c r="NAE10" s="3431"/>
      <c r="NAF10" s="3431"/>
      <c r="NAG10" s="3431"/>
      <c r="NAH10" s="3431"/>
      <c r="NAI10" s="3431"/>
      <c r="NAJ10" s="3431"/>
      <c r="NAK10" s="3431"/>
      <c r="NAL10" s="3431"/>
      <c r="NAM10" s="3431"/>
      <c r="NAN10" s="3431"/>
      <c r="NAO10" s="3431"/>
      <c r="NAP10" s="3431"/>
      <c r="NAQ10" s="3431"/>
      <c r="NAR10" s="3431"/>
      <c r="NAS10" s="3431"/>
      <c r="NAT10" s="3431"/>
      <c r="NAU10" s="3431"/>
      <c r="NAV10" s="3431"/>
      <c r="NAW10" s="3431"/>
      <c r="NAX10" s="3431"/>
      <c r="NAY10" s="3431"/>
      <c r="NAZ10" s="3431"/>
      <c r="NBA10" s="3431"/>
      <c r="NBB10" s="3431"/>
      <c r="NBC10" s="3431"/>
      <c r="NBD10" s="3431"/>
      <c r="NBE10" s="3431"/>
      <c r="NBF10" s="3431"/>
      <c r="NBG10" s="3431"/>
      <c r="NBH10" s="3431"/>
      <c r="NBI10" s="3431"/>
      <c r="NBJ10" s="3431"/>
      <c r="NBK10" s="3431"/>
      <c r="NBL10" s="3431"/>
      <c r="NBM10" s="3431"/>
      <c r="NBN10" s="3431"/>
      <c r="NBO10" s="3431"/>
      <c r="NBP10" s="3431"/>
      <c r="NBQ10" s="3431"/>
      <c r="NBR10" s="3431"/>
      <c r="NBS10" s="3431"/>
      <c r="NBT10" s="3431"/>
      <c r="NBU10" s="3431"/>
      <c r="NBV10" s="3431"/>
      <c r="NBW10" s="3431"/>
      <c r="NBX10" s="3431"/>
      <c r="NBY10" s="3431"/>
      <c r="NBZ10" s="3431"/>
      <c r="NCA10" s="3431"/>
      <c r="NCB10" s="3431"/>
      <c r="NCC10" s="3431"/>
      <c r="NCD10" s="3431"/>
      <c r="NCE10" s="3431"/>
      <c r="NCF10" s="3431"/>
      <c r="NCG10" s="3431"/>
      <c r="NCH10" s="3431"/>
      <c r="NCI10" s="3431"/>
      <c r="NCJ10" s="3431"/>
      <c r="NCK10" s="3431"/>
      <c r="NCL10" s="3431"/>
      <c r="NCM10" s="3431"/>
      <c r="NCN10" s="3431"/>
      <c r="NCO10" s="3431"/>
      <c r="NCP10" s="3431"/>
      <c r="NCQ10" s="3431"/>
      <c r="NCR10" s="3431"/>
      <c r="NCS10" s="3431"/>
      <c r="NCT10" s="3431"/>
      <c r="NCU10" s="3431"/>
      <c r="NCV10" s="3431"/>
      <c r="NCW10" s="3431"/>
      <c r="NCX10" s="3431"/>
      <c r="NCY10" s="3431"/>
      <c r="NCZ10" s="3431"/>
      <c r="NDA10" s="3431"/>
      <c r="NDB10" s="3431"/>
      <c r="NDC10" s="3431"/>
      <c r="NDD10" s="3431"/>
      <c r="NDE10" s="3431"/>
      <c r="NDF10" s="3431"/>
      <c r="NDG10" s="3431"/>
      <c r="NDH10" s="3431"/>
      <c r="NDI10" s="3431"/>
      <c r="NDJ10" s="3431"/>
      <c r="NDK10" s="3431"/>
      <c r="NDL10" s="3431"/>
      <c r="NDM10" s="3431"/>
      <c r="NDN10" s="3431"/>
      <c r="NDO10" s="3431"/>
      <c r="NDP10" s="3431"/>
      <c r="NDQ10" s="3431"/>
      <c r="NDR10" s="3431"/>
      <c r="NDS10" s="3431"/>
      <c r="NDT10" s="3431"/>
      <c r="NDU10" s="3431"/>
      <c r="NDV10" s="3431"/>
      <c r="NDW10" s="3431"/>
      <c r="NDX10" s="3431"/>
      <c r="NDY10" s="3431"/>
      <c r="NDZ10" s="3431"/>
      <c r="NEA10" s="3431"/>
      <c r="NEB10" s="3431"/>
      <c r="NEC10" s="3431"/>
      <c r="NED10" s="3431"/>
      <c r="NEE10" s="3431"/>
      <c r="NEF10" s="3431"/>
      <c r="NEG10" s="3431"/>
      <c r="NEH10" s="3431"/>
      <c r="NEI10" s="3431"/>
      <c r="NEJ10" s="3431"/>
      <c r="NEK10" s="3431"/>
      <c r="NEL10" s="3431"/>
      <c r="NEM10" s="3431"/>
      <c r="NEN10" s="3431"/>
      <c r="NEO10" s="3431"/>
      <c r="NEP10" s="3431"/>
      <c r="NEQ10" s="3431"/>
      <c r="NER10" s="3431"/>
      <c r="NES10" s="3431"/>
      <c r="NET10" s="3431"/>
      <c r="NEU10" s="3431"/>
      <c r="NEV10" s="3431"/>
      <c r="NEW10" s="3431"/>
      <c r="NEX10" s="3431"/>
      <c r="NEY10" s="3431"/>
      <c r="NEZ10" s="3431"/>
      <c r="NFA10" s="3431"/>
      <c r="NFB10" s="3431"/>
      <c r="NFC10" s="3431"/>
      <c r="NFD10" s="3431"/>
      <c r="NFE10" s="3431"/>
      <c r="NFF10" s="3431"/>
      <c r="NFG10" s="3431"/>
      <c r="NFH10" s="3431"/>
      <c r="NFI10" s="3431"/>
      <c r="NFJ10" s="3431"/>
      <c r="NFK10" s="3431"/>
      <c r="NFL10" s="3431"/>
      <c r="NFM10" s="3431"/>
      <c r="NFN10" s="3431"/>
      <c r="NFO10" s="3431"/>
      <c r="NFP10" s="3431"/>
      <c r="NFQ10" s="3431"/>
      <c r="NFR10" s="3431"/>
      <c r="NFS10" s="3431"/>
      <c r="NFT10" s="3431"/>
      <c r="NFU10" s="3431"/>
      <c r="NFV10" s="3431"/>
      <c r="NFW10" s="3431"/>
      <c r="NFX10" s="3431"/>
      <c r="NFY10" s="3431"/>
      <c r="NFZ10" s="3431"/>
      <c r="NGA10" s="3431"/>
      <c r="NGB10" s="3431"/>
      <c r="NGC10" s="3431"/>
      <c r="NGD10" s="3431"/>
      <c r="NGE10" s="3431"/>
      <c r="NGF10" s="3431"/>
      <c r="NGG10" s="3431"/>
      <c r="NGH10" s="3431"/>
      <c r="NGI10" s="3431"/>
      <c r="NGJ10" s="3431"/>
      <c r="NGK10" s="3431"/>
      <c r="NGL10" s="3431"/>
      <c r="NGM10" s="3431"/>
      <c r="NGN10" s="3431"/>
      <c r="NGO10" s="3431"/>
      <c r="NGP10" s="3431"/>
      <c r="NGQ10" s="3431"/>
      <c r="NGR10" s="3431"/>
      <c r="NGS10" s="3431"/>
      <c r="NGT10" s="3431"/>
      <c r="NGU10" s="3431"/>
      <c r="NGV10" s="3431"/>
      <c r="NGW10" s="3431"/>
      <c r="NGX10" s="3431"/>
      <c r="NGY10" s="3431"/>
      <c r="NGZ10" s="3431"/>
      <c r="NHA10" s="3431"/>
      <c r="NHB10" s="3431"/>
      <c r="NHC10" s="3431"/>
      <c r="NHD10" s="3431"/>
      <c r="NHE10" s="3431"/>
      <c r="NHF10" s="3431"/>
      <c r="NHG10" s="3431"/>
      <c r="NHH10" s="3431"/>
      <c r="NHI10" s="3431"/>
      <c r="NHJ10" s="3431"/>
      <c r="NHK10" s="3431"/>
      <c r="NHL10" s="3431"/>
      <c r="NHM10" s="3431"/>
      <c r="NHN10" s="3431"/>
      <c r="NHO10" s="3431"/>
      <c r="NHP10" s="3431"/>
      <c r="NHQ10" s="3431"/>
      <c r="NHR10" s="3431"/>
      <c r="NHS10" s="3431"/>
      <c r="NHT10" s="3431"/>
      <c r="NHU10" s="3431"/>
      <c r="NHV10" s="3431"/>
      <c r="NHW10" s="3431"/>
      <c r="NHX10" s="3431"/>
      <c r="NHY10" s="3431"/>
      <c r="NHZ10" s="3431"/>
      <c r="NIA10" s="3431"/>
      <c r="NIB10" s="3431"/>
      <c r="NIC10" s="3431"/>
      <c r="NID10" s="3431"/>
      <c r="NIE10" s="3431"/>
      <c r="NIF10" s="3431"/>
      <c r="NIG10" s="3431"/>
      <c r="NIH10" s="3431"/>
      <c r="NII10" s="3431"/>
      <c r="NIJ10" s="3431"/>
      <c r="NIK10" s="3431"/>
      <c r="NIL10" s="3431"/>
      <c r="NIM10" s="3431"/>
      <c r="NIN10" s="3431"/>
      <c r="NIO10" s="3431"/>
      <c r="NIP10" s="3431"/>
      <c r="NIQ10" s="3431"/>
      <c r="NIR10" s="3431"/>
      <c r="NIS10" s="3431"/>
      <c r="NIT10" s="3431"/>
      <c r="NIU10" s="3431"/>
      <c r="NIV10" s="3431"/>
      <c r="NIW10" s="3431"/>
      <c r="NIX10" s="3431"/>
      <c r="NIY10" s="3431"/>
      <c r="NIZ10" s="3431"/>
      <c r="NJA10" s="3431"/>
      <c r="NJB10" s="3431"/>
      <c r="NJC10" s="3431"/>
      <c r="NJD10" s="3431"/>
      <c r="NJE10" s="3431"/>
      <c r="NJF10" s="3431"/>
      <c r="NJG10" s="3431"/>
      <c r="NJH10" s="3431"/>
      <c r="NJI10" s="3431"/>
      <c r="NJJ10" s="3431"/>
      <c r="NJK10" s="3431"/>
      <c r="NJL10" s="3431"/>
      <c r="NJM10" s="3431"/>
      <c r="NJN10" s="3431"/>
      <c r="NJO10" s="3431"/>
      <c r="NJP10" s="3431"/>
      <c r="NJQ10" s="3431"/>
      <c r="NJR10" s="3431"/>
      <c r="NJS10" s="3431"/>
      <c r="NJT10" s="3431"/>
      <c r="NJU10" s="3431"/>
      <c r="NJV10" s="3431"/>
      <c r="NJW10" s="3431"/>
      <c r="NJX10" s="3431"/>
      <c r="NJY10" s="3431"/>
      <c r="NJZ10" s="3431"/>
      <c r="NKA10" s="3431"/>
      <c r="NKB10" s="3431"/>
      <c r="NKC10" s="3431"/>
      <c r="NKD10" s="3431"/>
      <c r="NKE10" s="3431"/>
      <c r="NKF10" s="3431"/>
      <c r="NKG10" s="3431"/>
      <c r="NKH10" s="3431"/>
      <c r="NKI10" s="3431"/>
      <c r="NKJ10" s="3431"/>
      <c r="NKK10" s="3431"/>
      <c r="NKL10" s="3431"/>
      <c r="NKM10" s="3431"/>
      <c r="NKN10" s="3431"/>
      <c r="NKO10" s="3431"/>
      <c r="NKP10" s="3431"/>
      <c r="NKQ10" s="3431"/>
      <c r="NKR10" s="3431"/>
      <c r="NKS10" s="3431"/>
      <c r="NKT10" s="3431"/>
      <c r="NKU10" s="3431"/>
      <c r="NKV10" s="3431"/>
      <c r="NKW10" s="3431"/>
      <c r="NKX10" s="3431"/>
      <c r="NKY10" s="3431"/>
      <c r="NKZ10" s="3431"/>
      <c r="NLA10" s="3431"/>
      <c r="NLB10" s="3431"/>
      <c r="NLC10" s="3431"/>
      <c r="NLD10" s="3431"/>
      <c r="NLE10" s="3431"/>
      <c r="NLF10" s="3431"/>
      <c r="NLG10" s="3431"/>
      <c r="NLH10" s="3431"/>
      <c r="NLI10" s="3431"/>
      <c r="NLJ10" s="3431"/>
      <c r="NLK10" s="3431"/>
      <c r="NLL10" s="3431"/>
      <c r="NLM10" s="3431"/>
      <c r="NLN10" s="3431"/>
      <c r="NLO10" s="3431"/>
      <c r="NLP10" s="3431"/>
      <c r="NLQ10" s="3431"/>
      <c r="NLR10" s="3431"/>
      <c r="NLS10" s="3431"/>
      <c r="NLT10" s="3431"/>
      <c r="NLU10" s="3431"/>
      <c r="NLV10" s="3431"/>
      <c r="NLW10" s="3431"/>
      <c r="NLX10" s="3431"/>
      <c r="NLY10" s="3431"/>
      <c r="NLZ10" s="3431"/>
      <c r="NMA10" s="3431"/>
      <c r="NMB10" s="3431"/>
      <c r="NMC10" s="3431"/>
      <c r="NMD10" s="3431"/>
      <c r="NME10" s="3431"/>
      <c r="NMF10" s="3431"/>
      <c r="NMG10" s="3431"/>
      <c r="NMH10" s="3431"/>
      <c r="NMI10" s="3431"/>
      <c r="NMJ10" s="3431"/>
      <c r="NMK10" s="3431"/>
      <c r="NML10" s="3431"/>
      <c r="NMM10" s="3431"/>
      <c r="NMN10" s="3431"/>
      <c r="NMO10" s="3431"/>
      <c r="NMP10" s="3431"/>
      <c r="NMQ10" s="3431"/>
      <c r="NMR10" s="3431"/>
      <c r="NMS10" s="3431"/>
      <c r="NMT10" s="3431"/>
      <c r="NMU10" s="3431"/>
      <c r="NMV10" s="3431"/>
      <c r="NMW10" s="3431"/>
      <c r="NMX10" s="3431"/>
      <c r="NMY10" s="3431"/>
      <c r="NMZ10" s="3431"/>
      <c r="NNA10" s="3431"/>
      <c r="NNB10" s="3431"/>
      <c r="NNC10" s="3431"/>
      <c r="NND10" s="3431"/>
      <c r="NNE10" s="3431"/>
      <c r="NNF10" s="3431"/>
      <c r="NNG10" s="3431"/>
      <c r="NNH10" s="3431"/>
      <c r="NNI10" s="3431"/>
      <c r="NNJ10" s="3431"/>
      <c r="NNK10" s="3431"/>
      <c r="NNL10" s="3431"/>
      <c r="NNM10" s="3431"/>
      <c r="NNN10" s="3431"/>
      <c r="NNO10" s="3431"/>
      <c r="NNP10" s="3431"/>
      <c r="NNQ10" s="3431"/>
      <c r="NNR10" s="3431"/>
      <c r="NNS10" s="3431"/>
      <c r="NNT10" s="3431"/>
      <c r="NNU10" s="3431"/>
      <c r="NNV10" s="3431"/>
      <c r="NNW10" s="3431"/>
      <c r="NNX10" s="3431"/>
      <c r="NNY10" s="3431"/>
      <c r="NNZ10" s="3431"/>
      <c r="NOA10" s="3431"/>
      <c r="NOB10" s="3431"/>
      <c r="NOC10" s="3431"/>
      <c r="NOD10" s="3431"/>
      <c r="NOE10" s="3431"/>
      <c r="NOF10" s="3431"/>
      <c r="NOG10" s="3431"/>
      <c r="NOH10" s="3431"/>
      <c r="NOI10" s="3431"/>
      <c r="NOJ10" s="3431"/>
      <c r="NOK10" s="3431"/>
      <c r="NOL10" s="3431"/>
      <c r="NOM10" s="3431"/>
      <c r="NON10" s="3431"/>
      <c r="NOO10" s="3431"/>
      <c r="NOP10" s="3431"/>
      <c r="NOQ10" s="3431"/>
      <c r="NOR10" s="3431"/>
      <c r="NOS10" s="3431"/>
      <c r="NOT10" s="3431"/>
      <c r="NOU10" s="3431"/>
      <c r="NOV10" s="3431"/>
      <c r="NOW10" s="3431"/>
      <c r="NOX10" s="3431"/>
      <c r="NOY10" s="3431"/>
      <c r="NOZ10" s="3431"/>
      <c r="NPA10" s="3431"/>
      <c r="NPB10" s="3431"/>
      <c r="NPC10" s="3431"/>
      <c r="NPD10" s="3431"/>
      <c r="NPE10" s="3431"/>
      <c r="NPF10" s="3431"/>
      <c r="NPG10" s="3431"/>
      <c r="NPH10" s="3431"/>
      <c r="NPI10" s="3431"/>
      <c r="NPJ10" s="3431"/>
      <c r="NPK10" s="3431"/>
      <c r="NPL10" s="3431"/>
      <c r="NPM10" s="3431"/>
      <c r="NPN10" s="3431"/>
      <c r="NPO10" s="3431"/>
      <c r="NPP10" s="3431"/>
      <c r="NPQ10" s="3431"/>
      <c r="NPR10" s="3431"/>
      <c r="NPS10" s="3431"/>
      <c r="NPT10" s="3431"/>
      <c r="NPU10" s="3431"/>
      <c r="NPV10" s="3431"/>
      <c r="NPW10" s="3431"/>
      <c r="NPX10" s="3431"/>
      <c r="NPY10" s="3431"/>
      <c r="NPZ10" s="3431"/>
      <c r="NQA10" s="3431"/>
      <c r="NQB10" s="3431"/>
      <c r="NQC10" s="3431"/>
      <c r="NQD10" s="3431"/>
      <c r="NQE10" s="3431"/>
      <c r="NQF10" s="3431"/>
      <c r="NQG10" s="3431"/>
      <c r="NQH10" s="3431"/>
      <c r="NQI10" s="3431"/>
      <c r="NQJ10" s="3431"/>
      <c r="NQK10" s="3431"/>
      <c r="NQL10" s="3431"/>
      <c r="NQM10" s="3431"/>
      <c r="NQN10" s="3431"/>
      <c r="NQO10" s="3431"/>
      <c r="NQP10" s="3431"/>
      <c r="NQQ10" s="3431"/>
      <c r="NQR10" s="3431"/>
      <c r="NQS10" s="3431"/>
      <c r="NQT10" s="3431"/>
      <c r="NQU10" s="3431"/>
      <c r="NQV10" s="3431"/>
      <c r="NQW10" s="3431"/>
      <c r="NQX10" s="3431"/>
      <c r="NQY10" s="3431"/>
      <c r="NQZ10" s="3431"/>
      <c r="NRA10" s="3431"/>
      <c r="NRB10" s="3431"/>
      <c r="NRC10" s="3431"/>
      <c r="NRD10" s="3431"/>
      <c r="NRE10" s="3431"/>
      <c r="NRF10" s="3431"/>
      <c r="NRG10" s="3431"/>
      <c r="NRH10" s="3431"/>
      <c r="NRI10" s="3431"/>
      <c r="NRJ10" s="3431"/>
      <c r="NRK10" s="3431"/>
      <c r="NRL10" s="3431"/>
      <c r="NRM10" s="3431"/>
      <c r="NRN10" s="3431"/>
      <c r="NRO10" s="3431"/>
      <c r="NRP10" s="3431"/>
      <c r="NRQ10" s="3431"/>
      <c r="NRR10" s="3431"/>
      <c r="NRS10" s="3431"/>
      <c r="NRT10" s="3431"/>
      <c r="NRU10" s="3431"/>
      <c r="NRV10" s="3431"/>
      <c r="NRW10" s="3431"/>
      <c r="NRX10" s="3431"/>
      <c r="NRY10" s="3431"/>
      <c r="NRZ10" s="3431"/>
      <c r="NSA10" s="3431"/>
      <c r="NSB10" s="3431"/>
      <c r="NSC10" s="3431"/>
      <c r="NSD10" s="3431"/>
      <c r="NSE10" s="3431"/>
      <c r="NSF10" s="3431"/>
      <c r="NSG10" s="3431"/>
      <c r="NSH10" s="3431"/>
      <c r="NSI10" s="3431"/>
      <c r="NSJ10" s="3431"/>
      <c r="NSK10" s="3431"/>
      <c r="NSL10" s="3431"/>
      <c r="NSM10" s="3431"/>
      <c r="NSN10" s="3431"/>
      <c r="NSO10" s="3431"/>
      <c r="NSP10" s="3431"/>
      <c r="NSQ10" s="3431"/>
      <c r="NSR10" s="3431"/>
      <c r="NSS10" s="3431"/>
      <c r="NST10" s="3431"/>
      <c r="NSU10" s="3431"/>
      <c r="NSV10" s="3431"/>
      <c r="NSW10" s="3431"/>
      <c r="NSX10" s="3431"/>
      <c r="NSY10" s="3431"/>
      <c r="NSZ10" s="3431"/>
      <c r="NTA10" s="3431"/>
      <c r="NTB10" s="3431"/>
      <c r="NTC10" s="3431"/>
      <c r="NTD10" s="3431"/>
      <c r="NTE10" s="3431"/>
      <c r="NTF10" s="3431"/>
      <c r="NTG10" s="3431"/>
      <c r="NTH10" s="3431"/>
      <c r="NTI10" s="3431"/>
      <c r="NTJ10" s="3431"/>
      <c r="NTK10" s="3431"/>
      <c r="NTL10" s="3431"/>
      <c r="NTM10" s="3431"/>
      <c r="NTN10" s="3431"/>
      <c r="NTO10" s="3431"/>
      <c r="NTP10" s="3431"/>
      <c r="NTQ10" s="3431"/>
      <c r="NTR10" s="3431"/>
      <c r="NTS10" s="3431"/>
      <c r="NTT10" s="3431"/>
      <c r="NTU10" s="3431"/>
      <c r="NTV10" s="3431"/>
      <c r="NTW10" s="3431"/>
      <c r="NTX10" s="3431"/>
      <c r="NTY10" s="3431"/>
      <c r="NTZ10" s="3431"/>
      <c r="NUA10" s="3431"/>
      <c r="NUB10" s="3431"/>
      <c r="NUC10" s="3431"/>
      <c r="NUD10" s="3431"/>
      <c r="NUE10" s="3431"/>
      <c r="NUF10" s="3431"/>
      <c r="NUG10" s="3431"/>
      <c r="NUH10" s="3431"/>
      <c r="NUI10" s="3431"/>
      <c r="NUJ10" s="3431"/>
      <c r="NUK10" s="3431"/>
      <c r="NUL10" s="3431"/>
      <c r="NUM10" s="3431"/>
      <c r="NUN10" s="3431"/>
      <c r="NUO10" s="3431"/>
      <c r="NUP10" s="3431"/>
      <c r="NUQ10" s="3431"/>
      <c r="NUR10" s="3431"/>
      <c r="NUS10" s="3431"/>
      <c r="NUT10" s="3431"/>
      <c r="NUU10" s="3431"/>
      <c r="NUV10" s="3431"/>
      <c r="NUW10" s="3431"/>
      <c r="NUX10" s="3431"/>
      <c r="NUY10" s="3431"/>
      <c r="NUZ10" s="3431"/>
      <c r="NVA10" s="3431"/>
      <c r="NVB10" s="3431"/>
      <c r="NVC10" s="3431"/>
      <c r="NVD10" s="3431"/>
      <c r="NVE10" s="3431"/>
      <c r="NVF10" s="3431"/>
      <c r="NVG10" s="3431"/>
      <c r="NVH10" s="3431"/>
      <c r="NVI10" s="3431"/>
      <c r="NVJ10" s="3431"/>
      <c r="NVK10" s="3431"/>
      <c r="NVL10" s="3431"/>
      <c r="NVM10" s="3431"/>
      <c r="NVN10" s="3431"/>
      <c r="NVO10" s="3431"/>
      <c r="NVP10" s="3431"/>
      <c r="NVQ10" s="3431"/>
      <c r="NVR10" s="3431"/>
      <c r="NVS10" s="3431"/>
      <c r="NVT10" s="3431"/>
      <c r="NVU10" s="3431"/>
      <c r="NVV10" s="3431"/>
      <c r="NVW10" s="3431"/>
      <c r="NVX10" s="3431"/>
      <c r="NVY10" s="3431"/>
      <c r="NVZ10" s="3431"/>
      <c r="NWA10" s="3431"/>
      <c r="NWB10" s="3431"/>
      <c r="NWC10" s="3431"/>
      <c r="NWD10" s="3431"/>
      <c r="NWE10" s="3431"/>
      <c r="NWF10" s="3431"/>
      <c r="NWG10" s="3431"/>
      <c r="NWH10" s="3431"/>
      <c r="NWI10" s="3431"/>
      <c r="NWJ10" s="3431"/>
      <c r="NWK10" s="3431"/>
      <c r="NWL10" s="3431"/>
      <c r="NWM10" s="3431"/>
      <c r="NWN10" s="3431"/>
      <c r="NWO10" s="3431"/>
      <c r="NWP10" s="3431"/>
      <c r="NWQ10" s="3431"/>
      <c r="NWR10" s="3431"/>
      <c r="NWS10" s="3431"/>
      <c r="NWT10" s="3431"/>
      <c r="NWU10" s="3431"/>
      <c r="NWV10" s="3431"/>
      <c r="NWW10" s="3431"/>
      <c r="NWX10" s="3431"/>
      <c r="NWY10" s="3431"/>
      <c r="NWZ10" s="3431"/>
      <c r="NXA10" s="3431"/>
      <c r="NXB10" s="3431"/>
      <c r="NXC10" s="3431"/>
      <c r="NXD10" s="3431"/>
      <c r="NXE10" s="3431"/>
      <c r="NXF10" s="3431"/>
      <c r="NXG10" s="3431"/>
      <c r="NXH10" s="3431"/>
      <c r="NXI10" s="3431"/>
      <c r="NXJ10" s="3431"/>
      <c r="NXK10" s="3431"/>
      <c r="NXL10" s="3431"/>
      <c r="NXM10" s="3431"/>
      <c r="NXN10" s="3431"/>
      <c r="NXO10" s="3431"/>
      <c r="NXP10" s="3431"/>
      <c r="NXQ10" s="3431"/>
      <c r="NXR10" s="3431"/>
      <c r="NXS10" s="3431"/>
      <c r="NXT10" s="3431"/>
      <c r="NXU10" s="3431"/>
      <c r="NXV10" s="3431"/>
      <c r="NXW10" s="3431"/>
      <c r="NXX10" s="3431"/>
      <c r="NXY10" s="3431"/>
      <c r="NXZ10" s="3431"/>
      <c r="NYA10" s="3431"/>
      <c r="NYB10" s="3431"/>
      <c r="NYC10" s="3431"/>
      <c r="NYD10" s="3431"/>
      <c r="NYE10" s="3431"/>
      <c r="NYF10" s="3431"/>
      <c r="NYG10" s="3431"/>
      <c r="NYH10" s="3431"/>
      <c r="NYI10" s="3431"/>
      <c r="NYJ10" s="3431"/>
      <c r="NYK10" s="3431"/>
      <c r="NYL10" s="3431"/>
      <c r="NYM10" s="3431"/>
      <c r="NYN10" s="3431"/>
      <c r="NYO10" s="3431"/>
      <c r="NYP10" s="3431"/>
      <c r="NYQ10" s="3431"/>
      <c r="NYR10" s="3431"/>
      <c r="NYS10" s="3431"/>
      <c r="NYT10" s="3431"/>
      <c r="NYU10" s="3431"/>
      <c r="NYV10" s="3431"/>
      <c r="NYW10" s="3431"/>
      <c r="NYX10" s="3431"/>
      <c r="NYY10" s="3431"/>
      <c r="NYZ10" s="3431"/>
      <c r="NZA10" s="3431"/>
      <c r="NZB10" s="3431"/>
      <c r="NZC10" s="3431"/>
      <c r="NZD10" s="3431"/>
      <c r="NZE10" s="3431"/>
      <c r="NZF10" s="3431"/>
      <c r="NZG10" s="3431"/>
      <c r="NZH10" s="3431"/>
      <c r="NZI10" s="3431"/>
      <c r="NZJ10" s="3431"/>
      <c r="NZK10" s="3431"/>
      <c r="NZL10" s="3431"/>
      <c r="NZM10" s="3431"/>
      <c r="NZN10" s="3431"/>
      <c r="NZO10" s="3431"/>
      <c r="NZP10" s="3431"/>
      <c r="NZQ10" s="3431"/>
      <c r="NZR10" s="3431"/>
      <c r="NZS10" s="3431"/>
      <c r="NZT10" s="3431"/>
      <c r="NZU10" s="3431"/>
      <c r="NZV10" s="3431"/>
      <c r="NZW10" s="3431"/>
      <c r="NZX10" s="3431"/>
      <c r="NZY10" s="3431"/>
      <c r="NZZ10" s="3431"/>
      <c r="OAA10" s="3431"/>
      <c r="OAB10" s="3431"/>
      <c r="OAC10" s="3431"/>
      <c r="OAD10" s="3431"/>
      <c r="OAE10" s="3431"/>
      <c r="OAF10" s="3431"/>
      <c r="OAG10" s="3431"/>
      <c r="OAH10" s="3431"/>
      <c r="OAI10" s="3431"/>
      <c r="OAJ10" s="3431"/>
      <c r="OAK10" s="3431"/>
      <c r="OAL10" s="3431"/>
      <c r="OAM10" s="3431"/>
      <c r="OAN10" s="3431"/>
      <c r="OAO10" s="3431"/>
      <c r="OAP10" s="3431"/>
      <c r="OAQ10" s="3431"/>
      <c r="OAR10" s="3431"/>
      <c r="OAS10" s="3431"/>
      <c r="OAT10" s="3431"/>
      <c r="OAU10" s="3431"/>
      <c r="OAV10" s="3431"/>
      <c r="OAW10" s="3431"/>
      <c r="OAX10" s="3431"/>
      <c r="OAY10" s="3431"/>
      <c r="OAZ10" s="3431"/>
      <c r="OBA10" s="3431"/>
      <c r="OBB10" s="3431"/>
      <c r="OBC10" s="3431"/>
      <c r="OBD10" s="3431"/>
      <c r="OBE10" s="3431"/>
      <c r="OBF10" s="3431"/>
      <c r="OBG10" s="3431"/>
      <c r="OBH10" s="3431"/>
      <c r="OBI10" s="3431"/>
      <c r="OBJ10" s="3431"/>
      <c r="OBK10" s="3431"/>
      <c r="OBL10" s="3431"/>
      <c r="OBM10" s="3431"/>
      <c r="OBN10" s="3431"/>
      <c r="OBO10" s="3431"/>
      <c r="OBP10" s="3431"/>
      <c r="OBQ10" s="3431"/>
      <c r="OBR10" s="3431"/>
      <c r="OBS10" s="3431"/>
      <c r="OBT10" s="3431"/>
      <c r="OBU10" s="3431"/>
      <c r="OBV10" s="3431"/>
      <c r="OBW10" s="3431"/>
      <c r="OBX10" s="3431"/>
      <c r="OBY10" s="3431"/>
      <c r="OBZ10" s="3431"/>
      <c r="OCA10" s="3431"/>
      <c r="OCB10" s="3431"/>
      <c r="OCC10" s="3431"/>
      <c r="OCD10" s="3431"/>
      <c r="OCE10" s="3431"/>
      <c r="OCF10" s="3431"/>
      <c r="OCG10" s="3431"/>
      <c r="OCH10" s="3431"/>
      <c r="OCI10" s="3431"/>
      <c r="OCJ10" s="3431"/>
      <c r="OCK10" s="3431"/>
      <c r="OCL10" s="3431"/>
      <c r="OCM10" s="3431"/>
      <c r="OCN10" s="3431"/>
      <c r="OCO10" s="3431"/>
      <c r="OCP10" s="3431"/>
      <c r="OCQ10" s="3431"/>
      <c r="OCR10" s="3431"/>
      <c r="OCS10" s="3431"/>
      <c r="OCT10" s="3431"/>
      <c r="OCU10" s="3431"/>
      <c r="OCV10" s="3431"/>
      <c r="OCW10" s="3431"/>
      <c r="OCX10" s="3431"/>
      <c r="OCY10" s="3431"/>
      <c r="OCZ10" s="3431"/>
      <c r="ODA10" s="3431"/>
      <c r="ODB10" s="3431"/>
      <c r="ODC10" s="3431"/>
      <c r="ODD10" s="3431"/>
      <c r="ODE10" s="3431"/>
      <c r="ODF10" s="3431"/>
      <c r="ODG10" s="3431"/>
      <c r="ODH10" s="3431"/>
      <c r="ODI10" s="3431"/>
      <c r="ODJ10" s="3431"/>
      <c r="ODK10" s="3431"/>
      <c r="ODL10" s="3431"/>
      <c r="ODM10" s="3431"/>
      <c r="ODN10" s="3431"/>
      <c r="ODO10" s="3431"/>
      <c r="ODP10" s="3431"/>
      <c r="ODQ10" s="3431"/>
      <c r="ODR10" s="3431"/>
      <c r="ODS10" s="3431"/>
      <c r="ODT10" s="3431"/>
      <c r="ODU10" s="3431"/>
      <c r="ODV10" s="3431"/>
      <c r="ODW10" s="3431"/>
      <c r="ODX10" s="3431"/>
      <c r="ODY10" s="3431"/>
      <c r="ODZ10" s="3431"/>
      <c r="OEA10" s="3431"/>
      <c r="OEB10" s="3431"/>
      <c r="OEC10" s="3431"/>
      <c r="OED10" s="3431"/>
      <c r="OEE10" s="3431"/>
      <c r="OEF10" s="3431"/>
      <c r="OEG10" s="3431"/>
      <c r="OEH10" s="3431"/>
      <c r="OEI10" s="3431"/>
      <c r="OEJ10" s="3431"/>
      <c r="OEK10" s="3431"/>
      <c r="OEL10" s="3431"/>
      <c r="OEM10" s="3431"/>
      <c r="OEN10" s="3431"/>
      <c r="OEO10" s="3431"/>
      <c r="OEP10" s="3431"/>
      <c r="OEQ10" s="3431"/>
      <c r="OER10" s="3431"/>
      <c r="OES10" s="3431"/>
      <c r="OET10" s="3431"/>
      <c r="OEU10" s="3431"/>
      <c r="OEV10" s="3431"/>
      <c r="OEW10" s="3431"/>
      <c r="OEX10" s="3431"/>
      <c r="OEY10" s="3431"/>
      <c r="OEZ10" s="3431"/>
      <c r="OFA10" s="3431"/>
      <c r="OFB10" s="3431"/>
      <c r="OFC10" s="3431"/>
      <c r="OFD10" s="3431"/>
      <c r="OFE10" s="3431"/>
      <c r="OFF10" s="3431"/>
      <c r="OFG10" s="3431"/>
      <c r="OFH10" s="3431"/>
      <c r="OFI10" s="3431"/>
      <c r="OFJ10" s="3431"/>
      <c r="OFK10" s="3431"/>
      <c r="OFL10" s="3431"/>
      <c r="OFM10" s="3431"/>
      <c r="OFN10" s="3431"/>
      <c r="OFO10" s="3431"/>
      <c r="OFP10" s="3431"/>
      <c r="OFQ10" s="3431"/>
      <c r="OFR10" s="3431"/>
      <c r="OFS10" s="3431"/>
      <c r="OFT10" s="3431"/>
      <c r="OFU10" s="3431"/>
      <c r="OFV10" s="3431"/>
      <c r="OFW10" s="3431"/>
      <c r="OFX10" s="3431"/>
      <c r="OFY10" s="3431"/>
      <c r="OFZ10" s="3431"/>
      <c r="OGA10" s="3431"/>
      <c r="OGB10" s="3431"/>
      <c r="OGC10" s="3431"/>
      <c r="OGD10" s="3431"/>
      <c r="OGE10" s="3431"/>
      <c r="OGF10" s="3431"/>
      <c r="OGG10" s="3431"/>
      <c r="OGH10" s="3431"/>
      <c r="OGI10" s="3431"/>
      <c r="OGJ10" s="3431"/>
      <c r="OGK10" s="3431"/>
      <c r="OGL10" s="3431"/>
      <c r="OGM10" s="3431"/>
      <c r="OGN10" s="3431"/>
      <c r="OGO10" s="3431"/>
      <c r="OGP10" s="3431"/>
      <c r="OGQ10" s="3431"/>
      <c r="OGR10" s="3431"/>
      <c r="OGS10" s="3431"/>
      <c r="OGT10" s="3431"/>
      <c r="OGU10" s="3431"/>
      <c r="OGV10" s="3431"/>
      <c r="OGW10" s="3431"/>
      <c r="OGX10" s="3431"/>
      <c r="OGY10" s="3431"/>
      <c r="OGZ10" s="3431"/>
      <c r="OHA10" s="3431"/>
      <c r="OHB10" s="3431"/>
      <c r="OHC10" s="3431"/>
      <c r="OHD10" s="3431"/>
      <c r="OHE10" s="3431"/>
      <c r="OHF10" s="3431"/>
      <c r="OHG10" s="3431"/>
      <c r="OHH10" s="3431"/>
      <c r="OHI10" s="3431"/>
      <c r="OHJ10" s="3431"/>
      <c r="OHK10" s="3431"/>
      <c r="OHL10" s="3431"/>
      <c r="OHM10" s="3431"/>
      <c r="OHN10" s="3431"/>
      <c r="OHO10" s="3431"/>
      <c r="OHP10" s="3431"/>
      <c r="OHQ10" s="3431"/>
      <c r="OHR10" s="3431"/>
      <c r="OHS10" s="3431"/>
      <c r="OHT10" s="3431"/>
      <c r="OHU10" s="3431"/>
      <c r="OHV10" s="3431"/>
      <c r="OHW10" s="3431"/>
      <c r="OHX10" s="3431"/>
      <c r="OHY10" s="3431"/>
      <c r="OHZ10" s="3431"/>
      <c r="OIA10" s="3431"/>
      <c r="OIB10" s="3431"/>
      <c r="OIC10" s="3431"/>
      <c r="OID10" s="3431"/>
      <c r="OIE10" s="3431"/>
      <c r="OIF10" s="3431"/>
      <c r="OIG10" s="3431"/>
      <c r="OIH10" s="3431"/>
      <c r="OII10" s="3431"/>
      <c r="OIJ10" s="3431"/>
      <c r="OIK10" s="3431"/>
      <c r="OIL10" s="3431"/>
      <c r="OIM10" s="3431"/>
      <c r="OIN10" s="3431"/>
      <c r="OIO10" s="3431"/>
      <c r="OIP10" s="3431"/>
      <c r="OIQ10" s="3431"/>
      <c r="OIR10" s="3431"/>
      <c r="OIS10" s="3431"/>
      <c r="OIT10" s="3431"/>
      <c r="OIU10" s="3431"/>
      <c r="OIV10" s="3431"/>
      <c r="OIW10" s="3431"/>
      <c r="OIX10" s="3431"/>
      <c r="OIY10" s="3431"/>
      <c r="OIZ10" s="3431"/>
      <c r="OJA10" s="3431"/>
      <c r="OJB10" s="3431"/>
      <c r="OJC10" s="3431"/>
      <c r="OJD10" s="3431"/>
      <c r="OJE10" s="3431"/>
      <c r="OJF10" s="3431"/>
      <c r="OJG10" s="3431"/>
      <c r="OJH10" s="3431"/>
      <c r="OJI10" s="3431"/>
      <c r="OJJ10" s="3431"/>
      <c r="OJK10" s="3431"/>
      <c r="OJL10" s="3431"/>
      <c r="OJM10" s="3431"/>
      <c r="OJN10" s="3431"/>
      <c r="OJO10" s="3431"/>
      <c r="OJP10" s="3431"/>
      <c r="OJQ10" s="3431"/>
      <c r="OJR10" s="3431"/>
      <c r="OJS10" s="3431"/>
      <c r="OJT10" s="3431"/>
      <c r="OJU10" s="3431"/>
      <c r="OJV10" s="3431"/>
      <c r="OJW10" s="3431"/>
      <c r="OJX10" s="3431"/>
      <c r="OJY10" s="3431"/>
      <c r="OJZ10" s="3431"/>
      <c r="OKA10" s="3431"/>
      <c r="OKB10" s="3431"/>
      <c r="OKC10" s="3431"/>
      <c r="OKD10" s="3431"/>
      <c r="OKE10" s="3431"/>
      <c r="OKF10" s="3431"/>
      <c r="OKG10" s="3431"/>
      <c r="OKH10" s="3431"/>
      <c r="OKI10" s="3431"/>
      <c r="OKJ10" s="3431"/>
      <c r="OKK10" s="3431"/>
      <c r="OKL10" s="3431"/>
      <c r="OKM10" s="3431"/>
      <c r="OKN10" s="3431"/>
      <c r="OKO10" s="3431"/>
      <c r="OKP10" s="3431"/>
      <c r="OKQ10" s="3431"/>
      <c r="OKR10" s="3431"/>
      <c r="OKS10" s="3431"/>
      <c r="OKT10" s="3431"/>
      <c r="OKU10" s="3431"/>
      <c r="OKV10" s="3431"/>
      <c r="OKW10" s="3431"/>
      <c r="OKX10" s="3431"/>
      <c r="OKY10" s="3431"/>
      <c r="OKZ10" s="3431"/>
      <c r="OLA10" s="3431"/>
      <c r="OLB10" s="3431"/>
      <c r="OLC10" s="3431"/>
      <c r="OLD10" s="3431"/>
      <c r="OLE10" s="3431"/>
      <c r="OLF10" s="3431"/>
      <c r="OLG10" s="3431"/>
      <c r="OLH10" s="3431"/>
      <c r="OLI10" s="3431"/>
      <c r="OLJ10" s="3431"/>
      <c r="OLK10" s="3431"/>
      <c r="OLL10" s="3431"/>
      <c r="OLM10" s="3431"/>
      <c r="OLN10" s="3431"/>
      <c r="OLO10" s="3431"/>
      <c r="OLP10" s="3431"/>
      <c r="OLQ10" s="3431"/>
      <c r="OLR10" s="3431"/>
      <c r="OLS10" s="3431"/>
      <c r="OLT10" s="3431"/>
      <c r="OLU10" s="3431"/>
      <c r="OLV10" s="3431"/>
      <c r="OLW10" s="3431"/>
      <c r="OLX10" s="3431"/>
      <c r="OLY10" s="3431"/>
      <c r="OLZ10" s="3431"/>
      <c r="OMA10" s="3431"/>
      <c r="OMB10" s="3431"/>
      <c r="OMC10" s="3431"/>
      <c r="OMD10" s="3431"/>
      <c r="OME10" s="3431"/>
      <c r="OMF10" s="3431"/>
      <c r="OMG10" s="3431"/>
      <c r="OMH10" s="3431"/>
      <c r="OMI10" s="3431"/>
      <c r="OMJ10" s="3431"/>
      <c r="OMK10" s="3431"/>
      <c r="OML10" s="3431"/>
      <c r="OMM10" s="3431"/>
      <c r="OMN10" s="3431"/>
      <c r="OMO10" s="3431"/>
      <c r="OMP10" s="3431"/>
      <c r="OMQ10" s="3431"/>
      <c r="OMR10" s="3431"/>
      <c r="OMS10" s="3431"/>
      <c r="OMT10" s="3431"/>
      <c r="OMU10" s="3431"/>
      <c r="OMV10" s="3431"/>
      <c r="OMW10" s="3431"/>
      <c r="OMX10" s="3431"/>
      <c r="OMY10" s="3431"/>
      <c r="OMZ10" s="3431"/>
      <c r="ONA10" s="3431"/>
      <c r="ONB10" s="3431"/>
      <c r="ONC10" s="3431"/>
      <c r="OND10" s="3431"/>
      <c r="ONE10" s="3431"/>
      <c r="ONF10" s="3431"/>
      <c r="ONG10" s="3431"/>
      <c r="ONH10" s="3431"/>
      <c r="ONI10" s="3431"/>
      <c r="ONJ10" s="3431"/>
      <c r="ONK10" s="3431"/>
      <c r="ONL10" s="3431"/>
      <c r="ONM10" s="3431"/>
      <c r="ONN10" s="3431"/>
      <c r="ONO10" s="3431"/>
      <c r="ONP10" s="3431"/>
      <c r="ONQ10" s="3431"/>
      <c r="ONR10" s="3431"/>
      <c r="ONS10" s="3431"/>
      <c r="ONT10" s="3431"/>
      <c r="ONU10" s="3431"/>
      <c r="ONV10" s="3431"/>
      <c r="ONW10" s="3431"/>
      <c r="ONX10" s="3431"/>
      <c r="ONY10" s="3431"/>
      <c r="ONZ10" s="3431"/>
      <c r="OOA10" s="3431"/>
      <c r="OOB10" s="3431"/>
      <c r="OOC10" s="3431"/>
      <c r="OOD10" s="3431"/>
      <c r="OOE10" s="3431"/>
      <c r="OOF10" s="3431"/>
      <c r="OOG10" s="3431"/>
      <c r="OOH10" s="3431"/>
      <c r="OOI10" s="3431"/>
      <c r="OOJ10" s="3431"/>
      <c r="OOK10" s="3431"/>
      <c r="OOL10" s="3431"/>
      <c r="OOM10" s="3431"/>
      <c r="OON10" s="3431"/>
      <c r="OOO10" s="3431"/>
      <c r="OOP10" s="3431"/>
      <c r="OOQ10" s="3431"/>
      <c r="OOR10" s="3431"/>
      <c r="OOS10" s="3431"/>
      <c r="OOT10" s="3431"/>
      <c r="OOU10" s="3431"/>
      <c r="OOV10" s="3431"/>
      <c r="OOW10" s="3431"/>
      <c r="OOX10" s="3431"/>
      <c r="OOY10" s="3431"/>
      <c r="OOZ10" s="3431"/>
      <c r="OPA10" s="3431"/>
      <c r="OPB10" s="3431"/>
      <c r="OPC10" s="3431"/>
      <c r="OPD10" s="3431"/>
      <c r="OPE10" s="3431"/>
      <c r="OPF10" s="3431"/>
      <c r="OPG10" s="3431"/>
      <c r="OPH10" s="3431"/>
      <c r="OPI10" s="3431"/>
      <c r="OPJ10" s="3431"/>
      <c r="OPK10" s="3431"/>
      <c r="OPL10" s="3431"/>
      <c r="OPM10" s="3431"/>
      <c r="OPN10" s="3431"/>
      <c r="OPO10" s="3431"/>
      <c r="OPP10" s="3431"/>
      <c r="OPQ10" s="3431"/>
      <c r="OPR10" s="3431"/>
      <c r="OPS10" s="3431"/>
      <c r="OPT10" s="3431"/>
      <c r="OPU10" s="3431"/>
      <c r="OPV10" s="3431"/>
      <c r="OPW10" s="3431"/>
      <c r="OPX10" s="3431"/>
      <c r="OPY10" s="3431"/>
      <c r="OPZ10" s="3431"/>
      <c r="OQA10" s="3431"/>
      <c r="OQB10" s="3431"/>
      <c r="OQC10" s="3431"/>
      <c r="OQD10" s="3431"/>
      <c r="OQE10" s="3431"/>
      <c r="OQF10" s="3431"/>
      <c r="OQG10" s="3431"/>
      <c r="OQH10" s="3431"/>
      <c r="OQI10" s="3431"/>
      <c r="OQJ10" s="3431"/>
      <c r="OQK10" s="3431"/>
      <c r="OQL10" s="3431"/>
      <c r="OQM10" s="3431"/>
      <c r="OQN10" s="3431"/>
      <c r="OQO10" s="3431"/>
      <c r="OQP10" s="3431"/>
      <c r="OQQ10" s="3431"/>
      <c r="OQR10" s="3431"/>
      <c r="OQS10" s="3431"/>
      <c r="OQT10" s="3431"/>
      <c r="OQU10" s="3431"/>
      <c r="OQV10" s="3431"/>
      <c r="OQW10" s="3431"/>
      <c r="OQX10" s="3431"/>
      <c r="OQY10" s="3431"/>
      <c r="OQZ10" s="3431"/>
      <c r="ORA10" s="3431"/>
      <c r="ORB10" s="3431"/>
      <c r="ORC10" s="3431"/>
      <c r="ORD10" s="3431"/>
      <c r="ORE10" s="3431"/>
      <c r="ORF10" s="3431"/>
      <c r="ORG10" s="3431"/>
      <c r="ORH10" s="3431"/>
      <c r="ORI10" s="3431"/>
      <c r="ORJ10" s="3431"/>
      <c r="ORK10" s="3431"/>
      <c r="ORL10" s="3431"/>
      <c r="ORM10" s="3431"/>
      <c r="ORN10" s="3431"/>
      <c r="ORO10" s="3431"/>
      <c r="ORP10" s="3431"/>
      <c r="ORQ10" s="3431"/>
      <c r="ORR10" s="3431"/>
      <c r="ORS10" s="3431"/>
      <c r="ORT10" s="3431"/>
      <c r="ORU10" s="3431"/>
      <c r="ORV10" s="3431"/>
      <c r="ORW10" s="3431"/>
      <c r="ORX10" s="3431"/>
      <c r="ORY10" s="3431"/>
      <c r="ORZ10" s="3431"/>
      <c r="OSA10" s="3431"/>
      <c r="OSB10" s="3431"/>
      <c r="OSC10" s="3431"/>
      <c r="OSD10" s="3431"/>
      <c r="OSE10" s="3431"/>
      <c r="OSF10" s="3431"/>
      <c r="OSG10" s="3431"/>
      <c r="OSH10" s="3431"/>
      <c r="OSI10" s="3431"/>
      <c r="OSJ10" s="3431"/>
      <c r="OSK10" s="3431"/>
      <c r="OSL10" s="3431"/>
      <c r="OSM10" s="3431"/>
      <c r="OSN10" s="3431"/>
      <c r="OSO10" s="3431"/>
      <c r="OSP10" s="3431"/>
      <c r="OSQ10" s="3431"/>
      <c r="OSR10" s="3431"/>
      <c r="OSS10" s="3431"/>
      <c r="OST10" s="3431"/>
      <c r="OSU10" s="3431"/>
      <c r="OSV10" s="3431"/>
      <c r="OSW10" s="3431"/>
      <c r="OSX10" s="3431"/>
      <c r="OSY10" s="3431"/>
      <c r="OSZ10" s="3431"/>
      <c r="OTA10" s="3431"/>
      <c r="OTB10" s="3431"/>
      <c r="OTC10" s="3431"/>
      <c r="OTD10" s="3431"/>
      <c r="OTE10" s="3431"/>
      <c r="OTF10" s="3431"/>
      <c r="OTG10" s="3431"/>
      <c r="OTH10" s="3431"/>
      <c r="OTI10" s="3431"/>
      <c r="OTJ10" s="3431"/>
      <c r="OTK10" s="3431"/>
      <c r="OTL10" s="3431"/>
      <c r="OTM10" s="3431"/>
      <c r="OTN10" s="3431"/>
      <c r="OTO10" s="3431"/>
      <c r="OTP10" s="3431"/>
      <c r="OTQ10" s="3431"/>
      <c r="OTR10" s="3431"/>
      <c r="OTS10" s="3431"/>
      <c r="OTT10" s="3431"/>
      <c r="OTU10" s="3431"/>
      <c r="OTV10" s="3431"/>
      <c r="OTW10" s="3431"/>
      <c r="OTX10" s="3431"/>
      <c r="OTY10" s="3431"/>
      <c r="OTZ10" s="3431"/>
      <c r="OUA10" s="3431"/>
      <c r="OUB10" s="3431"/>
      <c r="OUC10" s="3431"/>
      <c r="OUD10" s="3431"/>
      <c r="OUE10" s="3431"/>
      <c r="OUF10" s="3431"/>
      <c r="OUG10" s="3431"/>
      <c r="OUH10" s="3431"/>
      <c r="OUI10" s="3431"/>
      <c r="OUJ10" s="3431"/>
      <c r="OUK10" s="3431"/>
      <c r="OUL10" s="3431"/>
      <c r="OUM10" s="3431"/>
      <c r="OUN10" s="3431"/>
      <c r="OUO10" s="3431"/>
      <c r="OUP10" s="3431"/>
      <c r="OUQ10" s="3431"/>
      <c r="OUR10" s="3431"/>
      <c r="OUS10" s="3431"/>
      <c r="OUT10" s="3431"/>
      <c r="OUU10" s="3431"/>
      <c r="OUV10" s="3431"/>
      <c r="OUW10" s="3431"/>
      <c r="OUX10" s="3431"/>
      <c r="OUY10" s="3431"/>
      <c r="OUZ10" s="3431"/>
      <c r="OVA10" s="3431"/>
      <c r="OVB10" s="3431"/>
      <c r="OVC10" s="3431"/>
      <c r="OVD10" s="3431"/>
      <c r="OVE10" s="3431"/>
      <c r="OVF10" s="3431"/>
      <c r="OVG10" s="3431"/>
      <c r="OVH10" s="3431"/>
      <c r="OVI10" s="3431"/>
      <c r="OVJ10" s="3431"/>
      <c r="OVK10" s="3431"/>
      <c r="OVL10" s="3431"/>
      <c r="OVM10" s="3431"/>
      <c r="OVN10" s="3431"/>
      <c r="OVO10" s="3431"/>
      <c r="OVP10" s="3431"/>
      <c r="OVQ10" s="3431"/>
      <c r="OVR10" s="3431"/>
      <c r="OVS10" s="3431"/>
      <c r="OVT10" s="3431"/>
      <c r="OVU10" s="3431"/>
      <c r="OVV10" s="3431"/>
      <c r="OVW10" s="3431"/>
      <c r="OVX10" s="3431"/>
      <c r="OVY10" s="3431"/>
      <c r="OVZ10" s="3431"/>
      <c r="OWA10" s="3431"/>
      <c r="OWB10" s="3431"/>
      <c r="OWC10" s="3431"/>
      <c r="OWD10" s="3431"/>
      <c r="OWE10" s="3431"/>
      <c r="OWF10" s="3431"/>
      <c r="OWG10" s="3431"/>
      <c r="OWH10" s="3431"/>
      <c r="OWI10" s="3431"/>
      <c r="OWJ10" s="3431"/>
      <c r="OWK10" s="3431"/>
      <c r="OWL10" s="3431"/>
      <c r="OWM10" s="3431"/>
      <c r="OWN10" s="3431"/>
      <c r="OWO10" s="3431"/>
      <c r="OWP10" s="3431"/>
      <c r="OWQ10" s="3431"/>
      <c r="OWR10" s="3431"/>
      <c r="OWS10" s="3431"/>
      <c r="OWT10" s="3431"/>
      <c r="OWU10" s="3431"/>
      <c r="OWV10" s="3431"/>
      <c r="OWW10" s="3431"/>
      <c r="OWX10" s="3431"/>
      <c r="OWY10" s="3431"/>
      <c r="OWZ10" s="3431"/>
      <c r="OXA10" s="3431"/>
      <c r="OXB10" s="3431"/>
      <c r="OXC10" s="3431"/>
      <c r="OXD10" s="3431"/>
      <c r="OXE10" s="3431"/>
      <c r="OXF10" s="3431"/>
      <c r="OXG10" s="3431"/>
      <c r="OXH10" s="3431"/>
      <c r="OXI10" s="3431"/>
      <c r="OXJ10" s="3431"/>
      <c r="OXK10" s="3431"/>
      <c r="OXL10" s="3431"/>
      <c r="OXM10" s="3431"/>
      <c r="OXN10" s="3431"/>
      <c r="OXO10" s="3431"/>
      <c r="OXP10" s="3431"/>
      <c r="OXQ10" s="3431"/>
      <c r="OXR10" s="3431"/>
      <c r="OXS10" s="3431"/>
      <c r="OXT10" s="3431"/>
      <c r="OXU10" s="3431"/>
      <c r="OXV10" s="3431"/>
      <c r="OXW10" s="3431"/>
      <c r="OXX10" s="3431"/>
      <c r="OXY10" s="3431"/>
      <c r="OXZ10" s="3431"/>
      <c r="OYA10" s="3431"/>
      <c r="OYB10" s="3431"/>
      <c r="OYC10" s="3431"/>
      <c r="OYD10" s="3431"/>
      <c r="OYE10" s="3431"/>
      <c r="OYF10" s="3431"/>
      <c r="OYG10" s="3431"/>
      <c r="OYH10" s="3431"/>
      <c r="OYI10" s="3431"/>
      <c r="OYJ10" s="3431"/>
      <c r="OYK10" s="3431"/>
      <c r="OYL10" s="3431"/>
      <c r="OYM10" s="3431"/>
      <c r="OYN10" s="3431"/>
      <c r="OYO10" s="3431"/>
      <c r="OYP10" s="3431"/>
      <c r="OYQ10" s="3431"/>
      <c r="OYR10" s="3431"/>
      <c r="OYS10" s="3431"/>
      <c r="OYT10" s="3431"/>
      <c r="OYU10" s="3431"/>
      <c r="OYV10" s="3431"/>
      <c r="OYW10" s="3431"/>
      <c r="OYX10" s="3431"/>
      <c r="OYY10" s="3431"/>
      <c r="OYZ10" s="3431"/>
      <c r="OZA10" s="3431"/>
      <c r="OZB10" s="3431"/>
      <c r="OZC10" s="3431"/>
      <c r="OZD10" s="3431"/>
      <c r="OZE10" s="3431"/>
      <c r="OZF10" s="3431"/>
      <c r="OZG10" s="3431"/>
      <c r="OZH10" s="3431"/>
      <c r="OZI10" s="3431"/>
      <c r="OZJ10" s="3431"/>
      <c r="OZK10" s="3431"/>
      <c r="OZL10" s="3431"/>
      <c r="OZM10" s="3431"/>
      <c r="OZN10" s="3431"/>
      <c r="OZO10" s="3431"/>
      <c r="OZP10" s="3431"/>
      <c r="OZQ10" s="3431"/>
      <c r="OZR10" s="3431"/>
      <c r="OZS10" s="3431"/>
      <c r="OZT10" s="3431"/>
      <c r="OZU10" s="3431"/>
      <c r="OZV10" s="3431"/>
      <c r="OZW10" s="3431"/>
      <c r="OZX10" s="3431"/>
      <c r="OZY10" s="3431"/>
      <c r="OZZ10" s="3431"/>
      <c r="PAA10" s="3431"/>
      <c r="PAB10" s="3431"/>
      <c r="PAC10" s="3431"/>
      <c r="PAD10" s="3431"/>
      <c r="PAE10" s="3431"/>
      <c r="PAF10" s="3431"/>
      <c r="PAG10" s="3431"/>
      <c r="PAH10" s="3431"/>
      <c r="PAI10" s="3431"/>
      <c r="PAJ10" s="3431"/>
      <c r="PAK10" s="3431"/>
      <c r="PAL10" s="3431"/>
      <c r="PAM10" s="3431"/>
      <c r="PAN10" s="3431"/>
      <c r="PAO10" s="3431"/>
      <c r="PAP10" s="3431"/>
      <c r="PAQ10" s="3431"/>
      <c r="PAR10" s="3431"/>
      <c r="PAS10" s="3431"/>
      <c r="PAT10" s="3431"/>
      <c r="PAU10" s="3431"/>
      <c r="PAV10" s="3431"/>
      <c r="PAW10" s="3431"/>
      <c r="PAX10" s="3431"/>
      <c r="PAY10" s="3431"/>
      <c r="PAZ10" s="3431"/>
      <c r="PBA10" s="3431"/>
      <c r="PBB10" s="3431"/>
      <c r="PBC10" s="3431"/>
      <c r="PBD10" s="3431"/>
      <c r="PBE10" s="3431"/>
      <c r="PBF10" s="3431"/>
      <c r="PBG10" s="3431"/>
      <c r="PBH10" s="3431"/>
      <c r="PBI10" s="3431"/>
      <c r="PBJ10" s="3431"/>
      <c r="PBK10" s="3431"/>
      <c r="PBL10" s="3431"/>
      <c r="PBM10" s="3431"/>
      <c r="PBN10" s="3431"/>
      <c r="PBO10" s="3431"/>
      <c r="PBP10" s="3431"/>
      <c r="PBQ10" s="3431"/>
      <c r="PBR10" s="3431"/>
      <c r="PBS10" s="3431"/>
      <c r="PBT10" s="3431"/>
      <c r="PBU10" s="3431"/>
      <c r="PBV10" s="3431"/>
      <c r="PBW10" s="3431"/>
      <c r="PBX10" s="3431"/>
      <c r="PBY10" s="3431"/>
      <c r="PBZ10" s="3431"/>
      <c r="PCA10" s="3431"/>
      <c r="PCB10" s="3431"/>
      <c r="PCC10" s="3431"/>
      <c r="PCD10" s="3431"/>
      <c r="PCE10" s="3431"/>
      <c r="PCF10" s="3431"/>
      <c r="PCG10" s="3431"/>
      <c r="PCH10" s="3431"/>
      <c r="PCI10" s="3431"/>
      <c r="PCJ10" s="3431"/>
      <c r="PCK10" s="3431"/>
      <c r="PCL10" s="3431"/>
      <c r="PCM10" s="3431"/>
      <c r="PCN10" s="3431"/>
      <c r="PCO10" s="3431"/>
      <c r="PCP10" s="3431"/>
      <c r="PCQ10" s="3431"/>
      <c r="PCR10" s="3431"/>
      <c r="PCS10" s="3431"/>
      <c r="PCT10" s="3431"/>
      <c r="PCU10" s="3431"/>
      <c r="PCV10" s="3431"/>
      <c r="PCW10" s="3431"/>
      <c r="PCX10" s="3431"/>
      <c r="PCY10" s="3431"/>
      <c r="PCZ10" s="3431"/>
      <c r="PDA10" s="3431"/>
      <c r="PDB10" s="3431"/>
      <c r="PDC10" s="3431"/>
      <c r="PDD10" s="3431"/>
      <c r="PDE10" s="3431"/>
      <c r="PDF10" s="3431"/>
      <c r="PDG10" s="3431"/>
      <c r="PDH10" s="3431"/>
      <c r="PDI10" s="3431"/>
      <c r="PDJ10" s="3431"/>
      <c r="PDK10" s="3431"/>
      <c r="PDL10" s="3431"/>
      <c r="PDM10" s="3431"/>
      <c r="PDN10" s="3431"/>
      <c r="PDO10" s="3431"/>
      <c r="PDP10" s="3431"/>
      <c r="PDQ10" s="3431"/>
      <c r="PDR10" s="3431"/>
      <c r="PDS10" s="3431"/>
      <c r="PDT10" s="3431"/>
      <c r="PDU10" s="3431"/>
      <c r="PDV10" s="3431"/>
      <c r="PDW10" s="3431"/>
      <c r="PDX10" s="3431"/>
      <c r="PDY10" s="3431"/>
      <c r="PDZ10" s="3431"/>
      <c r="PEA10" s="3431"/>
      <c r="PEB10" s="3431"/>
      <c r="PEC10" s="3431"/>
      <c r="PED10" s="3431"/>
      <c r="PEE10" s="3431"/>
      <c r="PEF10" s="3431"/>
      <c r="PEG10" s="3431"/>
      <c r="PEH10" s="3431"/>
      <c r="PEI10" s="3431"/>
      <c r="PEJ10" s="3431"/>
      <c r="PEK10" s="3431"/>
      <c r="PEL10" s="3431"/>
      <c r="PEM10" s="3431"/>
      <c r="PEN10" s="3431"/>
      <c r="PEO10" s="3431"/>
      <c r="PEP10" s="3431"/>
      <c r="PEQ10" s="3431"/>
      <c r="PER10" s="3431"/>
      <c r="PES10" s="3431"/>
      <c r="PET10" s="3431"/>
      <c r="PEU10" s="3431"/>
      <c r="PEV10" s="3431"/>
      <c r="PEW10" s="3431"/>
      <c r="PEX10" s="3431"/>
      <c r="PEY10" s="3431"/>
      <c r="PEZ10" s="3431"/>
      <c r="PFA10" s="3431"/>
      <c r="PFB10" s="3431"/>
      <c r="PFC10" s="3431"/>
      <c r="PFD10" s="3431"/>
      <c r="PFE10" s="3431"/>
      <c r="PFF10" s="3431"/>
      <c r="PFG10" s="3431"/>
      <c r="PFH10" s="3431"/>
      <c r="PFI10" s="3431"/>
      <c r="PFJ10" s="3431"/>
      <c r="PFK10" s="3431"/>
      <c r="PFL10" s="3431"/>
      <c r="PFM10" s="3431"/>
      <c r="PFN10" s="3431"/>
      <c r="PFO10" s="3431"/>
      <c r="PFP10" s="3431"/>
      <c r="PFQ10" s="3431"/>
      <c r="PFR10" s="3431"/>
      <c r="PFS10" s="3431"/>
      <c r="PFT10" s="3431"/>
      <c r="PFU10" s="3431"/>
      <c r="PFV10" s="3431"/>
      <c r="PFW10" s="3431"/>
      <c r="PFX10" s="3431"/>
      <c r="PFY10" s="3431"/>
      <c r="PFZ10" s="3431"/>
      <c r="PGA10" s="3431"/>
      <c r="PGB10" s="3431"/>
      <c r="PGC10" s="3431"/>
      <c r="PGD10" s="3431"/>
      <c r="PGE10" s="3431"/>
      <c r="PGF10" s="3431"/>
      <c r="PGG10" s="3431"/>
      <c r="PGH10" s="3431"/>
      <c r="PGI10" s="3431"/>
      <c r="PGJ10" s="3431"/>
      <c r="PGK10" s="3431"/>
      <c r="PGL10" s="3431"/>
      <c r="PGM10" s="3431"/>
      <c r="PGN10" s="3431"/>
      <c r="PGO10" s="3431"/>
      <c r="PGP10" s="3431"/>
      <c r="PGQ10" s="3431"/>
      <c r="PGR10" s="3431"/>
      <c r="PGS10" s="3431"/>
      <c r="PGT10" s="3431"/>
      <c r="PGU10" s="3431"/>
      <c r="PGV10" s="3431"/>
      <c r="PGW10" s="3431"/>
      <c r="PGX10" s="3431"/>
      <c r="PGY10" s="3431"/>
      <c r="PGZ10" s="3431"/>
      <c r="PHA10" s="3431"/>
      <c r="PHB10" s="3431"/>
      <c r="PHC10" s="3431"/>
      <c r="PHD10" s="3431"/>
      <c r="PHE10" s="3431"/>
      <c r="PHF10" s="3431"/>
      <c r="PHG10" s="3431"/>
      <c r="PHH10" s="3431"/>
      <c r="PHI10" s="3431"/>
      <c r="PHJ10" s="3431"/>
      <c r="PHK10" s="3431"/>
      <c r="PHL10" s="3431"/>
      <c r="PHM10" s="3431"/>
      <c r="PHN10" s="3431"/>
      <c r="PHO10" s="3431"/>
      <c r="PHP10" s="3431"/>
      <c r="PHQ10" s="3431"/>
      <c r="PHR10" s="3431"/>
      <c r="PHS10" s="3431"/>
      <c r="PHT10" s="3431"/>
      <c r="PHU10" s="3431"/>
      <c r="PHV10" s="3431"/>
      <c r="PHW10" s="3431"/>
      <c r="PHX10" s="3431"/>
      <c r="PHY10" s="3431"/>
      <c r="PHZ10" s="3431"/>
      <c r="PIA10" s="3431"/>
      <c r="PIB10" s="3431"/>
      <c r="PIC10" s="3431"/>
      <c r="PID10" s="3431"/>
      <c r="PIE10" s="3431"/>
      <c r="PIF10" s="3431"/>
      <c r="PIG10" s="3431"/>
      <c r="PIH10" s="3431"/>
      <c r="PII10" s="3431"/>
      <c r="PIJ10" s="3431"/>
      <c r="PIK10" s="3431"/>
      <c r="PIL10" s="3431"/>
      <c r="PIM10" s="3431"/>
      <c r="PIN10" s="3431"/>
      <c r="PIO10" s="3431"/>
      <c r="PIP10" s="3431"/>
      <c r="PIQ10" s="3431"/>
      <c r="PIR10" s="3431"/>
      <c r="PIS10" s="3431"/>
      <c r="PIT10" s="3431"/>
      <c r="PIU10" s="3431"/>
      <c r="PIV10" s="3431"/>
      <c r="PIW10" s="3431"/>
      <c r="PIX10" s="3431"/>
      <c r="PIY10" s="3431"/>
      <c r="PIZ10" s="3431"/>
      <c r="PJA10" s="3431"/>
      <c r="PJB10" s="3431"/>
      <c r="PJC10" s="3431"/>
      <c r="PJD10" s="3431"/>
      <c r="PJE10" s="3431"/>
      <c r="PJF10" s="3431"/>
      <c r="PJG10" s="3431"/>
      <c r="PJH10" s="3431"/>
      <c r="PJI10" s="3431"/>
      <c r="PJJ10" s="3431"/>
      <c r="PJK10" s="3431"/>
      <c r="PJL10" s="3431"/>
      <c r="PJM10" s="3431"/>
      <c r="PJN10" s="3431"/>
      <c r="PJO10" s="3431"/>
      <c r="PJP10" s="3431"/>
      <c r="PJQ10" s="3431"/>
      <c r="PJR10" s="3431"/>
      <c r="PJS10" s="3431"/>
      <c r="PJT10" s="3431"/>
      <c r="PJU10" s="3431"/>
      <c r="PJV10" s="3431"/>
      <c r="PJW10" s="3431"/>
      <c r="PJX10" s="3431"/>
      <c r="PJY10" s="3431"/>
      <c r="PJZ10" s="3431"/>
      <c r="PKA10" s="3431"/>
      <c r="PKB10" s="3431"/>
      <c r="PKC10" s="3431"/>
      <c r="PKD10" s="3431"/>
      <c r="PKE10" s="3431"/>
      <c r="PKF10" s="3431"/>
      <c r="PKG10" s="3431"/>
      <c r="PKH10" s="3431"/>
      <c r="PKI10" s="3431"/>
      <c r="PKJ10" s="3431"/>
      <c r="PKK10" s="3431"/>
      <c r="PKL10" s="3431"/>
      <c r="PKM10" s="3431"/>
      <c r="PKN10" s="3431"/>
      <c r="PKO10" s="3431"/>
      <c r="PKP10" s="3431"/>
      <c r="PKQ10" s="3431"/>
      <c r="PKR10" s="3431"/>
      <c r="PKS10" s="3431"/>
      <c r="PKT10" s="3431"/>
      <c r="PKU10" s="3431"/>
      <c r="PKV10" s="3431"/>
      <c r="PKW10" s="3431"/>
      <c r="PKX10" s="3431"/>
      <c r="PKY10" s="3431"/>
      <c r="PKZ10" s="3431"/>
      <c r="PLA10" s="3431"/>
      <c r="PLB10" s="3431"/>
      <c r="PLC10" s="3431"/>
      <c r="PLD10" s="3431"/>
      <c r="PLE10" s="3431"/>
      <c r="PLF10" s="3431"/>
      <c r="PLG10" s="3431"/>
      <c r="PLH10" s="3431"/>
      <c r="PLI10" s="3431"/>
      <c r="PLJ10" s="3431"/>
      <c r="PLK10" s="3431"/>
      <c r="PLL10" s="3431"/>
      <c r="PLM10" s="3431"/>
      <c r="PLN10" s="3431"/>
      <c r="PLO10" s="3431"/>
      <c r="PLP10" s="3431"/>
      <c r="PLQ10" s="3431"/>
      <c r="PLR10" s="3431"/>
      <c r="PLS10" s="3431"/>
      <c r="PLT10" s="3431"/>
      <c r="PLU10" s="3431"/>
      <c r="PLV10" s="3431"/>
      <c r="PLW10" s="3431"/>
      <c r="PLX10" s="3431"/>
      <c r="PLY10" s="3431"/>
      <c r="PLZ10" s="3431"/>
      <c r="PMA10" s="3431"/>
      <c r="PMB10" s="3431"/>
      <c r="PMC10" s="3431"/>
      <c r="PMD10" s="3431"/>
      <c r="PME10" s="3431"/>
      <c r="PMF10" s="3431"/>
      <c r="PMG10" s="3431"/>
      <c r="PMH10" s="3431"/>
      <c r="PMI10" s="3431"/>
      <c r="PMJ10" s="3431"/>
      <c r="PMK10" s="3431"/>
      <c r="PML10" s="3431"/>
      <c r="PMM10" s="3431"/>
      <c r="PMN10" s="3431"/>
      <c r="PMO10" s="3431"/>
      <c r="PMP10" s="3431"/>
      <c r="PMQ10" s="3431"/>
      <c r="PMR10" s="3431"/>
      <c r="PMS10" s="3431"/>
      <c r="PMT10" s="3431"/>
      <c r="PMU10" s="3431"/>
      <c r="PMV10" s="3431"/>
      <c r="PMW10" s="3431"/>
      <c r="PMX10" s="3431"/>
      <c r="PMY10" s="3431"/>
      <c r="PMZ10" s="3431"/>
      <c r="PNA10" s="3431"/>
      <c r="PNB10" s="3431"/>
      <c r="PNC10" s="3431"/>
      <c r="PND10" s="3431"/>
      <c r="PNE10" s="3431"/>
      <c r="PNF10" s="3431"/>
      <c r="PNG10" s="3431"/>
      <c r="PNH10" s="3431"/>
      <c r="PNI10" s="3431"/>
      <c r="PNJ10" s="3431"/>
      <c r="PNK10" s="3431"/>
      <c r="PNL10" s="3431"/>
      <c r="PNM10" s="3431"/>
      <c r="PNN10" s="3431"/>
      <c r="PNO10" s="3431"/>
      <c r="PNP10" s="3431"/>
      <c r="PNQ10" s="3431"/>
      <c r="PNR10" s="3431"/>
      <c r="PNS10" s="3431"/>
      <c r="PNT10" s="3431"/>
      <c r="PNU10" s="3431"/>
      <c r="PNV10" s="3431"/>
      <c r="PNW10" s="3431"/>
      <c r="PNX10" s="3431"/>
      <c r="PNY10" s="3431"/>
      <c r="PNZ10" s="3431"/>
      <c r="POA10" s="3431"/>
      <c r="POB10" s="3431"/>
      <c r="POC10" s="3431"/>
      <c r="POD10" s="3431"/>
      <c r="POE10" s="3431"/>
      <c r="POF10" s="3431"/>
      <c r="POG10" s="3431"/>
      <c r="POH10" s="3431"/>
      <c r="POI10" s="3431"/>
      <c r="POJ10" s="3431"/>
      <c r="POK10" s="3431"/>
      <c r="POL10" s="3431"/>
      <c r="POM10" s="3431"/>
      <c r="PON10" s="3431"/>
      <c r="POO10" s="3431"/>
      <c r="POP10" s="3431"/>
      <c r="POQ10" s="3431"/>
      <c r="POR10" s="3431"/>
      <c r="POS10" s="3431"/>
      <c r="POT10" s="3431"/>
      <c r="POU10" s="3431"/>
      <c r="POV10" s="3431"/>
      <c r="POW10" s="3431"/>
      <c r="POX10" s="3431"/>
      <c r="POY10" s="3431"/>
      <c r="POZ10" s="3431"/>
      <c r="PPA10" s="3431"/>
      <c r="PPB10" s="3431"/>
      <c r="PPC10" s="3431"/>
      <c r="PPD10" s="3431"/>
      <c r="PPE10" s="3431"/>
      <c r="PPF10" s="3431"/>
      <c r="PPG10" s="3431"/>
      <c r="PPH10" s="3431"/>
      <c r="PPI10" s="3431"/>
      <c r="PPJ10" s="3431"/>
      <c r="PPK10" s="3431"/>
      <c r="PPL10" s="3431"/>
      <c r="PPM10" s="3431"/>
      <c r="PPN10" s="3431"/>
      <c r="PPO10" s="3431"/>
      <c r="PPP10" s="3431"/>
      <c r="PPQ10" s="3431"/>
      <c r="PPR10" s="3431"/>
      <c r="PPS10" s="3431"/>
      <c r="PPT10" s="3431"/>
      <c r="PPU10" s="3431"/>
      <c r="PPV10" s="3431"/>
      <c r="PPW10" s="3431"/>
      <c r="PPX10" s="3431"/>
      <c r="PPY10" s="3431"/>
      <c r="PPZ10" s="3431"/>
      <c r="PQA10" s="3431"/>
      <c r="PQB10" s="3431"/>
      <c r="PQC10" s="3431"/>
      <c r="PQD10" s="3431"/>
      <c r="PQE10" s="3431"/>
      <c r="PQF10" s="3431"/>
      <c r="PQG10" s="3431"/>
      <c r="PQH10" s="3431"/>
      <c r="PQI10" s="3431"/>
      <c r="PQJ10" s="3431"/>
      <c r="PQK10" s="3431"/>
      <c r="PQL10" s="3431"/>
      <c r="PQM10" s="3431"/>
      <c r="PQN10" s="3431"/>
      <c r="PQO10" s="3431"/>
      <c r="PQP10" s="3431"/>
      <c r="PQQ10" s="3431"/>
      <c r="PQR10" s="3431"/>
      <c r="PQS10" s="3431"/>
      <c r="PQT10" s="3431"/>
      <c r="PQU10" s="3431"/>
      <c r="PQV10" s="3431"/>
      <c r="PQW10" s="3431"/>
      <c r="PQX10" s="3431"/>
      <c r="PQY10" s="3431"/>
      <c r="PQZ10" s="3431"/>
      <c r="PRA10" s="3431"/>
      <c r="PRB10" s="3431"/>
      <c r="PRC10" s="3431"/>
      <c r="PRD10" s="3431"/>
      <c r="PRE10" s="3431"/>
      <c r="PRF10" s="3431"/>
      <c r="PRG10" s="3431"/>
      <c r="PRH10" s="3431"/>
      <c r="PRI10" s="3431"/>
      <c r="PRJ10" s="3431"/>
      <c r="PRK10" s="3431"/>
      <c r="PRL10" s="3431"/>
      <c r="PRM10" s="3431"/>
      <c r="PRN10" s="3431"/>
      <c r="PRO10" s="3431"/>
      <c r="PRP10" s="3431"/>
      <c r="PRQ10" s="3431"/>
      <c r="PRR10" s="3431"/>
      <c r="PRS10" s="3431"/>
      <c r="PRT10" s="3431"/>
      <c r="PRU10" s="3431"/>
      <c r="PRV10" s="3431"/>
      <c r="PRW10" s="3431"/>
      <c r="PRX10" s="3431"/>
      <c r="PRY10" s="3431"/>
      <c r="PRZ10" s="3431"/>
      <c r="PSA10" s="3431"/>
      <c r="PSB10" s="3431"/>
      <c r="PSC10" s="3431"/>
      <c r="PSD10" s="3431"/>
      <c r="PSE10" s="3431"/>
      <c r="PSF10" s="3431"/>
      <c r="PSG10" s="3431"/>
      <c r="PSH10" s="3431"/>
      <c r="PSI10" s="3431"/>
      <c r="PSJ10" s="3431"/>
      <c r="PSK10" s="3431"/>
      <c r="PSL10" s="3431"/>
      <c r="PSM10" s="3431"/>
      <c r="PSN10" s="3431"/>
      <c r="PSO10" s="3431"/>
      <c r="PSP10" s="3431"/>
      <c r="PSQ10" s="3431"/>
      <c r="PSR10" s="3431"/>
      <c r="PSS10" s="3431"/>
      <c r="PST10" s="3431"/>
      <c r="PSU10" s="3431"/>
      <c r="PSV10" s="3431"/>
      <c r="PSW10" s="3431"/>
      <c r="PSX10" s="3431"/>
      <c r="PSY10" s="3431"/>
      <c r="PSZ10" s="3431"/>
      <c r="PTA10" s="3431"/>
      <c r="PTB10" s="3431"/>
      <c r="PTC10" s="3431"/>
      <c r="PTD10" s="3431"/>
      <c r="PTE10" s="3431"/>
      <c r="PTF10" s="3431"/>
      <c r="PTG10" s="3431"/>
      <c r="PTH10" s="3431"/>
      <c r="PTI10" s="3431"/>
      <c r="PTJ10" s="3431"/>
      <c r="PTK10" s="3431"/>
      <c r="PTL10" s="3431"/>
      <c r="PTM10" s="3431"/>
      <c r="PTN10" s="3431"/>
      <c r="PTO10" s="3431"/>
      <c r="PTP10" s="3431"/>
      <c r="PTQ10" s="3431"/>
      <c r="PTR10" s="3431"/>
      <c r="PTS10" s="3431"/>
      <c r="PTT10" s="3431"/>
      <c r="PTU10" s="3431"/>
      <c r="PTV10" s="3431"/>
      <c r="PTW10" s="3431"/>
      <c r="PTX10" s="3431"/>
      <c r="PTY10" s="3431"/>
      <c r="PTZ10" s="3431"/>
      <c r="PUA10" s="3431"/>
      <c r="PUB10" s="3431"/>
      <c r="PUC10" s="3431"/>
      <c r="PUD10" s="3431"/>
      <c r="PUE10" s="3431"/>
      <c r="PUF10" s="3431"/>
      <c r="PUG10" s="3431"/>
      <c r="PUH10" s="3431"/>
      <c r="PUI10" s="3431"/>
      <c r="PUJ10" s="3431"/>
      <c r="PUK10" s="3431"/>
      <c r="PUL10" s="3431"/>
      <c r="PUM10" s="3431"/>
      <c r="PUN10" s="3431"/>
      <c r="PUO10" s="3431"/>
      <c r="PUP10" s="3431"/>
      <c r="PUQ10" s="3431"/>
      <c r="PUR10" s="3431"/>
      <c r="PUS10" s="3431"/>
      <c r="PUT10" s="3431"/>
      <c r="PUU10" s="3431"/>
      <c r="PUV10" s="3431"/>
      <c r="PUW10" s="3431"/>
      <c r="PUX10" s="3431"/>
      <c r="PUY10" s="3431"/>
      <c r="PUZ10" s="3431"/>
      <c r="PVA10" s="3431"/>
      <c r="PVB10" s="3431"/>
      <c r="PVC10" s="3431"/>
      <c r="PVD10" s="3431"/>
      <c r="PVE10" s="3431"/>
      <c r="PVF10" s="3431"/>
      <c r="PVG10" s="3431"/>
      <c r="PVH10" s="3431"/>
      <c r="PVI10" s="3431"/>
      <c r="PVJ10" s="3431"/>
      <c r="PVK10" s="3431"/>
      <c r="PVL10" s="3431"/>
      <c r="PVM10" s="3431"/>
      <c r="PVN10" s="3431"/>
      <c r="PVO10" s="3431"/>
      <c r="PVP10" s="3431"/>
      <c r="PVQ10" s="3431"/>
      <c r="PVR10" s="3431"/>
      <c r="PVS10" s="3431"/>
      <c r="PVT10" s="3431"/>
      <c r="PVU10" s="3431"/>
      <c r="PVV10" s="3431"/>
      <c r="PVW10" s="3431"/>
      <c r="PVX10" s="3431"/>
      <c r="PVY10" s="3431"/>
      <c r="PVZ10" s="3431"/>
      <c r="PWA10" s="3431"/>
      <c r="PWB10" s="3431"/>
      <c r="PWC10" s="3431"/>
      <c r="PWD10" s="3431"/>
      <c r="PWE10" s="3431"/>
      <c r="PWF10" s="3431"/>
      <c r="PWG10" s="3431"/>
      <c r="PWH10" s="3431"/>
      <c r="PWI10" s="3431"/>
      <c r="PWJ10" s="3431"/>
      <c r="PWK10" s="3431"/>
      <c r="PWL10" s="3431"/>
      <c r="PWM10" s="3431"/>
      <c r="PWN10" s="3431"/>
      <c r="PWO10" s="3431"/>
      <c r="PWP10" s="3431"/>
      <c r="PWQ10" s="3431"/>
      <c r="PWR10" s="3431"/>
      <c r="PWS10" s="3431"/>
      <c r="PWT10" s="3431"/>
      <c r="PWU10" s="3431"/>
      <c r="PWV10" s="3431"/>
      <c r="PWW10" s="3431"/>
      <c r="PWX10" s="3431"/>
      <c r="PWY10" s="3431"/>
      <c r="PWZ10" s="3431"/>
      <c r="PXA10" s="3431"/>
      <c r="PXB10" s="3431"/>
      <c r="PXC10" s="3431"/>
      <c r="PXD10" s="3431"/>
      <c r="PXE10" s="3431"/>
      <c r="PXF10" s="3431"/>
      <c r="PXG10" s="3431"/>
      <c r="PXH10" s="3431"/>
      <c r="PXI10" s="3431"/>
      <c r="PXJ10" s="3431"/>
      <c r="PXK10" s="3431"/>
      <c r="PXL10" s="3431"/>
      <c r="PXM10" s="3431"/>
      <c r="PXN10" s="3431"/>
      <c r="PXO10" s="3431"/>
      <c r="PXP10" s="3431"/>
      <c r="PXQ10" s="3431"/>
      <c r="PXR10" s="3431"/>
      <c r="PXS10" s="3431"/>
      <c r="PXT10" s="3431"/>
      <c r="PXU10" s="3431"/>
      <c r="PXV10" s="3431"/>
      <c r="PXW10" s="3431"/>
      <c r="PXX10" s="3431"/>
      <c r="PXY10" s="3431"/>
      <c r="PXZ10" s="3431"/>
      <c r="PYA10" s="3431"/>
      <c r="PYB10" s="3431"/>
      <c r="PYC10" s="3431"/>
      <c r="PYD10" s="3431"/>
      <c r="PYE10" s="3431"/>
      <c r="PYF10" s="3431"/>
      <c r="PYG10" s="3431"/>
      <c r="PYH10" s="3431"/>
      <c r="PYI10" s="3431"/>
      <c r="PYJ10" s="3431"/>
      <c r="PYK10" s="3431"/>
      <c r="PYL10" s="3431"/>
      <c r="PYM10" s="3431"/>
      <c r="PYN10" s="3431"/>
      <c r="PYO10" s="3431"/>
      <c r="PYP10" s="3431"/>
      <c r="PYQ10" s="3431"/>
      <c r="PYR10" s="3431"/>
      <c r="PYS10" s="3431"/>
      <c r="PYT10" s="3431"/>
      <c r="PYU10" s="3431"/>
      <c r="PYV10" s="3431"/>
      <c r="PYW10" s="3431"/>
      <c r="PYX10" s="3431"/>
      <c r="PYY10" s="3431"/>
      <c r="PYZ10" s="3431"/>
      <c r="PZA10" s="3431"/>
      <c r="PZB10" s="3431"/>
      <c r="PZC10" s="3431"/>
      <c r="PZD10" s="3431"/>
      <c r="PZE10" s="3431"/>
      <c r="PZF10" s="3431"/>
      <c r="PZG10" s="3431"/>
      <c r="PZH10" s="3431"/>
      <c r="PZI10" s="3431"/>
      <c r="PZJ10" s="3431"/>
      <c r="PZK10" s="3431"/>
      <c r="PZL10" s="3431"/>
      <c r="PZM10" s="3431"/>
      <c r="PZN10" s="3431"/>
      <c r="PZO10" s="3431"/>
      <c r="PZP10" s="3431"/>
      <c r="PZQ10" s="3431"/>
      <c r="PZR10" s="3431"/>
      <c r="PZS10" s="3431"/>
      <c r="PZT10" s="3431"/>
      <c r="PZU10" s="3431"/>
      <c r="PZV10" s="3431"/>
      <c r="PZW10" s="3431"/>
      <c r="PZX10" s="3431"/>
      <c r="PZY10" s="3431"/>
      <c r="PZZ10" s="3431"/>
      <c r="QAA10" s="3431"/>
      <c r="QAB10" s="3431"/>
      <c r="QAC10" s="3431"/>
      <c r="QAD10" s="3431"/>
      <c r="QAE10" s="3431"/>
      <c r="QAF10" s="3431"/>
      <c r="QAG10" s="3431"/>
      <c r="QAH10" s="3431"/>
      <c r="QAI10" s="3431"/>
      <c r="QAJ10" s="3431"/>
      <c r="QAK10" s="3431"/>
      <c r="QAL10" s="3431"/>
      <c r="QAM10" s="3431"/>
      <c r="QAN10" s="3431"/>
      <c r="QAO10" s="3431"/>
      <c r="QAP10" s="3431"/>
      <c r="QAQ10" s="3431"/>
      <c r="QAR10" s="3431"/>
      <c r="QAS10" s="3431"/>
      <c r="QAT10" s="3431"/>
      <c r="QAU10" s="3431"/>
      <c r="QAV10" s="3431"/>
      <c r="QAW10" s="3431"/>
      <c r="QAX10" s="3431"/>
      <c r="QAY10" s="3431"/>
      <c r="QAZ10" s="3431"/>
      <c r="QBA10" s="3431"/>
      <c r="QBB10" s="3431"/>
      <c r="QBC10" s="3431"/>
      <c r="QBD10" s="3431"/>
      <c r="QBE10" s="3431"/>
      <c r="QBF10" s="3431"/>
      <c r="QBG10" s="3431"/>
      <c r="QBH10" s="3431"/>
      <c r="QBI10" s="3431"/>
      <c r="QBJ10" s="3431"/>
      <c r="QBK10" s="3431"/>
      <c r="QBL10" s="3431"/>
      <c r="QBM10" s="3431"/>
      <c r="QBN10" s="3431"/>
      <c r="QBO10" s="3431"/>
      <c r="QBP10" s="3431"/>
      <c r="QBQ10" s="3431"/>
      <c r="QBR10" s="3431"/>
      <c r="QBS10" s="3431"/>
      <c r="QBT10" s="3431"/>
      <c r="QBU10" s="3431"/>
      <c r="QBV10" s="3431"/>
      <c r="QBW10" s="3431"/>
      <c r="QBX10" s="3431"/>
      <c r="QBY10" s="3431"/>
      <c r="QBZ10" s="3431"/>
      <c r="QCA10" s="3431"/>
      <c r="QCB10" s="3431"/>
      <c r="QCC10" s="3431"/>
      <c r="QCD10" s="3431"/>
      <c r="QCE10" s="3431"/>
      <c r="QCF10" s="3431"/>
      <c r="QCG10" s="3431"/>
      <c r="QCH10" s="3431"/>
      <c r="QCI10" s="3431"/>
      <c r="QCJ10" s="3431"/>
      <c r="QCK10" s="3431"/>
      <c r="QCL10" s="3431"/>
      <c r="QCM10" s="3431"/>
      <c r="QCN10" s="3431"/>
      <c r="QCO10" s="3431"/>
      <c r="QCP10" s="3431"/>
      <c r="QCQ10" s="3431"/>
      <c r="QCR10" s="3431"/>
      <c r="QCS10" s="3431"/>
      <c r="QCT10" s="3431"/>
      <c r="QCU10" s="3431"/>
      <c r="QCV10" s="3431"/>
      <c r="QCW10" s="3431"/>
      <c r="QCX10" s="3431"/>
      <c r="QCY10" s="3431"/>
      <c r="QCZ10" s="3431"/>
      <c r="QDA10" s="3431"/>
      <c r="QDB10" s="3431"/>
      <c r="QDC10" s="3431"/>
      <c r="QDD10" s="3431"/>
      <c r="QDE10" s="3431"/>
      <c r="QDF10" s="3431"/>
      <c r="QDG10" s="3431"/>
      <c r="QDH10" s="3431"/>
      <c r="QDI10" s="3431"/>
      <c r="QDJ10" s="3431"/>
      <c r="QDK10" s="3431"/>
      <c r="QDL10" s="3431"/>
      <c r="QDM10" s="3431"/>
      <c r="QDN10" s="3431"/>
      <c r="QDO10" s="3431"/>
      <c r="QDP10" s="3431"/>
      <c r="QDQ10" s="3431"/>
      <c r="QDR10" s="3431"/>
      <c r="QDS10" s="3431"/>
      <c r="QDT10" s="3431"/>
      <c r="QDU10" s="3431"/>
      <c r="QDV10" s="3431"/>
      <c r="QDW10" s="3431"/>
      <c r="QDX10" s="3431"/>
      <c r="QDY10" s="3431"/>
      <c r="QDZ10" s="3431"/>
      <c r="QEA10" s="3431"/>
      <c r="QEB10" s="3431"/>
      <c r="QEC10" s="3431"/>
      <c r="QED10" s="3431"/>
      <c r="QEE10" s="3431"/>
      <c r="QEF10" s="3431"/>
      <c r="QEG10" s="3431"/>
      <c r="QEH10" s="3431"/>
      <c r="QEI10" s="3431"/>
      <c r="QEJ10" s="3431"/>
      <c r="QEK10" s="3431"/>
      <c r="QEL10" s="3431"/>
      <c r="QEM10" s="3431"/>
      <c r="QEN10" s="3431"/>
      <c r="QEO10" s="3431"/>
      <c r="QEP10" s="3431"/>
      <c r="QEQ10" s="3431"/>
      <c r="QER10" s="3431"/>
      <c r="QES10" s="3431"/>
      <c r="QET10" s="3431"/>
      <c r="QEU10" s="3431"/>
      <c r="QEV10" s="3431"/>
      <c r="QEW10" s="3431"/>
      <c r="QEX10" s="3431"/>
      <c r="QEY10" s="3431"/>
      <c r="QEZ10" s="3431"/>
      <c r="QFA10" s="3431"/>
      <c r="QFB10" s="3431"/>
      <c r="QFC10" s="3431"/>
      <c r="QFD10" s="3431"/>
      <c r="QFE10" s="3431"/>
      <c r="QFF10" s="3431"/>
      <c r="QFG10" s="3431"/>
      <c r="QFH10" s="3431"/>
      <c r="QFI10" s="3431"/>
      <c r="QFJ10" s="3431"/>
      <c r="QFK10" s="3431"/>
      <c r="QFL10" s="3431"/>
      <c r="QFM10" s="3431"/>
      <c r="QFN10" s="3431"/>
      <c r="QFO10" s="3431"/>
      <c r="QFP10" s="3431"/>
      <c r="QFQ10" s="3431"/>
      <c r="QFR10" s="3431"/>
      <c r="QFS10" s="3431"/>
      <c r="QFT10" s="3431"/>
      <c r="QFU10" s="3431"/>
      <c r="QFV10" s="3431"/>
      <c r="QFW10" s="3431"/>
      <c r="QFX10" s="3431"/>
      <c r="QFY10" s="3431"/>
      <c r="QFZ10" s="3431"/>
      <c r="QGA10" s="3431"/>
      <c r="QGB10" s="3431"/>
      <c r="QGC10" s="3431"/>
      <c r="QGD10" s="3431"/>
      <c r="QGE10" s="3431"/>
      <c r="QGF10" s="3431"/>
      <c r="QGG10" s="3431"/>
      <c r="QGH10" s="3431"/>
      <c r="QGI10" s="3431"/>
      <c r="QGJ10" s="3431"/>
      <c r="QGK10" s="3431"/>
      <c r="QGL10" s="3431"/>
      <c r="QGM10" s="3431"/>
      <c r="QGN10" s="3431"/>
      <c r="QGO10" s="3431"/>
      <c r="QGP10" s="3431"/>
      <c r="QGQ10" s="3431"/>
      <c r="QGR10" s="3431"/>
      <c r="QGS10" s="3431"/>
      <c r="QGT10" s="3431"/>
      <c r="QGU10" s="3431"/>
      <c r="QGV10" s="3431"/>
      <c r="QGW10" s="3431"/>
      <c r="QGX10" s="3431"/>
      <c r="QGY10" s="3431"/>
      <c r="QGZ10" s="3431"/>
      <c r="QHA10" s="3431"/>
      <c r="QHB10" s="3431"/>
      <c r="QHC10" s="3431"/>
      <c r="QHD10" s="3431"/>
      <c r="QHE10" s="3431"/>
      <c r="QHF10" s="3431"/>
      <c r="QHG10" s="3431"/>
      <c r="QHH10" s="3431"/>
      <c r="QHI10" s="3431"/>
      <c r="QHJ10" s="3431"/>
      <c r="QHK10" s="3431"/>
      <c r="QHL10" s="3431"/>
      <c r="QHM10" s="3431"/>
      <c r="QHN10" s="3431"/>
      <c r="QHO10" s="3431"/>
      <c r="QHP10" s="3431"/>
      <c r="QHQ10" s="3431"/>
      <c r="QHR10" s="3431"/>
      <c r="QHS10" s="3431"/>
      <c r="QHT10" s="3431"/>
      <c r="QHU10" s="3431"/>
      <c r="QHV10" s="3431"/>
      <c r="QHW10" s="3431"/>
      <c r="QHX10" s="3431"/>
      <c r="QHY10" s="3431"/>
      <c r="QHZ10" s="3431"/>
      <c r="QIA10" s="3431"/>
      <c r="QIB10" s="3431"/>
      <c r="QIC10" s="3431"/>
      <c r="QID10" s="3431"/>
      <c r="QIE10" s="3431"/>
      <c r="QIF10" s="3431"/>
      <c r="QIG10" s="3431"/>
      <c r="QIH10" s="3431"/>
      <c r="QII10" s="3431"/>
      <c r="QIJ10" s="3431"/>
      <c r="QIK10" s="3431"/>
      <c r="QIL10" s="3431"/>
      <c r="QIM10" s="3431"/>
      <c r="QIN10" s="3431"/>
      <c r="QIO10" s="3431"/>
      <c r="QIP10" s="3431"/>
      <c r="QIQ10" s="3431"/>
      <c r="QIR10" s="3431"/>
      <c r="QIS10" s="3431"/>
      <c r="QIT10" s="3431"/>
      <c r="QIU10" s="3431"/>
      <c r="QIV10" s="3431"/>
      <c r="QIW10" s="3431"/>
      <c r="QIX10" s="3431"/>
      <c r="QIY10" s="3431"/>
      <c r="QIZ10" s="3431"/>
      <c r="QJA10" s="3431"/>
      <c r="QJB10" s="3431"/>
      <c r="QJC10" s="3431"/>
      <c r="QJD10" s="3431"/>
      <c r="QJE10" s="3431"/>
      <c r="QJF10" s="3431"/>
      <c r="QJG10" s="3431"/>
      <c r="QJH10" s="3431"/>
      <c r="QJI10" s="3431"/>
      <c r="QJJ10" s="3431"/>
      <c r="QJK10" s="3431"/>
      <c r="QJL10" s="3431"/>
      <c r="QJM10" s="3431"/>
      <c r="QJN10" s="3431"/>
      <c r="QJO10" s="3431"/>
      <c r="QJP10" s="3431"/>
      <c r="QJQ10" s="3431"/>
      <c r="QJR10" s="3431"/>
      <c r="QJS10" s="3431"/>
      <c r="QJT10" s="3431"/>
      <c r="QJU10" s="3431"/>
      <c r="QJV10" s="3431"/>
      <c r="QJW10" s="3431"/>
      <c r="QJX10" s="3431"/>
      <c r="QJY10" s="3431"/>
      <c r="QJZ10" s="3431"/>
      <c r="QKA10" s="3431"/>
      <c r="QKB10" s="3431"/>
      <c r="QKC10" s="3431"/>
      <c r="QKD10" s="3431"/>
      <c r="QKE10" s="3431"/>
      <c r="QKF10" s="3431"/>
      <c r="QKG10" s="3431"/>
      <c r="QKH10" s="3431"/>
      <c r="QKI10" s="3431"/>
      <c r="QKJ10" s="3431"/>
      <c r="QKK10" s="3431"/>
      <c r="QKL10" s="3431"/>
      <c r="QKM10" s="3431"/>
      <c r="QKN10" s="3431"/>
      <c r="QKO10" s="3431"/>
      <c r="QKP10" s="3431"/>
      <c r="QKQ10" s="3431"/>
      <c r="QKR10" s="3431"/>
      <c r="QKS10" s="3431"/>
      <c r="QKT10" s="3431"/>
      <c r="QKU10" s="3431"/>
      <c r="QKV10" s="3431"/>
      <c r="QKW10" s="3431"/>
      <c r="QKX10" s="3431"/>
      <c r="QKY10" s="3431"/>
      <c r="QKZ10" s="3431"/>
      <c r="QLA10" s="3431"/>
      <c r="QLB10" s="3431"/>
      <c r="QLC10" s="3431"/>
      <c r="QLD10" s="3431"/>
      <c r="QLE10" s="3431"/>
      <c r="QLF10" s="3431"/>
      <c r="QLG10" s="3431"/>
      <c r="QLH10" s="3431"/>
      <c r="QLI10" s="3431"/>
      <c r="QLJ10" s="3431"/>
      <c r="QLK10" s="3431"/>
      <c r="QLL10" s="3431"/>
      <c r="QLM10" s="3431"/>
      <c r="QLN10" s="3431"/>
      <c r="QLO10" s="3431"/>
      <c r="QLP10" s="3431"/>
      <c r="QLQ10" s="3431"/>
      <c r="QLR10" s="3431"/>
      <c r="QLS10" s="3431"/>
      <c r="QLT10" s="3431"/>
      <c r="QLU10" s="3431"/>
      <c r="QLV10" s="3431"/>
      <c r="QLW10" s="3431"/>
      <c r="QLX10" s="3431"/>
      <c r="QLY10" s="3431"/>
      <c r="QLZ10" s="3431"/>
      <c r="QMA10" s="3431"/>
      <c r="QMB10" s="3431"/>
      <c r="QMC10" s="3431"/>
      <c r="QMD10" s="3431"/>
      <c r="QME10" s="3431"/>
      <c r="QMF10" s="3431"/>
      <c r="QMG10" s="3431"/>
      <c r="QMH10" s="3431"/>
      <c r="QMI10" s="3431"/>
      <c r="QMJ10" s="3431"/>
      <c r="QMK10" s="3431"/>
      <c r="QML10" s="3431"/>
      <c r="QMM10" s="3431"/>
      <c r="QMN10" s="3431"/>
      <c r="QMO10" s="3431"/>
      <c r="QMP10" s="3431"/>
      <c r="QMQ10" s="3431"/>
      <c r="QMR10" s="3431"/>
      <c r="QMS10" s="3431"/>
      <c r="QMT10" s="3431"/>
      <c r="QMU10" s="3431"/>
      <c r="QMV10" s="3431"/>
      <c r="QMW10" s="3431"/>
      <c r="QMX10" s="3431"/>
      <c r="QMY10" s="3431"/>
      <c r="QMZ10" s="3431"/>
      <c r="QNA10" s="3431"/>
      <c r="QNB10" s="3431"/>
      <c r="QNC10" s="3431"/>
      <c r="QND10" s="3431"/>
      <c r="QNE10" s="3431"/>
      <c r="QNF10" s="3431"/>
      <c r="QNG10" s="3431"/>
      <c r="QNH10" s="3431"/>
      <c r="QNI10" s="3431"/>
      <c r="QNJ10" s="3431"/>
      <c r="QNK10" s="3431"/>
      <c r="QNL10" s="3431"/>
      <c r="QNM10" s="3431"/>
      <c r="QNN10" s="3431"/>
      <c r="QNO10" s="3431"/>
      <c r="QNP10" s="3431"/>
      <c r="QNQ10" s="3431"/>
      <c r="QNR10" s="3431"/>
      <c r="QNS10" s="3431"/>
      <c r="QNT10" s="3431"/>
      <c r="QNU10" s="3431"/>
      <c r="QNV10" s="3431"/>
      <c r="QNW10" s="3431"/>
      <c r="QNX10" s="3431"/>
      <c r="QNY10" s="3431"/>
      <c r="QNZ10" s="3431"/>
      <c r="QOA10" s="3431"/>
      <c r="QOB10" s="3431"/>
      <c r="QOC10" s="3431"/>
      <c r="QOD10" s="3431"/>
      <c r="QOE10" s="3431"/>
      <c r="QOF10" s="3431"/>
      <c r="QOG10" s="3431"/>
      <c r="QOH10" s="3431"/>
      <c r="QOI10" s="3431"/>
      <c r="QOJ10" s="3431"/>
      <c r="QOK10" s="3431"/>
      <c r="QOL10" s="3431"/>
      <c r="QOM10" s="3431"/>
      <c r="QON10" s="3431"/>
      <c r="QOO10" s="3431"/>
      <c r="QOP10" s="3431"/>
      <c r="QOQ10" s="3431"/>
      <c r="QOR10" s="3431"/>
      <c r="QOS10" s="3431"/>
      <c r="QOT10" s="3431"/>
      <c r="QOU10" s="3431"/>
      <c r="QOV10" s="3431"/>
      <c r="QOW10" s="3431"/>
      <c r="QOX10" s="3431"/>
      <c r="QOY10" s="3431"/>
      <c r="QOZ10" s="3431"/>
      <c r="QPA10" s="3431"/>
      <c r="QPB10" s="3431"/>
      <c r="QPC10" s="3431"/>
      <c r="QPD10" s="3431"/>
      <c r="QPE10" s="3431"/>
      <c r="QPF10" s="3431"/>
      <c r="QPG10" s="3431"/>
      <c r="QPH10" s="3431"/>
      <c r="QPI10" s="3431"/>
      <c r="QPJ10" s="3431"/>
      <c r="QPK10" s="3431"/>
      <c r="QPL10" s="3431"/>
      <c r="QPM10" s="3431"/>
      <c r="QPN10" s="3431"/>
      <c r="QPO10" s="3431"/>
      <c r="QPP10" s="3431"/>
      <c r="QPQ10" s="3431"/>
      <c r="QPR10" s="3431"/>
      <c r="QPS10" s="3431"/>
      <c r="QPT10" s="3431"/>
      <c r="QPU10" s="3431"/>
      <c r="QPV10" s="3431"/>
      <c r="QPW10" s="3431"/>
      <c r="QPX10" s="3431"/>
      <c r="QPY10" s="3431"/>
      <c r="QPZ10" s="3431"/>
      <c r="QQA10" s="3431"/>
      <c r="QQB10" s="3431"/>
      <c r="QQC10" s="3431"/>
      <c r="QQD10" s="3431"/>
      <c r="QQE10" s="3431"/>
      <c r="QQF10" s="3431"/>
      <c r="QQG10" s="3431"/>
      <c r="QQH10" s="3431"/>
      <c r="QQI10" s="3431"/>
      <c r="QQJ10" s="3431"/>
      <c r="QQK10" s="3431"/>
      <c r="QQL10" s="3431"/>
      <c r="QQM10" s="3431"/>
      <c r="QQN10" s="3431"/>
      <c r="QQO10" s="3431"/>
      <c r="QQP10" s="3431"/>
      <c r="QQQ10" s="3431"/>
      <c r="QQR10" s="3431"/>
      <c r="QQS10" s="3431"/>
      <c r="QQT10" s="3431"/>
      <c r="QQU10" s="3431"/>
      <c r="QQV10" s="3431"/>
      <c r="QQW10" s="3431"/>
      <c r="QQX10" s="3431"/>
      <c r="QQY10" s="3431"/>
      <c r="QQZ10" s="3431"/>
      <c r="QRA10" s="3431"/>
      <c r="QRB10" s="3431"/>
      <c r="QRC10" s="3431"/>
      <c r="QRD10" s="3431"/>
      <c r="QRE10" s="3431"/>
      <c r="QRF10" s="3431"/>
      <c r="QRG10" s="3431"/>
      <c r="QRH10" s="3431"/>
      <c r="QRI10" s="3431"/>
      <c r="QRJ10" s="3431"/>
      <c r="QRK10" s="3431"/>
      <c r="QRL10" s="3431"/>
      <c r="QRM10" s="3431"/>
      <c r="QRN10" s="3431"/>
      <c r="QRO10" s="3431"/>
      <c r="QRP10" s="3431"/>
      <c r="QRQ10" s="3431"/>
      <c r="QRR10" s="3431"/>
      <c r="QRS10" s="3431"/>
      <c r="QRT10" s="3431"/>
      <c r="QRU10" s="3431"/>
      <c r="QRV10" s="3431"/>
      <c r="QRW10" s="3431"/>
      <c r="QRX10" s="3431"/>
      <c r="QRY10" s="3431"/>
      <c r="QRZ10" s="3431"/>
      <c r="QSA10" s="3431"/>
      <c r="QSB10" s="3431"/>
      <c r="QSC10" s="3431"/>
      <c r="QSD10" s="3431"/>
      <c r="QSE10" s="3431"/>
      <c r="QSF10" s="3431"/>
      <c r="QSG10" s="3431"/>
      <c r="QSH10" s="3431"/>
      <c r="QSI10" s="3431"/>
      <c r="QSJ10" s="3431"/>
      <c r="QSK10" s="3431"/>
      <c r="QSL10" s="3431"/>
      <c r="QSM10" s="3431"/>
      <c r="QSN10" s="3431"/>
      <c r="QSO10" s="3431"/>
      <c r="QSP10" s="3431"/>
      <c r="QSQ10" s="3431"/>
      <c r="QSR10" s="3431"/>
      <c r="QSS10" s="3431"/>
      <c r="QST10" s="3431"/>
      <c r="QSU10" s="3431"/>
      <c r="QSV10" s="3431"/>
      <c r="QSW10" s="3431"/>
      <c r="QSX10" s="3431"/>
      <c r="QSY10" s="3431"/>
      <c r="QSZ10" s="3431"/>
      <c r="QTA10" s="3431"/>
      <c r="QTB10" s="3431"/>
      <c r="QTC10" s="3431"/>
      <c r="QTD10" s="3431"/>
      <c r="QTE10" s="3431"/>
      <c r="QTF10" s="3431"/>
      <c r="QTG10" s="3431"/>
      <c r="QTH10" s="3431"/>
      <c r="QTI10" s="3431"/>
      <c r="QTJ10" s="3431"/>
      <c r="QTK10" s="3431"/>
      <c r="QTL10" s="3431"/>
      <c r="QTM10" s="3431"/>
      <c r="QTN10" s="3431"/>
      <c r="QTO10" s="3431"/>
      <c r="QTP10" s="3431"/>
      <c r="QTQ10" s="3431"/>
      <c r="QTR10" s="3431"/>
      <c r="QTS10" s="3431"/>
      <c r="QTT10" s="3431"/>
      <c r="QTU10" s="3431"/>
      <c r="QTV10" s="3431"/>
      <c r="QTW10" s="3431"/>
      <c r="QTX10" s="3431"/>
      <c r="QTY10" s="3431"/>
      <c r="QTZ10" s="3431"/>
      <c r="QUA10" s="3431"/>
      <c r="QUB10" s="3431"/>
      <c r="QUC10" s="3431"/>
      <c r="QUD10" s="3431"/>
      <c r="QUE10" s="3431"/>
      <c r="QUF10" s="3431"/>
      <c r="QUG10" s="3431"/>
      <c r="QUH10" s="3431"/>
      <c r="QUI10" s="3431"/>
      <c r="QUJ10" s="3431"/>
      <c r="QUK10" s="3431"/>
      <c r="QUL10" s="3431"/>
      <c r="QUM10" s="3431"/>
      <c r="QUN10" s="3431"/>
      <c r="QUO10" s="3431"/>
      <c r="QUP10" s="3431"/>
      <c r="QUQ10" s="3431"/>
      <c r="QUR10" s="3431"/>
      <c r="QUS10" s="3431"/>
      <c r="QUT10" s="3431"/>
      <c r="QUU10" s="3431"/>
      <c r="QUV10" s="3431"/>
      <c r="QUW10" s="3431"/>
      <c r="QUX10" s="3431"/>
      <c r="QUY10" s="3431"/>
      <c r="QUZ10" s="3431"/>
      <c r="QVA10" s="3431"/>
      <c r="QVB10" s="3431"/>
      <c r="QVC10" s="3431"/>
      <c r="QVD10" s="3431"/>
      <c r="QVE10" s="3431"/>
      <c r="QVF10" s="3431"/>
      <c r="QVG10" s="3431"/>
      <c r="QVH10" s="3431"/>
      <c r="QVI10" s="3431"/>
      <c r="QVJ10" s="3431"/>
      <c r="QVK10" s="3431"/>
      <c r="QVL10" s="3431"/>
      <c r="QVM10" s="3431"/>
      <c r="QVN10" s="3431"/>
      <c r="QVO10" s="3431"/>
      <c r="QVP10" s="3431"/>
      <c r="QVQ10" s="3431"/>
      <c r="QVR10" s="3431"/>
      <c r="QVS10" s="3431"/>
      <c r="QVT10" s="3431"/>
      <c r="QVU10" s="3431"/>
      <c r="QVV10" s="3431"/>
      <c r="QVW10" s="3431"/>
      <c r="QVX10" s="3431"/>
      <c r="QVY10" s="3431"/>
      <c r="QVZ10" s="3431"/>
      <c r="QWA10" s="3431"/>
      <c r="QWB10" s="3431"/>
      <c r="QWC10" s="3431"/>
      <c r="QWD10" s="3431"/>
      <c r="QWE10" s="3431"/>
      <c r="QWF10" s="3431"/>
      <c r="QWG10" s="3431"/>
      <c r="QWH10" s="3431"/>
      <c r="QWI10" s="3431"/>
      <c r="QWJ10" s="3431"/>
      <c r="QWK10" s="3431"/>
      <c r="QWL10" s="3431"/>
      <c r="QWM10" s="3431"/>
      <c r="QWN10" s="3431"/>
      <c r="QWO10" s="3431"/>
      <c r="QWP10" s="3431"/>
      <c r="QWQ10" s="3431"/>
      <c r="QWR10" s="3431"/>
      <c r="QWS10" s="3431"/>
      <c r="QWT10" s="3431"/>
      <c r="QWU10" s="3431"/>
      <c r="QWV10" s="3431"/>
      <c r="QWW10" s="3431"/>
      <c r="QWX10" s="3431"/>
      <c r="QWY10" s="3431"/>
      <c r="QWZ10" s="3431"/>
      <c r="QXA10" s="3431"/>
      <c r="QXB10" s="3431"/>
      <c r="QXC10" s="3431"/>
      <c r="QXD10" s="3431"/>
      <c r="QXE10" s="3431"/>
      <c r="QXF10" s="3431"/>
      <c r="QXG10" s="3431"/>
      <c r="QXH10" s="3431"/>
      <c r="QXI10" s="3431"/>
      <c r="QXJ10" s="3431"/>
      <c r="QXK10" s="3431"/>
      <c r="QXL10" s="3431"/>
      <c r="QXM10" s="3431"/>
      <c r="QXN10" s="3431"/>
      <c r="QXO10" s="3431"/>
      <c r="QXP10" s="3431"/>
      <c r="QXQ10" s="3431"/>
      <c r="QXR10" s="3431"/>
      <c r="QXS10" s="3431"/>
      <c r="QXT10" s="3431"/>
      <c r="QXU10" s="3431"/>
      <c r="QXV10" s="3431"/>
      <c r="QXW10" s="3431"/>
      <c r="QXX10" s="3431"/>
      <c r="QXY10" s="3431"/>
      <c r="QXZ10" s="3431"/>
      <c r="QYA10" s="3431"/>
      <c r="QYB10" s="3431"/>
      <c r="QYC10" s="3431"/>
      <c r="QYD10" s="3431"/>
      <c r="QYE10" s="3431"/>
      <c r="QYF10" s="3431"/>
      <c r="QYG10" s="3431"/>
      <c r="QYH10" s="3431"/>
      <c r="QYI10" s="3431"/>
      <c r="QYJ10" s="3431"/>
      <c r="QYK10" s="3431"/>
      <c r="QYL10" s="3431"/>
      <c r="QYM10" s="3431"/>
      <c r="QYN10" s="3431"/>
      <c r="QYO10" s="3431"/>
      <c r="QYP10" s="3431"/>
      <c r="QYQ10" s="3431"/>
      <c r="QYR10" s="3431"/>
      <c r="QYS10" s="3431"/>
      <c r="QYT10" s="3431"/>
      <c r="QYU10" s="3431"/>
      <c r="QYV10" s="3431"/>
      <c r="QYW10" s="3431"/>
      <c r="QYX10" s="3431"/>
      <c r="QYY10" s="3431"/>
      <c r="QYZ10" s="3431"/>
      <c r="QZA10" s="3431"/>
      <c r="QZB10" s="3431"/>
      <c r="QZC10" s="3431"/>
      <c r="QZD10" s="3431"/>
      <c r="QZE10" s="3431"/>
      <c r="QZF10" s="3431"/>
      <c r="QZG10" s="3431"/>
      <c r="QZH10" s="3431"/>
      <c r="QZI10" s="3431"/>
      <c r="QZJ10" s="3431"/>
      <c r="QZK10" s="3431"/>
      <c r="QZL10" s="3431"/>
      <c r="QZM10" s="3431"/>
      <c r="QZN10" s="3431"/>
      <c r="QZO10" s="3431"/>
      <c r="QZP10" s="3431"/>
      <c r="QZQ10" s="3431"/>
      <c r="QZR10" s="3431"/>
      <c r="QZS10" s="3431"/>
      <c r="QZT10" s="3431"/>
      <c r="QZU10" s="3431"/>
      <c r="QZV10" s="3431"/>
      <c r="QZW10" s="3431"/>
      <c r="QZX10" s="3431"/>
      <c r="QZY10" s="3431"/>
      <c r="QZZ10" s="3431"/>
      <c r="RAA10" s="3431"/>
      <c r="RAB10" s="3431"/>
      <c r="RAC10" s="3431"/>
      <c r="RAD10" s="3431"/>
      <c r="RAE10" s="3431"/>
      <c r="RAF10" s="3431"/>
      <c r="RAG10" s="3431"/>
      <c r="RAH10" s="3431"/>
      <c r="RAI10" s="3431"/>
      <c r="RAJ10" s="3431"/>
      <c r="RAK10" s="3431"/>
      <c r="RAL10" s="3431"/>
      <c r="RAM10" s="3431"/>
      <c r="RAN10" s="3431"/>
      <c r="RAO10" s="3431"/>
      <c r="RAP10" s="3431"/>
      <c r="RAQ10" s="3431"/>
      <c r="RAR10" s="3431"/>
      <c r="RAS10" s="3431"/>
      <c r="RAT10" s="3431"/>
      <c r="RAU10" s="3431"/>
      <c r="RAV10" s="3431"/>
      <c r="RAW10" s="3431"/>
      <c r="RAX10" s="3431"/>
      <c r="RAY10" s="3431"/>
      <c r="RAZ10" s="3431"/>
      <c r="RBA10" s="3431"/>
      <c r="RBB10" s="3431"/>
      <c r="RBC10" s="3431"/>
      <c r="RBD10" s="3431"/>
      <c r="RBE10" s="3431"/>
      <c r="RBF10" s="3431"/>
      <c r="RBG10" s="3431"/>
      <c r="RBH10" s="3431"/>
      <c r="RBI10" s="3431"/>
      <c r="RBJ10" s="3431"/>
      <c r="RBK10" s="3431"/>
      <c r="RBL10" s="3431"/>
      <c r="RBM10" s="3431"/>
      <c r="RBN10" s="3431"/>
      <c r="RBO10" s="3431"/>
      <c r="RBP10" s="3431"/>
      <c r="RBQ10" s="3431"/>
      <c r="RBR10" s="3431"/>
      <c r="RBS10" s="3431"/>
      <c r="RBT10" s="3431"/>
      <c r="RBU10" s="3431"/>
      <c r="RBV10" s="3431"/>
      <c r="RBW10" s="3431"/>
      <c r="RBX10" s="3431"/>
      <c r="RBY10" s="3431"/>
      <c r="RBZ10" s="3431"/>
      <c r="RCA10" s="3431"/>
      <c r="RCB10" s="3431"/>
      <c r="RCC10" s="3431"/>
      <c r="RCD10" s="3431"/>
      <c r="RCE10" s="3431"/>
      <c r="RCF10" s="3431"/>
      <c r="RCG10" s="3431"/>
      <c r="RCH10" s="3431"/>
      <c r="RCI10" s="3431"/>
      <c r="RCJ10" s="3431"/>
      <c r="RCK10" s="3431"/>
      <c r="RCL10" s="3431"/>
      <c r="RCM10" s="3431"/>
      <c r="RCN10" s="3431"/>
      <c r="RCO10" s="3431"/>
      <c r="RCP10" s="3431"/>
      <c r="RCQ10" s="3431"/>
      <c r="RCR10" s="3431"/>
      <c r="RCS10" s="3431"/>
      <c r="RCT10" s="3431"/>
      <c r="RCU10" s="3431"/>
      <c r="RCV10" s="3431"/>
      <c r="RCW10" s="3431"/>
      <c r="RCX10" s="3431"/>
      <c r="RCY10" s="3431"/>
      <c r="RCZ10" s="3431"/>
      <c r="RDA10" s="3431"/>
      <c r="RDB10" s="3431"/>
      <c r="RDC10" s="3431"/>
      <c r="RDD10" s="3431"/>
      <c r="RDE10" s="3431"/>
      <c r="RDF10" s="3431"/>
      <c r="RDG10" s="3431"/>
      <c r="RDH10" s="3431"/>
      <c r="RDI10" s="3431"/>
      <c r="RDJ10" s="3431"/>
      <c r="RDK10" s="3431"/>
      <c r="RDL10" s="3431"/>
      <c r="RDM10" s="3431"/>
      <c r="RDN10" s="3431"/>
      <c r="RDO10" s="3431"/>
      <c r="RDP10" s="3431"/>
      <c r="RDQ10" s="3431"/>
      <c r="RDR10" s="3431"/>
      <c r="RDS10" s="3431"/>
      <c r="RDT10" s="3431"/>
      <c r="RDU10" s="3431"/>
      <c r="RDV10" s="3431"/>
      <c r="RDW10" s="3431"/>
      <c r="RDX10" s="3431"/>
      <c r="RDY10" s="3431"/>
      <c r="RDZ10" s="3431"/>
      <c r="REA10" s="3431"/>
      <c r="REB10" s="3431"/>
      <c r="REC10" s="3431"/>
      <c r="RED10" s="3431"/>
      <c r="REE10" s="3431"/>
      <c r="REF10" s="3431"/>
      <c r="REG10" s="3431"/>
      <c r="REH10" s="3431"/>
      <c r="REI10" s="3431"/>
      <c r="REJ10" s="3431"/>
      <c r="REK10" s="3431"/>
      <c r="REL10" s="3431"/>
      <c r="REM10" s="3431"/>
      <c r="REN10" s="3431"/>
      <c r="REO10" s="3431"/>
      <c r="REP10" s="3431"/>
      <c r="REQ10" s="3431"/>
      <c r="RER10" s="3431"/>
      <c r="RES10" s="3431"/>
      <c r="RET10" s="3431"/>
      <c r="REU10" s="3431"/>
      <c r="REV10" s="3431"/>
      <c r="REW10" s="3431"/>
      <c r="REX10" s="3431"/>
      <c r="REY10" s="3431"/>
      <c r="REZ10" s="3431"/>
      <c r="RFA10" s="3431"/>
      <c r="RFB10" s="3431"/>
      <c r="RFC10" s="3431"/>
      <c r="RFD10" s="3431"/>
      <c r="RFE10" s="3431"/>
      <c r="RFF10" s="3431"/>
      <c r="RFG10" s="3431"/>
      <c r="RFH10" s="3431"/>
      <c r="RFI10" s="3431"/>
      <c r="RFJ10" s="3431"/>
      <c r="RFK10" s="3431"/>
      <c r="RFL10" s="3431"/>
      <c r="RFM10" s="3431"/>
      <c r="RFN10" s="3431"/>
      <c r="RFO10" s="3431"/>
      <c r="RFP10" s="3431"/>
      <c r="RFQ10" s="3431"/>
      <c r="RFR10" s="3431"/>
      <c r="RFS10" s="3431"/>
      <c r="RFT10" s="3431"/>
      <c r="RFU10" s="3431"/>
      <c r="RFV10" s="3431"/>
      <c r="RFW10" s="3431"/>
      <c r="RFX10" s="3431"/>
      <c r="RFY10" s="3431"/>
      <c r="RFZ10" s="3431"/>
      <c r="RGA10" s="3431"/>
      <c r="RGB10" s="3431"/>
      <c r="RGC10" s="3431"/>
      <c r="RGD10" s="3431"/>
      <c r="RGE10" s="3431"/>
      <c r="RGF10" s="3431"/>
      <c r="RGG10" s="3431"/>
      <c r="RGH10" s="3431"/>
      <c r="RGI10" s="3431"/>
      <c r="RGJ10" s="3431"/>
      <c r="RGK10" s="3431"/>
      <c r="RGL10" s="3431"/>
      <c r="RGM10" s="3431"/>
      <c r="RGN10" s="3431"/>
      <c r="RGO10" s="3431"/>
      <c r="RGP10" s="3431"/>
      <c r="RGQ10" s="3431"/>
      <c r="RGR10" s="3431"/>
      <c r="RGS10" s="3431"/>
      <c r="RGT10" s="3431"/>
      <c r="RGU10" s="3431"/>
      <c r="RGV10" s="3431"/>
      <c r="RGW10" s="3431"/>
      <c r="RGX10" s="3431"/>
      <c r="RGY10" s="3431"/>
      <c r="RGZ10" s="3431"/>
      <c r="RHA10" s="3431"/>
      <c r="RHB10" s="3431"/>
      <c r="RHC10" s="3431"/>
      <c r="RHD10" s="3431"/>
      <c r="RHE10" s="3431"/>
      <c r="RHF10" s="3431"/>
      <c r="RHG10" s="3431"/>
      <c r="RHH10" s="3431"/>
      <c r="RHI10" s="3431"/>
      <c r="RHJ10" s="3431"/>
      <c r="RHK10" s="3431"/>
      <c r="RHL10" s="3431"/>
      <c r="RHM10" s="3431"/>
      <c r="RHN10" s="3431"/>
      <c r="RHO10" s="3431"/>
      <c r="RHP10" s="3431"/>
      <c r="RHQ10" s="3431"/>
      <c r="RHR10" s="3431"/>
      <c r="RHS10" s="3431"/>
      <c r="RHT10" s="3431"/>
      <c r="RHU10" s="3431"/>
      <c r="RHV10" s="3431"/>
      <c r="RHW10" s="3431"/>
      <c r="RHX10" s="3431"/>
      <c r="RHY10" s="3431"/>
      <c r="RHZ10" s="3431"/>
      <c r="RIA10" s="3431"/>
      <c r="RIB10" s="3431"/>
      <c r="RIC10" s="3431"/>
      <c r="RID10" s="3431"/>
      <c r="RIE10" s="3431"/>
      <c r="RIF10" s="3431"/>
      <c r="RIG10" s="3431"/>
      <c r="RIH10" s="3431"/>
      <c r="RII10" s="3431"/>
      <c r="RIJ10" s="3431"/>
      <c r="RIK10" s="3431"/>
      <c r="RIL10" s="3431"/>
      <c r="RIM10" s="3431"/>
      <c r="RIN10" s="3431"/>
      <c r="RIO10" s="3431"/>
      <c r="RIP10" s="3431"/>
      <c r="RIQ10" s="3431"/>
      <c r="RIR10" s="3431"/>
      <c r="RIS10" s="3431"/>
      <c r="RIT10" s="3431"/>
      <c r="RIU10" s="3431"/>
      <c r="RIV10" s="3431"/>
      <c r="RIW10" s="3431"/>
      <c r="RIX10" s="3431"/>
      <c r="RIY10" s="3431"/>
      <c r="RIZ10" s="3431"/>
      <c r="RJA10" s="3431"/>
      <c r="RJB10" s="3431"/>
      <c r="RJC10" s="3431"/>
      <c r="RJD10" s="3431"/>
      <c r="RJE10" s="3431"/>
      <c r="RJF10" s="3431"/>
      <c r="RJG10" s="3431"/>
      <c r="RJH10" s="3431"/>
      <c r="RJI10" s="3431"/>
      <c r="RJJ10" s="3431"/>
      <c r="RJK10" s="3431"/>
      <c r="RJL10" s="3431"/>
      <c r="RJM10" s="3431"/>
      <c r="RJN10" s="3431"/>
      <c r="RJO10" s="3431"/>
      <c r="RJP10" s="3431"/>
      <c r="RJQ10" s="3431"/>
      <c r="RJR10" s="3431"/>
      <c r="RJS10" s="3431"/>
      <c r="RJT10" s="3431"/>
      <c r="RJU10" s="3431"/>
      <c r="RJV10" s="3431"/>
      <c r="RJW10" s="3431"/>
      <c r="RJX10" s="3431"/>
      <c r="RJY10" s="3431"/>
      <c r="RJZ10" s="3431"/>
      <c r="RKA10" s="3431"/>
      <c r="RKB10" s="3431"/>
      <c r="RKC10" s="3431"/>
      <c r="RKD10" s="3431"/>
      <c r="RKE10" s="3431"/>
      <c r="RKF10" s="3431"/>
      <c r="RKG10" s="3431"/>
      <c r="RKH10" s="3431"/>
      <c r="RKI10" s="3431"/>
      <c r="RKJ10" s="3431"/>
      <c r="RKK10" s="3431"/>
      <c r="RKL10" s="3431"/>
      <c r="RKM10" s="3431"/>
      <c r="RKN10" s="3431"/>
      <c r="RKO10" s="3431"/>
      <c r="RKP10" s="3431"/>
      <c r="RKQ10" s="3431"/>
      <c r="RKR10" s="3431"/>
      <c r="RKS10" s="3431"/>
      <c r="RKT10" s="3431"/>
      <c r="RKU10" s="3431"/>
      <c r="RKV10" s="3431"/>
      <c r="RKW10" s="3431"/>
      <c r="RKX10" s="3431"/>
      <c r="RKY10" s="3431"/>
      <c r="RKZ10" s="3431"/>
      <c r="RLA10" s="3431"/>
      <c r="RLB10" s="3431"/>
      <c r="RLC10" s="3431"/>
      <c r="RLD10" s="3431"/>
      <c r="RLE10" s="3431"/>
      <c r="RLF10" s="3431"/>
      <c r="RLG10" s="3431"/>
      <c r="RLH10" s="3431"/>
      <c r="RLI10" s="3431"/>
      <c r="RLJ10" s="3431"/>
      <c r="RLK10" s="3431"/>
      <c r="RLL10" s="3431"/>
      <c r="RLM10" s="3431"/>
      <c r="RLN10" s="3431"/>
      <c r="RLO10" s="3431"/>
      <c r="RLP10" s="3431"/>
      <c r="RLQ10" s="3431"/>
      <c r="RLR10" s="3431"/>
      <c r="RLS10" s="3431"/>
      <c r="RLT10" s="3431"/>
      <c r="RLU10" s="3431"/>
      <c r="RLV10" s="3431"/>
      <c r="RLW10" s="3431"/>
      <c r="RLX10" s="3431"/>
      <c r="RLY10" s="3431"/>
      <c r="RLZ10" s="3431"/>
      <c r="RMA10" s="3431"/>
      <c r="RMB10" s="3431"/>
      <c r="RMC10" s="3431"/>
      <c r="RMD10" s="3431"/>
      <c r="RME10" s="3431"/>
      <c r="RMF10" s="3431"/>
      <c r="RMG10" s="3431"/>
      <c r="RMH10" s="3431"/>
      <c r="RMI10" s="3431"/>
      <c r="RMJ10" s="3431"/>
      <c r="RMK10" s="3431"/>
      <c r="RML10" s="3431"/>
      <c r="RMM10" s="3431"/>
      <c r="RMN10" s="3431"/>
      <c r="RMO10" s="3431"/>
      <c r="RMP10" s="3431"/>
      <c r="RMQ10" s="3431"/>
      <c r="RMR10" s="3431"/>
      <c r="RMS10" s="3431"/>
      <c r="RMT10" s="3431"/>
      <c r="RMU10" s="3431"/>
      <c r="RMV10" s="3431"/>
      <c r="RMW10" s="3431"/>
      <c r="RMX10" s="3431"/>
      <c r="RMY10" s="3431"/>
      <c r="RMZ10" s="3431"/>
      <c r="RNA10" s="3431"/>
      <c r="RNB10" s="3431"/>
      <c r="RNC10" s="3431"/>
      <c r="RND10" s="3431"/>
      <c r="RNE10" s="3431"/>
      <c r="RNF10" s="3431"/>
      <c r="RNG10" s="3431"/>
      <c r="RNH10" s="3431"/>
      <c r="RNI10" s="3431"/>
      <c r="RNJ10" s="3431"/>
      <c r="RNK10" s="3431"/>
      <c r="RNL10" s="3431"/>
      <c r="RNM10" s="3431"/>
      <c r="RNN10" s="3431"/>
      <c r="RNO10" s="3431"/>
      <c r="RNP10" s="3431"/>
      <c r="RNQ10" s="3431"/>
      <c r="RNR10" s="3431"/>
      <c r="RNS10" s="3431"/>
      <c r="RNT10" s="3431"/>
      <c r="RNU10" s="3431"/>
      <c r="RNV10" s="3431"/>
      <c r="RNW10" s="3431"/>
      <c r="RNX10" s="3431"/>
      <c r="RNY10" s="3431"/>
      <c r="RNZ10" s="3431"/>
      <c r="ROA10" s="3431"/>
      <c r="ROB10" s="3431"/>
      <c r="ROC10" s="3431"/>
      <c r="ROD10" s="3431"/>
      <c r="ROE10" s="3431"/>
      <c r="ROF10" s="3431"/>
      <c r="ROG10" s="3431"/>
      <c r="ROH10" s="3431"/>
      <c r="ROI10" s="3431"/>
      <c r="ROJ10" s="3431"/>
      <c r="ROK10" s="3431"/>
      <c r="ROL10" s="3431"/>
      <c r="ROM10" s="3431"/>
      <c r="RON10" s="3431"/>
      <c r="ROO10" s="3431"/>
      <c r="ROP10" s="3431"/>
      <c r="ROQ10" s="3431"/>
      <c r="ROR10" s="3431"/>
      <c r="ROS10" s="3431"/>
      <c r="ROT10" s="3431"/>
      <c r="ROU10" s="3431"/>
      <c r="ROV10" s="3431"/>
      <c r="ROW10" s="3431"/>
      <c r="ROX10" s="3431"/>
      <c r="ROY10" s="3431"/>
      <c r="ROZ10" s="3431"/>
      <c r="RPA10" s="3431"/>
      <c r="RPB10" s="3431"/>
      <c r="RPC10" s="3431"/>
      <c r="RPD10" s="3431"/>
      <c r="RPE10" s="3431"/>
      <c r="RPF10" s="3431"/>
      <c r="RPG10" s="3431"/>
      <c r="RPH10" s="3431"/>
      <c r="RPI10" s="3431"/>
      <c r="RPJ10" s="3431"/>
      <c r="RPK10" s="3431"/>
      <c r="RPL10" s="3431"/>
      <c r="RPM10" s="3431"/>
      <c r="RPN10" s="3431"/>
      <c r="RPO10" s="3431"/>
      <c r="RPP10" s="3431"/>
      <c r="RPQ10" s="3431"/>
      <c r="RPR10" s="3431"/>
      <c r="RPS10" s="3431"/>
      <c r="RPT10" s="3431"/>
      <c r="RPU10" s="3431"/>
      <c r="RPV10" s="3431"/>
      <c r="RPW10" s="3431"/>
      <c r="RPX10" s="3431"/>
      <c r="RPY10" s="3431"/>
      <c r="RPZ10" s="3431"/>
      <c r="RQA10" s="3431"/>
      <c r="RQB10" s="3431"/>
      <c r="RQC10" s="3431"/>
      <c r="RQD10" s="3431"/>
      <c r="RQE10" s="3431"/>
      <c r="RQF10" s="3431"/>
      <c r="RQG10" s="3431"/>
      <c r="RQH10" s="3431"/>
      <c r="RQI10" s="3431"/>
      <c r="RQJ10" s="3431"/>
      <c r="RQK10" s="3431"/>
      <c r="RQL10" s="3431"/>
      <c r="RQM10" s="3431"/>
      <c r="RQN10" s="3431"/>
      <c r="RQO10" s="3431"/>
      <c r="RQP10" s="3431"/>
      <c r="RQQ10" s="3431"/>
      <c r="RQR10" s="3431"/>
      <c r="RQS10" s="3431"/>
      <c r="RQT10" s="3431"/>
      <c r="RQU10" s="3431"/>
      <c r="RQV10" s="3431"/>
      <c r="RQW10" s="3431"/>
      <c r="RQX10" s="3431"/>
      <c r="RQY10" s="3431"/>
      <c r="RQZ10" s="3431"/>
      <c r="RRA10" s="3431"/>
      <c r="RRB10" s="3431"/>
      <c r="RRC10" s="3431"/>
      <c r="RRD10" s="3431"/>
      <c r="RRE10" s="3431"/>
      <c r="RRF10" s="3431"/>
      <c r="RRG10" s="3431"/>
      <c r="RRH10" s="3431"/>
      <c r="RRI10" s="3431"/>
      <c r="RRJ10" s="3431"/>
      <c r="RRK10" s="3431"/>
      <c r="RRL10" s="3431"/>
      <c r="RRM10" s="3431"/>
      <c r="RRN10" s="3431"/>
      <c r="RRO10" s="3431"/>
      <c r="RRP10" s="3431"/>
      <c r="RRQ10" s="3431"/>
      <c r="RRR10" s="3431"/>
      <c r="RRS10" s="3431"/>
      <c r="RRT10" s="3431"/>
      <c r="RRU10" s="3431"/>
      <c r="RRV10" s="3431"/>
      <c r="RRW10" s="3431"/>
      <c r="RRX10" s="3431"/>
      <c r="RRY10" s="3431"/>
      <c r="RRZ10" s="3431"/>
      <c r="RSA10" s="3431"/>
      <c r="RSB10" s="3431"/>
      <c r="RSC10" s="3431"/>
      <c r="RSD10" s="3431"/>
      <c r="RSE10" s="3431"/>
      <c r="RSF10" s="3431"/>
      <c r="RSG10" s="3431"/>
      <c r="RSH10" s="3431"/>
      <c r="RSI10" s="3431"/>
      <c r="RSJ10" s="3431"/>
      <c r="RSK10" s="3431"/>
      <c r="RSL10" s="3431"/>
      <c r="RSM10" s="3431"/>
      <c r="RSN10" s="3431"/>
      <c r="RSO10" s="3431"/>
      <c r="RSP10" s="3431"/>
      <c r="RSQ10" s="3431"/>
      <c r="RSR10" s="3431"/>
      <c r="RSS10" s="3431"/>
      <c r="RST10" s="3431"/>
      <c r="RSU10" s="3431"/>
      <c r="RSV10" s="3431"/>
      <c r="RSW10" s="3431"/>
      <c r="RSX10" s="3431"/>
      <c r="RSY10" s="3431"/>
      <c r="RSZ10" s="3431"/>
      <c r="RTA10" s="3431"/>
      <c r="RTB10" s="3431"/>
      <c r="RTC10" s="3431"/>
      <c r="RTD10" s="3431"/>
      <c r="RTE10" s="3431"/>
      <c r="RTF10" s="3431"/>
      <c r="RTG10" s="3431"/>
      <c r="RTH10" s="3431"/>
      <c r="RTI10" s="3431"/>
      <c r="RTJ10" s="3431"/>
      <c r="RTK10" s="3431"/>
      <c r="RTL10" s="3431"/>
      <c r="RTM10" s="3431"/>
      <c r="RTN10" s="3431"/>
      <c r="RTO10" s="3431"/>
      <c r="RTP10" s="3431"/>
      <c r="RTQ10" s="3431"/>
      <c r="RTR10" s="3431"/>
      <c r="RTS10" s="3431"/>
      <c r="RTT10" s="3431"/>
      <c r="RTU10" s="3431"/>
      <c r="RTV10" s="3431"/>
      <c r="RTW10" s="3431"/>
      <c r="RTX10" s="3431"/>
      <c r="RTY10" s="3431"/>
      <c r="RTZ10" s="3431"/>
      <c r="RUA10" s="3431"/>
      <c r="RUB10" s="3431"/>
      <c r="RUC10" s="3431"/>
      <c r="RUD10" s="3431"/>
      <c r="RUE10" s="3431"/>
      <c r="RUF10" s="3431"/>
      <c r="RUG10" s="3431"/>
      <c r="RUH10" s="3431"/>
      <c r="RUI10" s="3431"/>
      <c r="RUJ10" s="3431"/>
      <c r="RUK10" s="3431"/>
      <c r="RUL10" s="3431"/>
      <c r="RUM10" s="3431"/>
      <c r="RUN10" s="3431"/>
      <c r="RUO10" s="3431"/>
      <c r="RUP10" s="3431"/>
      <c r="RUQ10" s="3431"/>
      <c r="RUR10" s="3431"/>
      <c r="RUS10" s="3431"/>
      <c r="RUT10" s="3431"/>
      <c r="RUU10" s="3431"/>
      <c r="RUV10" s="3431"/>
      <c r="RUW10" s="3431"/>
      <c r="RUX10" s="3431"/>
      <c r="RUY10" s="3431"/>
      <c r="RUZ10" s="3431"/>
      <c r="RVA10" s="3431"/>
      <c r="RVB10" s="3431"/>
      <c r="RVC10" s="3431"/>
      <c r="RVD10" s="3431"/>
      <c r="RVE10" s="3431"/>
      <c r="RVF10" s="3431"/>
      <c r="RVG10" s="3431"/>
      <c r="RVH10" s="3431"/>
      <c r="RVI10" s="3431"/>
      <c r="RVJ10" s="3431"/>
      <c r="RVK10" s="3431"/>
      <c r="RVL10" s="3431"/>
      <c r="RVM10" s="3431"/>
      <c r="RVN10" s="3431"/>
      <c r="RVO10" s="3431"/>
      <c r="RVP10" s="3431"/>
      <c r="RVQ10" s="3431"/>
      <c r="RVR10" s="3431"/>
      <c r="RVS10" s="3431"/>
      <c r="RVT10" s="3431"/>
      <c r="RVU10" s="3431"/>
      <c r="RVV10" s="3431"/>
      <c r="RVW10" s="3431"/>
      <c r="RVX10" s="3431"/>
      <c r="RVY10" s="3431"/>
      <c r="RVZ10" s="3431"/>
      <c r="RWA10" s="3431"/>
      <c r="RWB10" s="3431"/>
      <c r="RWC10" s="3431"/>
      <c r="RWD10" s="3431"/>
      <c r="RWE10" s="3431"/>
      <c r="RWF10" s="3431"/>
      <c r="RWG10" s="3431"/>
      <c r="RWH10" s="3431"/>
      <c r="RWI10" s="3431"/>
      <c r="RWJ10" s="3431"/>
      <c r="RWK10" s="3431"/>
      <c r="RWL10" s="3431"/>
      <c r="RWM10" s="3431"/>
      <c r="RWN10" s="3431"/>
      <c r="RWO10" s="3431"/>
      <c r="RWP10" s="3431"/>
      <c r="RWQ10" s="3431"/>
      <c r="RWR10" s="3431"/>
      <c r="RWS10" s="3431"/>
      <c r="RWT10" s="3431"/>
      <c r="RWU10" s="3431"/>
      <c r="RWV10" s="3431"/>
      <c r="RWW10" s="3431"/>
      <c r="RWX10" s="3431"/>
      <c r="RWY10" s="3431"/>
      <c r="RWZ10" s="3431"/>
      <c r="RXA10" s="3431"/>
      <c r="RXB10" s="3431"/>
      <c r="RXC10" s="3431"/>
      <c r="RXD10" s="3431"/>
      <c r="RXE10" s="3431"/>
      <c r="RXF10" s="3431"/>
      <c r="RXG10" s="3431"/>
      <c r="RXH10" s="3431"/>
      <c r="RXI10" s="3431"/>
      <c r="RXJ10" s="3431"/>
      <c r="RXK10" s="3431"/>
      <c r="RXL10" s="3431"/>
      <c r="RXM10" s="3431"/>
      <c r="RXN10" s="3431"/>
      <c r="RXO10" s="3431"/>
      <c r="RXP10" s="3431"/>
      <c r="RXQ10" s="3431"/>
      <c r="RXR10" s="3431"/>
      <c r="RXS10" s="3431"/>
      <c r="RXT10" s="3431"/>
      <c r="RXU10" s="3431"/>
      <c r="RXV10" s="3431"/>
      <c r="RXW10" s="3431"/>
      <c r="RXX10" s="3431"/>
      <c r="RXY10" s="3431"/>
      <c r="RXZ10" s="3431"/>
      <c r="RYA10" s="3431"/>
      <c r="RYB10" s="3431"/>
      <c r="RYC10" s="3431"/>
      <c r="RYD10" s="3431"/>
      <c r="RYE10" s="3431"/>
      <c r="RYF10" s="3431"/>
      <c r="RYG10" s="3431"/>
      <c r="RYH10" s="3431"/>
      <c r="RYI10" s="3431"/>
      <c r="RYJ10" s="3431"/>
      <c r="RYK10" s="3431"/>
      <c r="RYL10" s="3431"/>
      <c r="RYM10" s="3431"/>
      <c r="RYN10" s="3431"/>
      <c r="RYO10" s="3431"/>
      <c r="RYP10" s="3431"/>
      <c r="RYQ10" s="3431"/>
      <c r="RYR10" s="3431"/>
      <c r="RYS10" s="3431"/>
      <c r="RYT10" s="3431"/>
      <c r="RYU10" s="3431"/>
      <c r="RYV10" s="3431"/>
      <c r="RYW10" s="3431"/>
      <c r="RYX10" s="3431"/>
      <c r="RYY10" s="3431"/>
      <c r="RYZ10" s="3431"/>
      <c r="RZA10" s="3431"/>
      <c r="RZB10" s="3431"/>
      <c r="RZC10" s="3431"/>
      <c r="RZD10" s="3431"/>
      <c r="RZE10" s="3431"/>
      <c r="RZF10" s="3431"/>
      <c r="RZG10" s="3431"/>
      <c r="RZH10" s="3431"/>
      <c r="RZI10" s="3431"/>
      <c r="RZJ10" s="3431"/>
      <c r="RZK10" s="3431"/>
      <c r="RZL10" s="3431"/>
      <c r="RZM10" s="3431"/>
      <c r="RZN10" s="3431"/>
      <c r="RZO10" s="3431"/>
      <c r="RZP10" s="3431"/>
      <c r="RZQ10" s="3431"/>
      <c r="RZR10" s="3431"/>
      <c r="RZS10" s="3431"/>
      <c r="RZT10" s="3431"/>
      <c r="RZU10" s="3431"/>
      <c r="RZV10" s="3431"/>
      <c r="RZW10" s="3431"/>
      <c r="RZX10" s="3431"/>
      <c r="RZY10" s="3431"/>
      <c r="RZZ10" s="3431"/>
      <c r="SAA10" s="3431"/>
      <c r="SAB10" s="3431"/>
      <c r="SAC10" s="3431"/>
      <c r="SAD10" s="3431"/>
      <c r="SAE10" s="3431"/>
      <c r="SAF10" s="3431"/>
      <c r="SAG10" s="3431"/>
      <c r="SAH10" s="3431"/>
      <c r="SAI10" s="3431"/>
      <c r="SAJ10" s="3431"/>
      <c r="SAK10" s="3431"/>
      <c r="SAL10" s="3431"/>
      <c r="SAM10" s="3431"/>
      <c r="SAN10" s="3431"/>
      <c r="SAO10" s="3431"/>
      <c r="SAP10" s="3431"/>
      <c r="SAQ10" s="3431"/>
      <c r="SAR10" s="3431"/>
      <c r="SAS10" s="3431"/>
      <c r="SAT10" s="3431"/>
      <c r="SAU10" s="3431"/>
      <c r="SAV10" s="3431"/>
      <c r="SAW10" s="3431"/>
      <c r="SAX10" s="3431"/>
      <c r="SAY10" s="3431"/>
      <c r="SAZ10" s="3431"/>
      <c r="SBA10" s="3431"/>
      <c r="SBB10" s="3431"/>
      <c r="SBC10" s="3431"/>
      <c r="SBD10" s="3431"/>
      <c r="SBE10" s="3431"/>
      <c r="SBF10" s="3431"/>
      <c r="SBG10" s="3431"/>
      <c r="SBH10" s="3431"/>
      <c r="SBI10" s="3431"/>
      <c r="SBJ10" s="3431"/>
      <c r="SBK10" s="3431"/>
      <c r="SBL10" s="3431"/>
      <c r="SBM10" s="3431"/>
      <c r="SBN10" s="3431"/>
      <c r="SBO10" s="3431"/>
      <c r="SBP10" s="3431"/>
      <c r="SBQ10" s="3431"/>
      <c r="SBR10" s="3431"/>
      <c r="SBS10" s="3431"/>
      <c r="SBT10" s="3431"/>
      <c r="SBU10" s="3431"/>
      <c r="SBV10" s="3431"/>
      <c r="SBW10" s="3431"/>
      <c r="SBX10" s="3431"/>
      <c r="SBY10" s="3431"/>
      <c r="SBZ10" s="3431"/>
      <c r="SCA10" s="3431"/>
      <c r="SCB10" s="3431"/>
      <c r="SCC10" s="3431"/>
      <c r="SCD10" s="3431"/>
      <c r="SCE10" s="3431"/>
      <c r="SCF10" s="3431"/>
      <c r="SCG10" s="3431"/>
      <c r="SCH10" s="3431"/>
      <c r="SCI10" s="3431"/>
      <c r="SCJ10" s="3431"/>
      <c r="SCK10" s="3431"/>
      <c r="SCL10" s="3431"/>
      <c r="SCM10" s="3431"/>
      <c r="SCN10" s="3431"/>
      <c r="SCO10" s="3431"/>
      <c r="SCP10" s="3431"/>
      <c r="SCQ10" s="3431"/>
      <c r="SCR10" s="3431"/>
      <c r="SCS10" s="3431"/>
      <c r="SCT10" s="3431"/>
      <c r="SCU10" s="3431"/>
      <c r="SCV10" s="3431"/>
      <c r="SCW10" s="3431"/>
      <c r="SCX10" s="3431"/>
      <c r="SCY10" s="3431"/>
      <c r="SCZ10" s="3431"/>
      <c r="SDA10" s="3431"/>
      <c r="SDB10" s="3431"/>
      <c r="SDC10" s="3431"/>
      <c r="SDD10" s="3431"/>
      <c r="SDE10" s="3431"/>
      <c r="SDF10" s="3431"/>
      <c r="SDG10" s="3431"/>
      <c r="SDH10" s="3431"/>
      <c r="SDI10" s="3431"/>
      <c r="SDJ10" s="3431"/>
      <c r="SDK10" s="3431"/>
      <c r="SDL10" s="3431"/>
      <c r="SDM10" s="3431"/>
      <c r="SDN10" s="3431"/>
      <c r="SDO10" s="3431"/>
      <c r="SDP10" s="3431"/>
      <c r="SDQ10" s="3431"/>
      <c r="SDR10" s="3431"/>
      <c r="SDS10" s="3431"/>
      <c r="SDT10" s="3431"/>
      <c r="SDU10" s="3431"/>
      <c r="SDV10" s="3431"/>
      <c r="SDW10" s="3431"/>
      <c r="SDX10" s="3431"/>
      <c r="SDY10" s="3431"/>
      <c r="SDZ10" s="3431"/>
      <c r="SEA10" s="3431"/>
      <c r="SEB10" s="3431"/>
      <c r="SEC10" s="3431"/>
      <c r="SED10" s="3431"/>
      <c r="SEE10" s="3431"/>
      <c r="SEF10" s="3431"/>
      <c r="SEG10" s="3431"/>
      <c r="SEH10" s="3431"/>
      <c r="SEI10" s="3431"/>
      <c r="SEJ10" s="3431"/>
      <c r="SEK10" s="3431"/>
      <c r="SEL10" s="3431"/>
      <c r="SEM10" s="3431"/>
      <c r="SEN10" s="3431"/>
      <c r="SEO10" s="3431"/>
      <c r="SEP10" s="3431"/>
      <c r="SEQ10" s="3431"/>
      <c r="SER10" s="3431"/>
      <c r="SES10" s="3431"/>
      <c r="SET10" s="3431"/>
      <c r="SEU10" s="3431"/>
      <c r="SEV10" s="3431"/>
      <c r="SEW10" s="3431"/>
      <c r="SEX10" s="3431"/>
      <c r="SEY10" s="3431"/>
      <c r="SEZ10" s="3431"/>
      <c r="SFA10" s="3431"/>
      <c r="SFB10" s="3431"/>
      <c r="SFC10" s="3431"/>
      <c r="SFD10" s="3431"/>
      <c r="SFE10" s="3431"/>
      <c r="SFF10" s="3431"/>
      <c r="SFG10" s="3431"/>
      <c r="SFH10" s="3431"/>
      <c r="SFI10" s="3431"/>
      <c r="SFJ10" s="3431"/>
      <c r="SFK10" s="3431"/>
      <c r="SFL10" s="3431"/>
      <c r="SFM10" s="3431"/>
      <c r="SFN10" s="3431"/>
      <c r="SFO10" s="3431"/>
      <c r="SFP10" s="3431"/>
      <c r="SFQ10" s="3431"/>
      <c r="SFR10" s="3431"/>
      <c r="SFS10" s="3431"/>
      <c r="SFT10" s="3431"/>
      <c r="SFU10" s="3431"/>
      <c r="SFV10" s="3431"/>
      <c r="SFW10" s="3431"/>
      <c r="SFX10" s="3431"/>
      <c r="SFY10" s="3431"/>
      <c r="SFZ10" s="3431"/>
      <c r="SGA10" s="3431"/>
      <c r="SGB10" s="3431"/>
      <c r="SGC10" s="3431"/>
      <c r="SGD10" s="3431"/>
      <c r="SGE10" s="3431"/>
      <c r="SGF10" s="3431"/>
      <c r="SGG10" s="3431"/>
      <c r="SGH10" s="3431"/>
      <c r="SGI10" s="3431"/>
      <c r="SGJ10" s="3431"/>
      <c r="SGK10" s="3431"/>
      <c r="SGL10" s="3431"/>
      <c r="SGM10" s="3431"/>
      <c r="SGN10" s="3431"/>
      <c r="SGO10" s="3431"/>
      <c r="SGP10" s="3431"/>
      <c r="SGQ10" s="3431"/>
      <c r="SGR10" s="3431"/>
      <c r="SGS10" s="3431"/>
      <c r="SGT10" s="3431"/>
      <c r="SGU10" s="3431"/>
      <c r="SGV10" s="3431"/>
      <c r="SGW10" s="3431"/>
      <c r="SGX10" s="3431"/>
      <c r="SGY10" s="3431"/>
      <c r="SGZ10" s="3431"/>
      <c r="SHA10" s="3431"/>
      <c r="SHB10" s="3431"/>
      <c r="SHC10" s="3431"/>
      <c r="SHD10" s="3431"/>
      <c r="SHE10" s="3431"/>
      <c r="SHF10" s="3431"/>
      <c r="SHG10" s="3431"/>
      <c r="SHH10" s="3431"/>
      <c r="SHI10" s="3431"/>
      <c r="SHJ10" s="3431"/>
      <c r="SHK10" s="3431"/>
      <c r="SHL10" s="3431"/>
      <c r="SHM10" s="3431"/>
      <c r="SHN10" s="3431"/>
      <c r="SHO10" s="3431"/>
      <c r="SHP10" s="3431"/>
      <c r="SHQ10" s="3431"/>
      <c r="SHR10" s="3431"/>
      <c r="SHS10" s="3431"/>
      <c r="SHT10" s="3431"/>
      <c r="SHU10" s="3431"/>
      <c r="SHV10" s="3431"/>
      <c r="SHW10" s="3431"/>
      <c r="SHX10" s="3431"/>
      <c r="SHY10" s="3431"/>
      <c r="SHZ10" s="3431"/>
      <c r="SIA10" s="3431"/>
      <c r="SIB10" s="3431"/>
      <c r="SIC10" s="3431"/>
      <c r="SID10" s="3431"/>
      <c r="SIE10" s="3431"/>
      <c r="SIF10" s="3431"/>
      <c r="SIG10" s="3431"/>
      <c r="SIH10" s="3431"/>
      <c r="SII10" s="3431"/>
      <c r="SIJ10" s="3431"/>
      <c r="SIK10" s="3431"/>
      <c r="SIL10" s="3431"/>
      <c r="SIM10" s="3431"/>
      <c r="SIN10" s="3431"/>
      <c r="SIO10" s="3431"/>
      <c r="SIP10" s="3431"/>
      <c r="SIQ10" s="3431"/>
      <c r="SIR10" s="3431"/>
      <c r="SIS10" s="3431"/>
      <c r="SIT10" s="3431"/>
      <c r="SIU10" s="3431"/>
      <c r="SIV10" s="3431"/>
      <c r="SIW10" s="3431"/>
      <c r="SIX10" s="3431"/>
      <c r="SIY10" s="3431"/>
      <c r="SIZ10" s="3431"/>
      <c r="SJA10" s="3431"/>
      <c r="SJB10" s="3431"/>
      <c r="SJC10" s="3431"/>
      <c r="SJD10" s="3431"/>
      <c r="SJE10" s="3431"/>
      <c r="SJF10" s="3431"/>
      <c r="SJG10" s="3431"/>
      <c r="SJH10" s="3431"/>
      <c r="SJI10" s="3431"/>
      <c r="SJJ10" s="3431"/>
      <c r="SJK10" s="3431"/>
      <c r="SJL10" s="3431"/>
      <c r="SJM10" s="3431"/>
      <c r="SJN10" s="3431"/>
      <c r="SJO10" s="3431"/>
      <c r="SJP10" s="3431"/>
      <c r="SJQ10" s="3431"/>
      <c r="SJR10" s="3431"/>
      <c r="SJS10" s="3431"/>
      <c r="SJT10" s="3431"/>
      <c r="SJU10" s="3431"/>
      <c r="SJV10" s="3431"/>
      <c r="SJW10" s="3431"/>
      <c r="SJX10" s="3431"/>
      <c r="SJY10" s="3431"/>
      <c r="SJZ10" s="3431"/>
      <c r="SKA10" s="3431"/>
      <c r="SKB10" s="3431"/>
      <c r="SKC10" s="3431"/>
      <c r="SKD10" s="3431"/>
      <c r="SKE10" s="3431"/>
      <c r="SKF10" s="3431"/>
      <c r="SKG10" s="3431"/>
      <c r="SKH10" s="3431"/>
      <c r="SKI10" s="3431"/>
      <c r="SKJ10" s="3431"/>
      <c r="SKK10" s="3431"/>
      <c r="SKL10" s="3431"/>
      <c r="SKM10" s="3431"/>
      <c r="SKN10" s="3431"/>
      <c r="SKO10" s="3431"/>
      <c r="SKP10" s="3431"/>
      <c r="SKQ10" s="3431"/>
      <c r="SKR10" s="3431"/>
      <c r="SKS10" s="3431"/>
      <c r="SKT10" s="3431"/>
      <c r="SKU10" s="3431"/>
      <c r="SKV10" s="3431"/>
      <c r="SKW10" s="3431"/>
      <c r="SKX10" s="3431"/>
      <c r="SKY10" s="3431"/>
      <c r="SKZ10" s="3431"/>
      <c r="SLA10" s="3431"/>
      <c r="SLB10" s="3431"/>
      <c r="SLC10" s="3431"/>
      <c r="SLD10" s="3431"/>
      <c r="SLE10" s="3431"/>
      <c r="SLF10" s="3431"/>
      <c r="SLG10" s="3431"/>
      <c r="SLH10" s="3431"/>
      <c r="SLI10" s="3431"/>
      <c r="SLJ10" s="3431"/>
      <c r="SLK10" s="3431"/>
      <c r="SLL10" s="3431"/>
      <c r="SLM10" s="3431"/>
      <c r="SLN10" s="3431"/>
      <c r="SLO10" s="3431"/>
      <c r="SLP10" s="3431"/>
      <c r="SLQ10" s="3431"/>
      <c r="SLR10" s="3431"/>
      <c r="SLS10" s="3431"/>
      <c r="SLT10" s="3431"/>
      <c r="SLU10" s="3431"/>
      <c r="SLV10" s="3431"/>
      <c r="SLW10" s="3431"/>
      <c r="SLX10" s="3431"/>
      <c r="SLY10" s="3431"/>
      <c r="SLZ10" s="3431"/>
      <c r="SMA10" s="3431"/>
      <c r="SMB10" s="3431"/>
      <c r="SMC10" s="3431"/>
      <c r="SMD10" s="3431"/>
      <c r="SME10" s="3431"/>
      <c r="SMF10" s="3431"/>
      <c r="SMG10" s="3431"/>
      <c r="SMH10" s="3431"/>
      <c r="SMI10" s="3431"/>
      <c r="SMJ10" s="3431"/>
      <c r="SMK10" s="3431"/>
      <c r="SML10" s="3431"/>
      <c r="SMM10" s="3431"/>
      <c r="SMN10" s="3431"/>
      <c r="SMO10" s="3431"/>
      <c r="SMP10" s="3431"/>
      <c r="SMQ10" s="3431"/>
      <c r="SMR10" s="3431"/>
      <c r="SMS10" s="3431"/>
      <c r="SMT10" s="3431"/>
      <c r="SMU10" s="3431"/>
      <c r="SMV10" s="3431"/>
      <c r="SMW10" s="3431"/>
      <c r="SMX10" s="3431"/>
      <c r="SMY10" s="3431"/>
      <c r="SMZ10" s="3431"/>
      <c r="SNA10" s="3431"/>
      <c r="SNB10" s="3431"/>
      <c r="SNC10" s="3431"/>
      <c r="SND10" s="3431"/>
      <c r="SNE10" s="3431"/>
      <c r="SNF10" s="3431"/>
      <c r="SNG10" s="3431"/>
      <c r="SNH10" s="3431"/>
      <c r="SNI10" s="3431"/>
      <c r="SNJ10" s="3431"/>
      <c r="SNK10" s="3431"/>
      <c r="SNL10" s="3431"/>
      <c r="SNM10" s="3431"/>
      <c r="SNN10" s="3431"/>
      <c r="SNO10" s="3431"/>
      <c r="SNP10" s="3431"/>
      <c r="SNQ10" s="3431"/>
      <c r="SNR10" s="3431"/>
      <c r="SNS10" s="3431"/>
      <c r="SNT10" s="3431"/>
      <c r="SNU10" s="3431"/>
      <c r="SNV10" s="3431"/>
      <c r="SNW10" s="3431"/>
      <c r="SNX10" s="3431"/>
      <c r="SNY10" s="3431"/>
      <c r="SNZ10" s="3431"/>
      <c r="SOA10" s="3431"/>
      <c r="SOB10" s="3431"/>
      <c r="SOC10" s="3431"/>
      <c r="SOD10" s="3431"/>
      <c r="SOE10" s="3431"/>
      <c r="SOF10" s="3431"/>
      <c r="SOG10" s="3431"/>
      <c r="SOH10" s="3431"/>
      <c r="SOI10" s="3431"/>
      <c r="SOJ10" s="3431"/>
      <c r="SOK10" s="3431"/>
      <c r="SOL10" s="3431"/>
      <c r="SOM10" s="3431"/>
      <c r="SON10" s="3431"/>
      <c r="SOO10" s="3431"/>
      <c r="SOP10" s="3431"/>
      <c r="SOQ10" s="3431"/>
      <c r="SOR10" s="3431"/>
      <c r="SOS10" s="3431"/>
      <c r="SOT10" s="3431"/>
      <c r="SOU10" s="3431"/>
      <c r="SOV10" s="3431"/>
      <c r="SOW10" s="3431"/>
      <c r="SOX10" s="3431"/>
      <c r="SOY10" s="3431"/>
      <c r="SOZ10" s="3431"/>
      <c r="SPA10" s="3431"/>
      <c r="SPB10" s="3431"/>
      <c r="SPC10" s="3431"/>
      <c r="SPD10" s="3431"/>
      <c r="SPE10" s="3431"/>
      <c r="SPF10" s="3431"/>
      <c r="SPG10" s="3431"/>
      <c r="SPH10" s="3431"/>
      <c r="SPI10" s="3431"/>
      <c r="SPJ10" s="3431"/>
      <c r="SPK10" s="3431"/>
      <c r="SPL10" s="3431"/>
      <c r="SPM10" s="3431"/>
      <c r="SPN10" s="3431"/>
      <c r="SPO10" s="3431"/>
      <c r="SPP10" s="3431"/>
      <c r="SPQ10" s="3431"/>
      <c r="SPR10" s="3431"/>
      <c r="SPS10" s="3431"/>
      <c r="SPT10" s="3431"/>
      <c r="SPU10" s="3431"/>
      <c r="SPV10" s="3431"/>
      <c r="SPW10" s="3431"/>
      <c r="SPX10" s="3431"/>
      <c r="SPY10" s="3431"/>
      <c r="SPZ10" s="3431"/>
      <c r="SQA10" s="3431"/>
      <c r="SQB10" s="3431"/>
      <c r="SQC10" s="3431"/>
      <c r="SQD10" s="3431"/>
      <c r="SQE10" s="3431"/>
      <c r="SQF10" s="3431"/>
      <c r="SQG10" s="3431"/>
      <c r="SQH10" s="3431"/>
      <c r="SQI10" s="3431"/>
      <c r="SQJ10" s="3431"/>
      <c r="SQK10" s="3431"/>
      <c r="SQL10" s="3431"/>
      <c r="SQM10" s="3431"/>
      <c r="SQN10" s="3431"/>
      <c r="SQO10" s="3431"/>
      <c r="SQP10" s="3431"/>
      <c r="SQQ10" s="3431"/>
      <c r="SQR10" s="3431"/>
      <c r="SQS10" s="3431"/>
      <c r="SQT10" s="3431"/>
      <c r="SQU10" s="3431"/>
      <c r="SQV10" s="3431"/>
      <c r="SQW10" s="3431"/>
      <c r="SQX10" s="3431"/>
      <c r="SQY10" s="3431"/>
      <c r="SQZ10" s="3431"/>
      <c r="SRA10" s="3431"/>
      <c r="SRB10" s="3431"/>
      <c r="SRC10" s="3431"/>
      <c r="SRD10" s="3431"/>
      <c r="SRE10" s="3431"/>
      <c r="SRF10" s="3431"/>
      <c r="SRG10" s="3431"/>
      <c r="SRH10" s="3431"/>
      <c r="SRI10" s="3431"/>
      <c r="SRJ10" s="3431"/>
      <c r="SRK10" s="3431"/>
      <c r="SRL10" s="3431"/>
      <c r="SRM10" s="3431"/>
      <c r="SRN10" s="3431"/>
      <c r="SRO10" s="3431"/>
      <c r="SRP10" s="3431"/>
      <c r="SRQ10" s="3431"/>
      <c r="SRR10" s="3431"/>
      <c r="SRS10" s="3431"/>
      <c r="SRT10" s="3431"/>
      <c r="SRU10" s="3431"/>
      <c r="SRV10" s="3431"/>
      <c r="SRW10" s="3431"/>
      <c r="SRX10" s="3431"/>
      <c r="SRY10" s="3431"/>
      <c r="SRZ10" s="3431"/>
      <c r="SSA10" s="3431"/>
      <c r="SSB10" s="3431"/>
      <c r="SSC10" s="3431"/>
      <c r="SSD10" s="3431"/>
      <c r="SSE10" s="3431"/>
      <c r="SSF10" s="3431"/>
      <c r="SSG10" s="3431"/>
      <c r="SSH10" s="3431"/>
      <c r="SSI10" s="3431"/>
      <c r="SSJ10" s="3431"/>
      <c r="SSK10" s="3431"/>
      <c r="SSL10" s="3431"/>
      <c r="SSM10" s="3431"/>
      <c r="SSN10" s="3431"/>
      <c r="SSO10" s="3431"/>
      <c r="SSP10" s="3431"/>
      <c r="SSQ10" s="3431"/>
      <c r="SSR10" s="3431"/>
      <c r="SSS10" s="3431"/>
      <c r="SST10" s="3431"/>
      <c r="SSU10" s="3431"/>
      <c r="SSV10" s="3431"/>
      <c r="SSW10" s="3431"/>
      <c r="SSX10" s="3431"/>
      <c r="SSY10" s="3431"/>
      <c r="SSZ10" s="3431"/>
      <c r="STA10" s="3431"/>
      <c r="STB10" s="3431"/>
      <c r="STC10" s="3431"/>
      <c r="STD10" s="3431"/>
      <c r="STE10" s="3431"/>
      <c r="STF10" s="3431"/>
      <c r="STG10" s="3431"/>
      <c r="STH10" s="3431"/>
      <c r="STI10" s="3431"/>
      <c r="STJ10" s="3431"/>
      <c r="STK10" s="3431"/>
      <c r="STL10" s="3431"/>
      <c r="STM10" s="3431"/>
      <c r="STN10" s="3431"/>
      <c r="STO10" s="3431"/>
      <c r="STP10" s="3431"/>
      <c r="STQ10" s="3431"/>
      <c r="STR10" s="3431"/>
      <c r="STS10" s="3431"/>
      <c r="STT10" s="3431"/>
      <c r="STU10" s="3431"/>
      <c r="STV10" s="3431"/>
      <c r="STW10" s="3431"/>
      <c r="STX10" s="3431"/>
      <c r="STY10" s="3431"/>
      <c r="STZ10" s="3431"/>
      <c r="SUA10" s="3431"/>
      <c r="SUB10" s="3431"/>
      <c r="SUC10" s="3431"/>
      <c r="SUD10" s="3431"/>
      <c r="SUE10" s="3431"/>
      <c r="SUF10" s="3431"/>
      <c r="SUG10" s="3431"/>
      <c r="SUH10" s="3431"/>
      <c r="SUI10" s="3431"/>
      <c r="SUJ10" s="3431"/>
      <c r="SUK10" s="3431"/>
      <c r="SUL10" s="3431"/>
      <c r="SUM10" s="3431"/>
      <c r="SUN10" s="3431"/>
      <c r="SUO10" s="3431"/>
      <c r="SUP10" s="3431"/>
      <c r="SUQ10" s="3431"/>
      <c r="SUR10" s="3431"/>
      <c r="SUS10" s="3431"/>
      <c r="SUT10" s="3431"/>
      <c r="SUU10" s="3431"/>
      <c r="SUV10" s="3431"/>
      <c r="SUW10" s="3431"/>
      <c r="SUX10" s="3431"/>
      <c r="SUY10" s="3431"/>
      <c r="SUZ10" s="3431"/>
      <c r="SVA10" s="3431"/>
      <c r="SVB10" s="3431"/>
      <c r="SVC10" s="3431"/>
      <c r="SVD10" s="3431"/>
      <c r="SVE10" s="3431"/>
      <c r="SVF10" s="3431"/>
      <c r="SVG10" s="3431"/>
      <c r="SVH10" s="3431"/>
      <c r="SVI10" s="3431"/>
      <c r="SVJ10" s="3431"/>
      <c r="SVK10" s="3431"/>
      <c r="SVL10" s="3431"/>
      <c r="SVM10" s="3431"/>
      <c r="SVN10" s="3431"/>
      <c r="SVO10" s="3431"/>
      <c r="SVP10" s="3431"/>
      <c r="SVQ10" s="3431"/>
      <c r="SVR10" s="3431"/>
      <c r="SVS10" s="3431"/>
      <c r="SVT10" s="3431"/>
      <c r="SVU10" s="3431"/>
      <c r="SVV10" s="3431"/>
      <c r="SVW10" s="3431"/>
      <c r="SVX10" s="3431"/>
      <c r="SVY10" s="3431"/>
      <c r="SVZ10" s="3431"/>
      <c r="SWA10" s="3431"/>
      <c r="SWB10" s="3431"/>
      <c r="SWC10" s="3431"/>
      <c r="SWD10" s="3431"/>
      <c r="SWE10" s="3431"/>
      <c r="SWF10" s="3431"/>
      <c r="SWG10" s="3431"/>
      <c r="SWH10" s="3431"/>
      <c r="SWI10" s="3431"/>
      <c r="SWJ10" s="3431"/>
      <c r="SWK10" s="3431"/>
      <c r="SWL10" s="3431"/>
      <c r="SWM10" s="3431"/>
      <c r="SWN10" s="3431"/>
      <c r="SWO10" s="3431"/>
      <c r="SWP10" s="3431"/>
      <c r="SWQ10" s="3431"/>
      <c r="SWR10" s="3431"/>
      <c r="SWS10" s="3431"/>
      <c r="SWT10" s="3431"/>
      <c r="SWU10" s="3431"/>
      <c r="SWV10" s="3431"/>
      <c r="SWW10" s="3431"/>
      <c r="SWX10" s="3431"/>
      <c r="SWY10" s="3431"/>
      <c r="SWZ10" s="3431"/>
      <c r="SXA10" s="3431"/>
      <c r="SXB10" s="3431"/>
      <c r="SXC10" s="3431"/>
      <c r="SXD10" s="3431"/>
      <c r="SXE10" s="3431"/>
      <c r="SXF10" s="3431"/>
      <c r="SXG10" s="3431"/>
      <c r="SXH10" s="3431"/>
      <c r="SXI10" s="3431"/>
      <c r="SXJ10" s="3431"/>
      <c r="SXK10" s="3431"/>
      <c r="SXL10" s="3431"/>
      <c r="SXM10" s="3431"/>
      <c r="SXN10" s="3431"/>
      <c r="SXO10" s="3431"/>
      <c r="SXP10" s="3431"/>
      <c r="SXQ10" s="3431"/>
      <c r="SXR10" s="3431"/>
      <c r="SXS10" s="3431"/>
      <c r="SXT10" s="3431"/>
      <c r="SXU10" s="3431"/>
      <c r="SXV10" s="3431"/>
      <c r="SXW10" s="3431"/>
      <c r="SXX10" s="3431"/>
      <c r="SXY10" s="3431"/>
      <c r="SXZ10" s="3431"/>
      <c r="SYA10" s="3431"/>
      <c r="SYB10" s="3431"/>
      <c r="SYC10" s="3431"/>
      <c r="SYD10" s="3431"/>
      <c r="SYE10" s="3431"/>
      <c r="SYF10" s="3431"/>
      <c r="SYG10" s="3431"/>
      <c r="SYH10" s="3431"/>
      <c r="SYI10" s="3431"/>
      <c r="SYJ10" s="3431"/>
      <c r="SYK10" s="3431"/>
      <c r="SYL10" s="3431"/>
      <c r="SYM10" s="3431"/>
      <c r="SYN10" s="3431"/>
      <c r="SYO10" s="3431"/>
      <c r="SYP10" s="3431"/>
      <c r="SYQ10" s="3431"/>
      <c r="SYR10" s="3431"/>
      <c r="SYS10" s="3431"/>
      <c r="SYT10" s="3431"/>
      <c r="SYU10" s="3431"/>
      <c r="SYV10" s="3431"/>
      <c r="SYW10" s="3431"/>
      <c r="SYX10" s="3431"/>
      <c r="SYY10" s="3431"/>
      <c r="SYZ10" s="3431"/>
      <c r="SZA10" s="3431"/>
      <c r="SZB10" s="3431"/>
      <c r="SZC10" s="3431"/>
      <c r="SZD10" s="3431"/>
      <c r="SZE10" s="3431"/>
      <c r="SZF10" s="3431"/>
      <c r="SZG10" s="3431"/>
      <c r="SZH10" s="3431"/>
      <c r="SZI10" s="3431"/>
      <c r="SZJ10" s="3431"/>
      <c r="SZK10" s="3431"/>
      <c r="SZL10" s="3431"/>
      <c r="SZM10" s="3431"/>
      <c r="SZN10" s="3431"/>
      <c r="SZO10" s="3431"/>
      <c r="SZP10" s="3431"/>
      <c r="SZQ10" s="3431"/>
      <c r="SZR10" s="3431"/>
      <c r="SZS10" s="3431"/>
      <c r="SZT10" s="3431"/>
      <c r="SZU10" s="3431"/>
      <c r="SZV10" s="3431"/>
      <c r="SZW10" s="3431"/>
      <c r="SZX10" s="3431"/>
      <c r="SZY10" s="3431"/>
      <c r="SZZ10" s="3431"/>
      <c r="TAA10" s="3431"/>
      <c r="TAB10" s="3431"/>
      <c r="TAC10" s="3431"/>
      <c r="TAD10" s="3431"/>
      <c r="TAE10" s="3431"/>
      <c r="TAF10" s="3431"/>
      <c r="TAG10" s="3431"/>
      <c r="TAH10" s="3431"/>
      <c r="TAI10" s="3431"/>
      <c r="TAJ10" s="3431"/>
      <c r="TAK10" s="3431"/>
      <c r="TAL10" s="3431"/>
      <c r="TAM10" s="3431"/>
      <c r="TAN10" s="3431"/>
      <c r="TAO10" s="3431"/>
      <c r="TAP10" s="3431"/>
      <c r="TAQ10" s="3431"/>
      <c r="TAR10" s="3431"/>
      <c r="TAS10" s="3431"/>
      <c r="TAT10" s="3431"/>
      <c r="TAU10" s="3431"/>
      <c r="TAV10" s="3431"/>
      <c r="TAW10" s="3431"/>
      <c r="TAX10" s="3431"/>
      <c r="TAY10" s="3431"/>
      <c r="TAZ10" s="3431"/>
      <c r="TBA10" s="3431"/>
      <c r="TBB10" s="3431"/>
      <c r="TBC10" s="3431"/>
      <c r="TBD10" s="3431"/>
      <c r="TBE10" s="3431"/>
      <c r="TBF10" s="3431"/>
      <c r="TBG10" s="3431"/>
      <c r="TBH10" s="3431"/>
      <c r="TBI10" s="3431"/>
      <c r="TBJ10" s="3431"/>
      <c r="TBK10" s="3431"/>
      <c r="TBL10" s="3431"/>
      <c r="TBM10" s="3431"/>
      <c r="TBN10" s="3431"/>
      <c r="TBO10" s="3431"/>
      <c r="TBP10" s="3431"/>
      <c r="TBQ10" s="3431"/>
      <c r="TBR10" s="3431"/>
      <c r="TBS10" s="3431"/>
      <c r="TBT10" s="3431"/>
      <c r="TBU10" s="3431"/>
      <c r="TBV10" s="3431"/>
      <c r="TBW10" s="3431"/>
      <c r="TBX10" s="3431"/>
      <c r="TBY10" s="3431"/>
      <c r="TBZ10" s="3431"/>
      <c r="TCA10" s="3431"/>
      <c r="TCB10" s="3431"/>
      <c r="TCC10" s="3431"/>
      <c r="TCD10" s="3431"/>
      <c r="TCE10" s="3431"/>
      <c r="TCF10" s="3431"/>
      <c r="TCG10" s="3431"/>
      <c r="TCH10" s="3431"/>
      <c r="TCI10" s="3431"/>
      <c r="TCJ10" s="3431"/>
      <c r="TCK10" s="3431"/>
      <c r="TCL10" s="3431"/>
      <c r="TCM10" s="3431"/>
      <c r="TCN10" s="3431"/>
      <c r="TCO10" s="3431"/>
      <c r="TCP10" s="3431"/>
      <c r="TCQ10" s="3431"/>
      <c r="TCR10" s="3431"/>
      <c r="TCS10" s="3431"/>
      <c r="TCT10" s="3431"/>
      <c r="TCU10" s="3431"/>
      <c r="TCV10" s="3431"/>
      <c r="TCW10" s="3431"/>
      <c r="TCX10" s="3431"/>
      <c r="TCY10" s="3431"/>
      <c r="TCZ10" s="3431"/>
      <c r="TDA10" s="3431"/>
      <c r="TDB10" s="3431"/>
      <c r="TDC10" s="3431"/>
      <c r="TDD10" s="3431"/>
      <c r="TDE10" s="3431"/>
      <c r="TDF10" s="3431"/>
      <c r="TDG10" s="3431"/>
      <c r="TDH10" s="3431"/>
      <c r="TDI10" s="3431"/>
      <c r="TDJ10" s="3431"/>
      <c r="TDK10" s="3431"/>
      <c r="TDL10" s="3431"/>
      <c r="TDM10" s="3431"/>
      <c r="TDN10" s="3431"/>
      <c r="TDO10" s="3431"/>
      <c r="TDP10" s="3431"/>
      <c r="TDQ10" s="3431"/>
      <c r="TDR10" s="3431"/>
      <c r="TDS10" s="3431"/>
      <c r="TDT10" s="3431"/>
      <c r="TDU10" s="3431"/>
      <c r="TDV10" s="3431"/>
      <c r="TDW10" s="3431"/>
      <c r="TDX10" s="3431"/>
      <c r="TDY10" s="3431"/>
      <c r="TDZ10" s="3431"/>
      <c r="TEA10" s="3431"/>
      <c r="TEB10" s="3431"/>
      <c r="TEC10" s="3431"/>
      <c r="TED10" s="3431"/>
      <c r="TEE10" s="3431"/>
      <c r="TEF10" s="3431"/>
      <c r="TEG10" s="3431"/>
      <c r="TEH10" s="3431"/>
      <c r="TEI10" s="3431"/>
      <c r="TEJ10" s="3431"/>
      <c r="TEK10" s="3431"/>
      <c r="TEL10" s="3431"/>
      <c r="TEM10" s="3431"/>
      <c r="TEN10" s="3431"/>
      <c r="TEO10" s="3431"/>
      <c r="TEP10" s="3431"/>
      <c r="TEQ10" s="3431"/>
      <c r="TER10" s="3431"/>
      <c r="TES10" s="3431"/>
      <c r="TET10" s="3431"/>
      <c r="TEU10" s="3431"/>
      <c r="TEV10" s="3431"/>
      <c r="TEW10" s="3431"/>
      <c r="TEX10" s="3431"/>
      <c r="TEY10" s="3431"/>
      <c r="TEZ10" s="3431"/>
      <c r="TFA10" s="3431"/>
      <c r="TFB10" s="3431"/>
      <c r="TFC10" s="3431"/>
      <c r="TFD10" s="3431"/>
      <c r="TFE10" s="3431"/>
      <c r="TFF10" s="3431"/>
      <c r="TFG10" s="3431"/>
      <c r="TFH10" s="3431"/>
      <c r="TFI10" s="3431"/>
      <c r="TFJ10" s="3431"/>
      <c r="TFK10" s="3431"/>
      <c r="TFL10" s="3431"/>
      <c r="TFM10" s="3431"/>
      <c r="TFN10" s="3431"/>
      <c r="TFO10" s="3431"/>
      <c r="TFP10" s="3431"/>
      <c r="TFQ10" s="3431"/>
      <c r="TFR10" s="3431"/>
      <c r="TFS10" s="3431"/>
      <c r="TFT10" s="3431"/>
      <c r="TFU10" s="3431"/>
      <c r="TFV10" s="3431"/>
      <c r="TFW10" s="3431"/>
      <c r="TFX10" s="3431"/>
      <c r="TFY10" s="3431"/>
      <c r="TFZ10" s="3431"/>
      <c r="TGA10" s="3431"/>
      <c r="TGB10" s="3431"/>
      <c r="TGC10" s="3431"/>
      <c r="TGD10" s="3431"/>
      <c r="TGE10" s="3431"/>
      <c r="TGF10" s="3431"/>
      <c r="TGG10" s="3431"/>
      <c r="TGH10" s="3431"/>
      <c r="TGI10" s="3431"/>
      <c r="TGJ10" s="3431"/>
      <c r="TGK10" s="3431"/>
      <c r="TGL10" s="3431"/>
      <c r="TGM10" s="3431"/>
      <c r="TGN10" s="3431"/>
      <c r="TGO10" s="3431"/>
      <c r="TGP10" s="3431"/>
      <c r="TGQ10" s="3431"/>
      <c r="TGR10" s="3431"/>
      <c r="TGS10" s="3431"/>
      <c r="TGT10" s="3431"/>
      <c r="TGU10" s="3431"/>
      <c r="TGV10" s="3431"/>
      <c r="TGW10" s="3431"/>
      <c r="TGX10" s="3431"/>
      <c r="TGY10" s="3431"/>
      <c r="TGZ10" s="3431"/>
      <c r="THA10" s="3431"/>
      <c r="THB10" s="3431"/>
      <c r="THC10" s="3431"/>
      <c r="THD10" s="3431"/>
      <c r="THE10" s="3431"/>
      <c r="THF10" s="3431"/>
      <c r="THG10" s="3431"/>
      <c r="THH10" s="3431"/>
      <c r="THI10" s="3431"/>
      <c r="THJ10" s="3431"/>
      <c r="THK10" s="3431"/>
      <c r="THL10" s="3431"/>
      <c r="THM10" s="3431"/>
      <c r="THN10" s="3431"/>
      <c r="THO10" s="3431"/>
      <c r="THP10" s="3431"/>
      <c r="THQ10" s="3431"/>
      <c r="THR10" s="3431"/>
      <c r="THS10" s="3431"/>
      <c r="THT10" s="3431"/>
      <c r="THU10" s="3431"/>
      <c r="THV10" s="3431"/>
      <c r="THW10" s="3431"/>
      <c r="THX10" s="3431"/>
      <c r="THY10" s="3431"/>
      <c r="THZ10" s="3431"/>
      <c r="TIA10" s="3431"/>
      <c r="TIB10" s="3431"/>
      <c r="TIC10" s="3431"/>
      <c r="TID10" s="3431"/>
      <c r="TIE10" s="3431"/>
      <c r="TIF10" s="3431"/>
      <c r="TIG10" s="3431"/>
      <c r="TIH10" s="3431"/>
      <c r="TII10" s="3431"/>
      <c r="TIJ10" s="3431"/>
      <c r="TIK10" s="3431"/>
      <c r="TIL10" s="3431"/>
      <c r="TIM10" s="3431"/>
      <c r="TIN10" s="3431"/>
      <c r="TIO10" s="3431"/>
      <c r="TIP10" s="3431"/>
      <c r="TIQ10" s="3431"/>
      <c r="TIR10" s="3431"/>
      <c r="TIS10" s="3431"/>
      <c r="TIT10" s="3431"/>
      <c r="TIU10" s="3431"/>
      <c r="TIV10" s="3431"/>
      <c r="TIW10" s="3431"/>
      <c r="TIX10" s="3431"/>
      <c r="TIY10" s="3431"/>
      <c r="TIZ10" s="3431"/>
      <c r="TJA10" s="3431"/>
      <c r="TJB10" s="3431"/>
      <c r="TJC10" s="3431"/>
      <c r="TJD10" s="3431"/>
      <c r="TJE10" s="3431"/>
      <c r="TJF10" s="3431"/>
      <c r="TJG10" s="3431"/>
      <c r="TJH10" s="3431"/>
      <c r="TJI10" s="3431"/>
      <c r="TJJ10" s="3431"/>
      <c r="TJK10" s="3431"/>
      <c r="TJL10" s="3431"/>
      <c r="TJM10" s="3431"/>
      <c r="TJN10" s="3431"/>
      <c r="TJO10" s="3431"/>
      <c r="TJP10" s="3431"/>
      <c r="TJQ10" s="3431"/>
      <c r="TJR10" s="3431"/>
      <c r="TJS10" s="3431"/>
      <c r="TJT10" s="3431"/>
      <c r="TJU10" s="3431"/>
      <c r="TJV10" s="3431"/>
      <c r="TJW10" s="3431"/>
      <c r="TJX10" s="3431"/>
      <c r="TJY10" s="3431"/>
      <c r="TJZ10" s="3431"/>
      <c r="TKA10" s="3431"/>
      <c r="TKB10" s="3431"/>
      <c r="TKC10" s="3431"/>
      <c r="TKD10" s="3431"/>
      <c r="TKE10" s="3431"/>
      <c r="TKF10" s="3431"/>
      <c r="TKG10" s="3431"/>
      <c r="TKH10" s="3431"/>
      <c r="TKI10" s="3431"/>
      <c r="TKJ10" s="3431"/>
      <c r="TKK10" s="3431"/>
      <c r="TKL10" s="3431"/>
      <c r="TKM10" s="3431"/>
      <c r="TKN10" s="3431"/>
      <c r="TKO10" s="3431"/>
      <c r="TKP10" s="3431"/>
      <c r="TKQ10" s="3431"/>
      <c r="TKR10" s="3431"/>
      <c r="TKS10" s="3431"/>
      <c r="TKT10" s="3431"/>
      <c r="TKU10" s="3431"/>
      <c r="TKV10" s="3431"/>
      <c r="TKW10" s="3431"/>
      <c r="TKX10" s="3431"/>
      <c r="TKY10" s="3431"/>
      <c r="TKZ10" s="3431"/>
      <c r="TLA10" s="3431"/>
      <c r="TLB10" s="3431"/>
      <c r="TLC10" s="3431"/>
      <c r="TLD10" s="3431"/>
      <c r="TLE10" s="3431"/>
      <c r="TLF10" s="3431"/>
      <c r="TLG10" s="3431"/>
      <c r="TLH10" s="3431"/>
      <c r="TLI10" s="3431"/>
      <c r="TLJ10" s="3431"/>
      <c r="TLK10" s="3431"/>
      <c r="TLL10" s="3431"/>
      <c r="TLM10" s="3431"/>
      <c r="TLN10" s="3431"/>
      <c r="TLO10" s="3431"/>
      <c r="TLP10" s="3431"/>
      <c r="TLQ10" s="3431"/>
      <c r="TLR10" s="3431"/>
      <c r="TLS10" s="3431"/>
      <c r="TLT10" s="3431"/>
      <c r="TLU10" s="3431"/>
      <c r="TLV10" s="3431"/>
      <c r="TLW10" s="3431"/>
      <c r="TLX10" s="3431"/>
      <c r="TLY10" s="3431"/>
      <c r="TLZ10" s="3431"/>
      <c r="TMA10" s="3431"/>
      <c r="TMB10" s="3431"/>
      <c r="TMC10" s="3431"/>
      <c r="TMD10" s="3431"/>
      <c r="TME10" s="3431"/>
      <c r="TMF10" s="3431"/>
      <c r="TMG10" s="3431"/>
      <c r="TMH10" s="3431"/>
      <c r="TMI10" s="3431"/>
      <c r="TMJ10" s="3431"/>
      <c r="TMK10" s="3431"/>
      <c r="TML10" s="3431"/>
      <c r="TMM10" s="3431"/>
      <c r="TMN10" s="3431"/>
      <c r="TMO10" s="3431"/>
      <c r="TMP10" s="3431"/>
      <c r="TMQ10" s="3431"/>
      <c r="TMR10" s="3431"/>
      <c r="TMS10" s="3431"/>
      <c r="TMT10" s="3431"/>
      <c r="TMU10" s="3431"/>
      <c r="TMV10" s="3431"/>
      <c r="TMW10" s="3431"/>
      <c r="TMX10" s="3431"/>
      <c r="TMY10" s="3431"/>
      <c r="TMZ10" s="3431"/>
      <c r="TNA10" s="3431"/>
      <c r="TNB10" s="3431"/>
      <c r="TNC10" s="3431"/>
      <c r="TND10" s="3431"/>
      <c r="TNE10" s="3431"/>
      <c r="TNF10" s="3431"/>
      <c r="TNG10" s="3431"/>
      <c r="TNH10" s="3431"/>
      <c r="TNI10" s="3431"/>
      <c r="TNJ10" s="3431"/>
      <c r="TNK10" s="3431"/>
      <c r="TNL10" s="3431"/>
      <c r="TNM10" s="3431"/>
      <c r="TNN10" s="3431"/>
      <c r="TNO10" s="3431"/>
      <c r="TNP10" s="3431"/>
      <c r="TNQ10" s="3431"/>
      <c r="TNR10" s="3431"/>
      <c r="TNS10" s="3431"/>
      <c r="TNT10" s="3431"/>
      <c r="TNU10" s="3431"/>
      <c r="TNV10" s="3431"/>
      <c r="TNW10" s="3431"/>
      <c r="TNX10" s="3431"/>
      <c r="TNY10" s="3431"/>
      <c r="TNZ10" s="3431"/>
      <c r="TOA10" s="3431"/>
      <c r="TOB10" s="3431"/>
      <c r="TOC10" s="3431"/>
      <c r="TOD10" s="3431"/>
      <c r="TOE10" s="3431"/>
      <c r="TOF10" s="3431"/>
      <c r="TOG10" s="3431"/>
      <c r="TOH10" s="3431"/>
      <c r="TOI10" s="3431"/>
      <c r="TOJ10" s="3431"/>
      <c r="TOK10" s="3431"/>
      <c r="TOL10" s="3431"/>
      <c r="TOM10" s="3431"/>
      <c r="TON10" s="3431"/>
      <c r="TOO10" s="3431"/>
      <c r="TOP10" s="3431"/>
      <c r="TOQ10" s="3431"/>
      <c r="TOR10" s="3431"/>
      <c r="TOS10" s="3431"/>
      <c r="TOT10" s="3431"/>
      <c r="TOU10" s="3431"/>
      <c r="TOV10" s="3431"/>
      <c r="TOW10" s="3431"/>
      <c r="TOX10" s="3431"/>
      <c r="TOY10" s="3431"/>
      <c r="TOZ10" s="3431"/>
      <c r="TPA10" s="3431"/>
      <c r="TPB10" s="3431"/>
      <c r="TPC10" s="3431"/>
      <c r="TPD10" s="3431"/>
      <c r="TPE10" s="3431"/>
      <c r="TPF10" s="3431"/>
      <c r="TPG10" s="3431"/>
      <c r="TPH10" s="3431"/>
      <c r="TPI10" s="3431"/>
      <c r="TPJ10" s="3431"/>
      <c r="TPK10" s="3431"/>
      <c r="TPL10" s="3431"/>
      <c r="TPM10" s="3431"/>
      <c r="TPN10" s="3431"/>
      <c r="TPO10" s="3431"/>
      <c r="TPP10" s="3431"/>
      <c r="TPQ10" s="3431"/>
      <c r="TPR10" s="3431"/>
      <c r="TPS10" s="3431"/>
      <c r="TPT10" s="3431"/>
      <c r="TPU10" s="3431"/>
      <c r="TPV10" s="3431"/>
      <c r="TPW10" s="3431"/>
      <c r="TPX10" s="3431"/>
      <c r="TPY10" s="3431"/>
      <c r="TPZ10" s="3431"/>
      <c r="TQA10" s="3431"/>
      <c r="TQB10" s="3431"/>
      <c r="TQC10" s="3431"/>
      <c r="TQD10" s="3431"/>
      <c r="TQE10" s="3431"/>
      <c r="TQF10" s="3431"/>
      <c r="TQG10" s="3431"/>
      <c r="TQH10" s="3431"/>
      <c r="TQI10" s="3431"/>
      <c r="TQJ10" s="3431"/>
      <c r="TQK10" s="3431"/>
      <c r="TQL10" s="3431"/>
      <c r="TQM10" s="3431"/>
      <c r="TQN10" s="3431"/>
      <c r="TQO10" s="3431"/>
      <c r="TQP10" s="3431"/>
      <c r="TQQ10" s="3431"/>
      <c r="TQR10" s="3431"/>
      <c r="TQS10" s="3431"/>
      <c r="TQT10" s="3431"/>
      <c r="TQU10" s="3431"/>
      <c r="TQV10" s="3431"/>
      <c r="TQW10" s="3431"/>
      <c r="TQX10" s="3431"/>
      <c r="TQY10" s="3431"/>
      <c r="TQZ10" s="3431"/>
      <c r="TRA10" s="3431"/>
      <c r="TRB10" s="3431"/>
      <c r="TRC10" s="3431"/>
      <c r="TRD10" s="3431"/>
      <c r="TRE10" s="3431"/>
      <c r="TRF10" s="3431"/>
      <c r="TRG10" s="3431"/>
      <c r="TRH10" s="3431"/>
      <c r="TRI10" s="3431"/>
      <c r="TRJ10" s="3431"/>
      <c r="TRK10" s="3431"/>
      <c r="TRL10" s="3431"/>
      <c r="TRM10" s="3431"/>
      <c r="TRN10" s="3431"/>
      <c r="TRO10" s="3431"/>
      <c r="TRP10" s="3431"/>
      <c r="TRQ10" s="3431"/>
      <c r="TRR10" s="3431"/>
      <c r="TRS10" s="3431"/>
      <c r="TRT10" s="3431"/>
      <c r="TRU10" s="3431"/>
      <c r="TRV10" s="3431"/>
      <c r="TRW10" s="3431"/>
      <c r="TRX10" s="3431"/>
      <c r="TRY10" s="3431"/>
      <c r="TRZ10" s="3431"/>
      <c r="TSA10" s="3431"/>
      <c r="TSB10" s="3431"/>
      <c r="TSC10" s="3431"/>
      <c r="TSD10" s="3431"/>
      <c r="TSE10" s="3431"/>
      <c r="TSF10" s="3431"/>
      <c r="TSG10" s="3431"/>
      <c r="TSH10" s="3431"/>
      <c r="TSI10" s="3431"/>
      <c r="TSJ10" s="3431"/>
      <c r="TSK10" s="3431"/>
      <c r="TSL10" s="3431"/>
      <c r="TSM10" s="3431"/>
      <c r="TSN10" s="3431"/>
      <c r="TSO10" s="3431"/>
      <c r="TSP10" s="3431"/>
      <c r="TSQ10" s="3431"/>
      <c r="TSR10" s="3431"/>
      <c r="TSS10" s="3431"/>
      <c r="TST10" s="3431"/>
      <c r="TSU10" s="3431"/>
      <c r="TSV10" s="3431"/>
      <c r="TSW10" s="3431"/>
      <c r="TSX10" s="3431"/>
      <c r="TSY10" s="3431"/>
      <c r="TSZ10" s="3431"/>
      <c r="TTA10" s="3431"/>
      <c r="TTB10" s="3431"/>
      <c r="TTC10" s="3431"/>
      <c r="TTD10" s="3431"/>
      <c r="TTE10" s="3431"/>
      <c r="TTF10" s="3431"/>
      <c r="TTG10" s="3431"/>
      <c r="TTH10" s="3431"/>
      <c r="TTI10" s="3431"/>
      <c r="TTJ10" s="3431"/>
      <c r="TTK10" s="3431"/>
      <c r="TTL10" s="3431"/>
      <c r="TTM10" s="3431"/>
      <c r="TTN10" s="3431"/>
      <c r="TTO10" s="3431"/>
      <c r="TTP10" s="3431"/>
      <c r="TTQ10" s="3431"/>
      <c r="TTR10" s="3431"/>
      <c r="TTS10" s="3431"/>
      <c r="TTT10" s="3431"/>
      <c r="TTU10" s="3431"/>
      <c r="TTV10" s="3431"/>
      <c r="TTW10" s="3431"/>
      <c r="TTX10" s="3431"/>
      <c r="TTY10" s="3431"/>
      <c r="TTZ10" s="3431"/>
      <c r="TUA10" s="3431"/>
      <c r="TUB10" s="3431"/>
      <c r="TUC10" s="3431"/>
      <c r="TUD10" s="3431"/>
      <c r="TUE10" s="3431"/>
      <c r="TUF10" s="3431"/>
      <c r="TUG10" s="3431"/>
      <c r="TUH10" s="3431"/>
      <c r="TUI10" s="3431"/>
      <c r="TUJ10" s="3431"/>
      <c r="TUK10" s="3431"/>
      <c r="TUL10" s="3431"/>
      <c r="TUM10" s="3431"/>
      <c r="TUN10" s="3431"/>
      <c r="TUO10" s="3431"/>
      <c r="TUP10" s="3431"/>
      <c r="TUQ10" s="3431"/>
      <c r="TUR10" s="3431"/>
      <c r="TUS10" s="3431"/>
      <c r="TUT10" s="3431"/>
      <c r="TUU10" s="3431"/>
      <c r="TUV10" s="3431"/>
      <c r="TUW10" s="3431"/>
      <c r="TUX10" s="3431"/>
      <c r="TUY10" s="3431"/>
      <c r="TUZ10" s="3431"/>
      <c r="TVA10" s="3431"/>
      <c r="TVB10" s="3431"/>
      <c r="TVC10" s="3431"/>
      <c r="TVD10" s="3431"/>
      <c r="TVE10" s="3431"/>
      <c r="TVF10" s="3431"/>
      <c r="TVG10" s="3431"/>
      <c r="TVH10" s="3431"/>
      <c r="TVI10" s="3431"/>
      <c r="TVJ10" s="3431"/>
      <c r="TVK10" s="3431"/>
      <c r="TVL10" s="3431"/>
      <c r="TVM10" s="3431"/>
      <c r="TVN10" s="3431"/>
      <c r="TVO10" s="3431"/>
      <c r="TVP10" s="3431"/>
      <c r="TVQ10" s="3431"/>
      <c r="TVR10" s="3431"/>
      <c r="TVS10" s="3431"/>
      <c r="TVT10" s="3431"/>
      <c r="TVU10" s="3431"/>
      <c r="TVV10" s="3431"/>
      <c r="TVW10" s="3431"/>
      <c r="TVX10" s="3431"/>
      <c r="TVY10" s="3431"/>
      <c r="TVZ10" s="3431"/>
      <c r="TWA10" s="3431"/>
      <c r="TWB10" s="3431"/>
      <c r="TWC10" s="3431"/>
      <c r="TWD10" s="3431"/>
      <c r="TWE10" s="3431"/>
      <c r="TWF10" s="3431"/>
      <c r="TWG10" s="3431"/>
      <c r="TWH10" s="3431"/>
      <c r="TWI10" s="3431"/>
      <c r="TWJ10" s="3431"/>
      <c r="TWK10" s="3431"/>
      <c r="TWL10" s="3431"/>
      <c r="TWM10" s="3431"/>
      <c r="TWN10" s="3431"/>
      <c r="TWO10" s="3431"/>
      <c r="TWP10" s="3431"/>
      <c r="TWQ10" s="3431"/>
      <c r="TWR10" s="3431"/>
      <c r="TWS10" s="3431"/>
      <c r="TWT10" s="3431"/>
      <c r="TWU10" s="3431"/>
      <c r="TWV10" s="3431"/>
      <c r="TWW10" s="3431"/>
      <c r="TWX10" s="3431"/>
      <c r="TWY10" s="3431"/>
      <c r="TWZ10" s="3431"/>
      <c r="TXA10" s="3431"/>
      <c r="TXB10" s="3431"/>
      <c r="TXC10" s="3431"/>
      <c r="TXD10" s="3431"/>
      <c r="TXE10" s="3431"/>
      <c r="TXF10" s="3431"/>
      <c r="TXG10" s="3431"/>
      <c r="TXH10" s="3431"/>
      <c r="TXI10" s="3431"/>
      <c r="TXJ10" s="3431"/>
      <c r="TXK10" s="3431"/>
      <c r="TXL10" s="3431"/>
      <c r="TXM10" s="3431"/>
      <c r="TXN10" s="3431"/>
      <c r="TXO10" s="3431"/>
      <c r="TXP10" s="3431"/>
      <c r="TXQ10" s="3431"/>
      <c r="TXR10" s="3431"/>
      <c r="TXS10" s="3431"/>
      <c r="TXT10" s="3431"/>
      <c r="TXU10" s="3431"/>
      <c r="TXV10" s="3431"/>
      <c r="TXW10" s="3431"/>
      <c r="TXX10" s="3431"/>
      <c r="TXY10" s="3431"/>
      <c r="TXZ10" s="3431"/>
      <c r="TYA10" s="3431"/>
      <c r="TYB10" s="3431"/>
      <c r="TYC10" s="3431"/>
      <c r="TYD10" s="3431"/>
      <c r="TYE10" s="3431"/>
      <c r="TYF10" s="3431"/>
      <c r="TYG10" s="3431"/>
      <c r="TYH10" s="3431"/>
      <c r="TYI10" s="3431"/>
      <c r="TYJ10" s="3431"/>
      <c r="TYK10" s="3431"/>
      <c r="TYL10" s="3431"/>
      <c r="TYM10" s="3431"/>
      <c r="TYN10" s="3431"/>
      <c r="TYO10" s="3431"/>
      <c r="TYP10" s="3431"/>
      <c r="TYQ10" s="3431"/>
      <c r="TYR10" s="3431"/>
      <c r="TYS10" s="3431"/>
      <c r="TYT10" s="3431"/>
      <c r="TYU10" s="3431"/>
      <c r="TYV10" s="3431"/>
      <c r="TYW10" s="3431"/>
      <c r="TYX10" s="3431"/>
      <c r="TYY10" s="3431"/>
      <c r="TYZ10" s="3431"/>
      <c r="TZA10" s="3431"/>
      <c r="TZB10" s="3431"/>
      <c r="TZC10" s="3431"/>
      <c r="TZD10" s="3431"/>
      <c r="TZE10" s="3431"/>
      <c r="TZF10" s="3431"/>
      <c r="TZG10" s="3431"/>
      <c r="TZH10" s="3431"/>
      <c r="TZI10" s="3431"/>
      <c r="TZJ10" s="3431"/>
      <c r="TZK10" s="3431"/>
      <c r="TZL10" s="3431"/>
      <c r="TZM10" s="3431"/>
      <c r="TZN10" s="3431"/>
      <c r="TZO10" s="3431"/>
      <c r="TZP10" s="3431"/>
      <c r="TZQ10" s="3431"/>
      <c r="TZR10" s="3431"/>
      <c r="TZS10" s="3431"/>
      <c r="TZT10" s="3431"/>
      <c r="TZU10" s="3431"/>
      <c r="TZV10" s="3431"/>
      <c r="TZW10" s="3431"/>
      <c r="TZX10" s="3431"/>
      <c r="TZY10" s="3431"/>
      <c r="TZZ10" s="3431"/>
      <c r="UAA10" s="3431"/>
      <c r="UAB10" s="3431"/>
      <c r="UAC10" s="3431"/>
      <c r="UAD10" s="3431"/>
      <c r="UAE10" s="3431"/>
      <c r="UAF10" s="3431"/>
      <c r="UAG10" s="3431"/>
      <c r="UAH10" s="3431"/>
      <c r="UAI10" s="3431"/>
      <c r="UAJ10" s="3431"/>
      <c r="UAK10" s="3431"/>
      <c r="UAL10" s="3431"/>
      <c r="UAM10" s="3431"/>
      <c r="UAN10" s="3431"/>
      <c r="UAO10" s="3431"/>
      <c r="UAP10" s="3431"/>
      <c r="UAQ10" s="3431"/>
      <c r="UAR10" s="3431"/>
      <c r="UAS10" s="3431"/>
      <c r="UAT10" s="3431"/>
      <c r="UAU10" s="3431"/>
      <c r="UAV10" s="3431"/>
      <c r="UAW10" s="3431"/>
      <c r="UAX10" s="3431"/>
      <c r="UAY10" s="3431"/>
      <c r="UAZ10" s="3431"/>
      <c r="UBA10" s="3431"/>
      <c r="UBB10" s="3431"/>
      <c r="UBC10" s="3431"/>
      <c r="UBD10" s="3431"/>
      <c r="UBE10" s="3431"/>
      <c r="UBF10" s="3431"/>
      <c r="UBG10" s="3431"/>
      <c r="UBH10" s="3431"/>
      <c r="UBI10" s="3431"/>
      <c r="UBJ10" s="3431"/>
      <c r="UBK10" s="3431"/>
      <c r="UBL10" s="3431"/>
      <c r="UBM10" s="3431"/>
      <c r="UBN10" s="3431"/>
      <c r="UBO10" s="3431"/>
      <c r="UBP10" s="3431"/>
      <c r="UBQ10" s="3431"/>
      <c r="UBR10" s="3431"/>
      <c r="UBS10" s="3431"/>
      <c r="UBT10" s="3431"/>
      <c r="UBU10" s="3431"/>
      <c r="UBV10" s="3431"/>
      <c r="UBW10" s="3431"/>
      <c r="UBX10" s="3431"/>
      <c r="UBY10" s="3431"/>
      <c r="UBZ10" s="3431"/>
      <c r="UCA10" s="3431"/>
      <c r="UCB10" s="3431"/>
      <c r="UCC10" s="3431"/>
      <c r="UCD10" s="3431"/>
      <c r="UCE10" s="3431"/>
      <c r="UCF10" s="3431"/>
      <c r="UCG10" s="3431"/>
      <c r="UCH10" s="3431"/>
      <c r="UCI10" s="3431"/>
      <c r="UCJ10" s="3431"/>
      <c r="UCK10" s="3431"/>
      <c r="UCL10" s="3431"/>
      <c r="UCM10" s="3431"/>
      <c r="UCN10" s="3431"/>
      <c r="UCO10" s="3431"/>
      <c r="UCP10" s="3431"/>
      <c r="UCQ10" s="3431"/>
      <c r="UCR10" s="3431"/>
      <c r="UCS10" s="3431"/>
      <c r="UCT10" s="3431"/>
      <c r="UCU10" s="3431"/>
      <c r="UCV10" s="3431"/>
      <c r="UCW10" s="3431"/>
      <c r="UCX10" s="3431"/>
      <c r="UCY10" s="3431"/>
      <c r="UCZ10" s="3431"/>
      <c r="UDA10" s="3431"/>
      <c r="UDB10" s="3431"/>
      <c r="UDC10" s="3431"/>
      <c r="UDD10" s="3431"/>
      <c r="UDE10" s="3431"/>
      <c r="UDF10" s="3431"/>
      <c r="UDG10" s="3431"/>
      <c r="UDH10" s="3431"/>
      <c r="UDI10" s="3431"/>
      <c r="UDJ10" s="3431"/>
      <c r="UDK10" s="3431"/>
      <c r="UDL10" s="3431"/>
      <c r="UDM10" s="3431"/>
      <c r="UDN10" s="3431"/>
      <c r="UDO10" s="3431"/>
      <c r="UDP10" s="3431"/>
      <c r="UDQ10" s="3431"/>
      <c r="UDR10" s="3431"/>
      <c r="UDS10" s="3431"/>
      <c r="UDT10" s="3431"/>
      <c r="UDU10" s="3431"/>
      <c r="UDV10" s="3431"/>
      <c r="UDW10" s="3431"/>
      <c r="UDX10" s="3431"/>
      <c r="UDY10" s="3431"/>
      <c r="UDZ10" s="3431"/>
      <c r="UEA10" s="3431"/>
      <c r="UEB10" s="3431"/>
      <c r="UEC10" s="3431"/>
      <c r="UED10" s="3431"/>
      <c r="UEE10" s="3431"/>
      <c r="UEF10" s="3431"/>
      <c r="UEG10" s="3431"/>
      <c r="UEH10" s="3431"/>
      <c r="UEI10" s="3431"/>
      <c r="UEJ10" s="3431"/>
      <c r="UEK10" s="3431"/>
      <c r="UEL10" s="3431"/>
      <c r="UEM10" s="3431"/>
      <c r="UEN10" s="3431"/>
      <c r="UEO10" s="3431"/>
      <c r="UEP10" s="3431"/>
      <c r="UEQ10" s="3431"/>
      <c r="UER10" s="3431"/>
      <c r="UES10" s="3431"/>
      <c r="UET10" s="3431"/>
      <c r="UEU10" s="3431"/>
      <c r="UEV10" s="3431"/>
      <c r="UEW10" s="3431"/>
      <c r="UEX10" s="3431"/>
      <c r="UEY10" s="3431"/>
      <c r="UEZ10" s="3431"/>
      <c r="UFA10" s="3431"/>
      <c r="UFB10" s="3431"/>
      <c r="UFC10" s="3431"/>
      <c r="UFD10" s="3431"/>
      <c r="UFE10" s="3431"/>
      <c r="UFF10" s="3431"/>
      <c r="UFG10" s="3431"/>
      <c r="UFH10" s="3431"/>
      <c r="UFI10" s="3431"/>
      <c r="UFJ10" s="3431"/>
      <c r="UFK10" s="3431"/>
      <c r="UFL10" s="3431"/>
      <c r="UFM10" s="3431"/>
      <c r="UFN10" s="3431"/>
      <c r="UFO10" s="3431"/>
      <c r="UFP10" s="3431"/>
      <c r="UFQ10" s="3431"/>
      <c r="UFR10" s="3431"/>
      <c r="UFS10" s="3431"/>
      <c r="UFT10" s="3431"/>
      <c r="UFU10" s="3431"/>
      <c r="UFV10" s="3431"/>
      <c r="UFW10" s="3431"/>
      <c r="UFX10" s="3431"/>
      <c r="UFY10" s="3431"/>
      <c r="UFZ10" s="3431"/>
      <c r="UGA10" s="3431"/>
      <c r="UGB10" s="3431"/>
      <c r="UGC10" s="3431"/>
      <c r="UGD10" s="3431"/>
      <c r="UGE10" s="3431"/>
      <c r="UGF10" s="3431"/>
      <c r="UGG10" s="3431"/>
      <c r="UGH10" s="3431"/>
      <c r="UGI10" s="3431"/>
      <c r="UGJ10" s="3431"/>
      <c r="UGK10" s="3431"/>
      <c r="UGL10" s="3431"/>
      <c r="UGM10" s="3431"/>
      <c r="UGN10" s="3431"/>
      <c r="UGO10" s="3431"/>
      <c r="UGP10" s="3431"/>
      <c r="UGQ10" s="3431"/>
      <c r="UGR10" s="3431"/>
      <c r="UGS10" s="3431"/>
      <c r="UGT10" s="3431"/>
      <c r="UGU10" s="3431"/>
      <c r="UGV10" s="3431"/>
      <c r="UGW10" s="3431"/>
      <c r="UGX10" s="3431"/>
      <c r="UGY10" s="3431"/>
      <c r="UGZ10" s="3431"/>
      <c r="UHA10" s="3431"/>
      <c r="UHB10" s="3431"/>
      <c r="UHC10" s="3431"/>
      <c r="UHD10" s="3431"/>
      <c r="UHE10" s="3431"/>
      <c r="UHF10" s="3431"/>
      <c r="UHG10" s="3431"/>
      <c r="UHH10" s="3431"/>
      <c r="UHI10" s="3431"/>
      <c r="UHJ10" s="3431"/>
      <c r="UHK10" s="3431"/>
      <c r="UHL10" s="3431"/>
      <c r="UHM10" s="3431"/>
      <c r="UHN10" s="3431"/>
      <c r="UHO10" s="3431"/>
      <c r="UHP10" s="3431"/>
      <c r="UHQ10" s="3431"/>
      <c r="UHR10" s="3431"/>
      <c r="UHS10" s="3431"/>
      <c r="UHT10" s="3431"/>
      <c r="UHU10" s="3431"/>
      <c r="UHV10" s="3431"/>
      <c r="UHW10" s="3431"/>
      <c r="UHX10" s="3431"/>
      <c r="UHY10" s="3431"/>
      <c r="UHZ10" s="3431"/>
      <c r="UIA10" s="3431"/>
      <c r="UIB10" s="3431"/>
      <c r="UIC10" s="3431"/>
      <c r="UID10" s="3431"/>
      <c r="UIE10" s="3431"/>
      <c r="UIF10" s="3431"/>
      <c r="UIG10" s="3431"/>
      <c r="UIH10" s="3431"/>
      <c r="UII10" s="3431"/>
      <c r="UIJ10" s="3431"/>
      <c r="UIK10" s="3431"/>
      <c r="UIL10" s="3431"/>
      <c r="UIM10" s="3431"/>
      <c r="UIN10" s="3431"/>
      <c r="UIO10" s="3431"/>
      <c r="UIP10" s="3431"/>
      <c r="UIQ10" s="3431"/>
      <c r="UIR10" s="3431"/>
      <c r="UIS10" s="3431"/>
      <c r="UIT10" s="3431"/>
      <c r="UIU10" s="3431"/>
      <c r="UIV10" s="3431"/>
      <c r="UIW10" s="3431"/>
      <c r="UIX10" s="3431"/>
      <c r="UIY10" s="3431"/>
      <c r="UIZ10" s="3431"/>
      <c r="UJA10" s="3431"/>
      <c r="UJB10" s="3431"/>
      <c r="UJC10" s="3431"/>
      <c r="UJD10" s="3431"/>
      <c r="UJE10" s="3431"/>
      <c r="UJF10" s="3431"/>
      <c r="UJG10" s="3431"/>
      <c r="UJH10" s="3431"/>
      <c r="UJI10" s="3431"/>
      <c r="UJJ10" s="3431"/>
      <c r="UJK10" s="3431"/>
      <c r="UJL10" s="3431"/>
      <c r="UJM10" s="3431"/>
      <c r="UJN10" s="3431"/>
      <c r="UJO10" s="3431"/>
      <c r="UJP10" s="3431"/>
      <c r="UJQ10" s="3431"/>
      <c r="UJR10" s="3431"/>
      <c r="UJS10" s="3431"/>
      <c r="UJT10" s="3431"/>
      <c r="UJU10" s="3431"/>
      <c r="UJV10" s="3431"/>
      <c r="UJW10" s="3431"/>
      <c r="UJX10" s="3431"/>
      <c r="UJY10" s="3431"/>
      <c r="UJZ10" s="3431"/>
      <c r="UKA10" s="3431"/>
      <c r="UKB10" s="3431"/>
      <c r="UKC10" s="3431"/>
      <c r="UKD10" s="3431"/>
      <c r="UKE10" s="3431"/>
      <c r="UKF10" s="3431"/>
      <c r="UKG10" s="3431"/>
      <c r="UKH10" s="3431"/>
      <c r="UKI10" s="3431"/>
      <c r="UKJ10" s="3431"/>
      <c r="UKK10" s="3431"/>
      <c r="UKL10" s="3431"/>
      <c r="UKM10" s="3431"/>
      <c r="UKN10" s="3431"/>
      <c r="UKO10" s="3431"/>
      <c r="UKP10" s="3431"/>
      <c r="UKQ10" s="3431"/>
      <c r="UKR10" s="3431"/>
      <c r="UKS10" s="3431"/>
      <c r="UKT10" s="3431"/>
      <c r="UKU10" s="3431"/>
      <c r="UKV10" s="3431"/>
      <c r="UKW10" s="3431"/>
      <c r="UKX10" s="3431"/>
      <c r="UKY10" s="3431"/>
      <c r="UKZ10" s="3431"/>
      <c r="ULA10" s="3431"/>
      <c r="ULB10" s="3431"/>
      <c r="ULC10" s="3431"/>
      <c r="ULD10" s="3431"/>
      <c r="ULE10" s="3431"/>
      <c r="ULF10" s="3431"/>
      <c r="ULG10" s="3431"/>
      <c r="ULH10" s="3431"/>
      <c r="ULI10" s="3431"/>
      <c r="ULJ10" s="3431"/>
      <c r="ULK10" s="3431"/>
      <c r="ULL10" s="3431"/>
      <c r="ULM10" s="3431"/>
      <c r="ULN10" s="3431"/>
      <c r="ULO10" s="3431"/>
      <c r="ULP10" s="3431"/>
      <c r="ULQ10" s="3431"/>
      <c r="ULR10" s="3431"/>
      <c r="ULS10" s="3431"/>
      <c r="ULT10" s="3431"/>
      <c r="ULU10" s="3431"/>
      <c r="ULV10" s="3431"/>
      <c r="ULW10" s="3431"/>
      <c r="ULX10" s="3431"/>
      <c r="ULY10" s="3431"/>
      <c r="ULZ10" s="3431"/>
      <c r="UMA10" s="3431"/>
      <c r="UMB10" s="3431"/>
      <c r="UMC10" s="3431"/>
      <c r="UMD10" s="3431"/>
      <c r="UME10" s="3431"/>
      <c r="UMF10" s="3431"/>
      <c r="UMG10" s="3431"/>
      <c r="UMH10" s="3431"/>
      <c r="UMI10" s="3431"/>
      <c r="UMJ10" s="3431"/>
      <c r="UMK10" s="3431"/>
      <c r="UML10" s="3431"/>
      <c r="UMM10" s="3431"/>
      <c r="UMN10" s="3431"/>
      <c r="UMO10" s="3431"/>
      <c r="UMP10" s="3431"/>
      <c r="UMQ10" s="3431"/>
      <c r="UMR10" s="3431"/>
      <c r="UMS10" s="3431"/>
      <c r="UMT10" s="3431"/>
      <c r="UMU10" s="3431"/>
      <c r="UMV10" s="3431"/>
      <c r="UMW10" s="3431"/>
      <c r="UMX10" s="3431"/>
      <c r="UMY10" s="3431"/>
      <c r="UMZ10" s="3431"/>
      <c r="UNA10" s="3431"/>
      <c r="UNB10" s="3431"/>
      <c r="UNC10" s="3431"/>
      <c r="UND10" s="3431"/>
      <c r="UNE10" s="3431"/>
      <c r="UNF10" s="3431"/>
      <c r="UNG10" s="3431"/>
      <c r="UNH10" s="3431"/>
      <c r="UNI10" s="3431"/>
      <c r="UNJ10" s="3431"/>
      <c r="UNK10" s="3431"/>
      <c r="UNL10" s="3431"/>
      <c r="UNM10" s="3431"/>
      <c r="UNN10" s="3431"/>
      <c r="UNO10" s="3431"/>
      <c r="UNP10" s="3431"/>
      <c r="UNQ10" s="3431"/>
      <c r="UNR10" s="3431"/>
      <c r="UNS10" s="3431"/>
      <c r="UNT10" s="3431"/>
      <c r="UNU10" s="3431"/>
      <c r="UNV10" s="3431"/>
      <c r="UNW10" s="3431"/>
      <c r="UNX10" s="3431"/>
      <c r="UNY10" s="3431"/>
      <c r="UNZ10" s="3431"/>
      <c r="UOA10" s="3431"/>
      <c r="UOB10" s="3431"/>
      <c r="UOC10" s="3431"/>
      <c r="UOD10" s="3431"/>
      <c r="UOE10" s="3431"/>
      <c r="UOF10" s="3431"/>
      <c r="UOG10" s="3431"/>
      <c r="UOH10" s="3431"/>
      <c r="UOI10" s="3431"/>
      <c r="UOJ10" s="3431"/>
      <c r="UOK10" s="3431"/>
      <c r="UOL10" s="3431"/>
      <c r="UOM10" s="3431"/>
      <c r="UON10" s="3431"/>
      <c r="UOO10" s="3431"/>
      <c r="UOP10" s="3431"/>
      <c r="UOQ10" s="3431"/>
      <c r="UOR10" s="3431"/>
      <c r="UOS10" s="3431"/>
      <c r="UOT10" s="3431"/>
      <c r="UOU10" s="3431"/>
      <c r="UOV10" s="3431"/>
      <c r="UOW10" s="3431"/>
      <c r="UOX10" s="3431"/>
      <c r="UOY10" s="3431"/>
      <c r="UOZ10" s="3431"/>
      <c r="UPA10" s="3431"/>
      <c r="UPB10" s="3431"/>
      <c r="UPC10" s="3431"/>
      <c r="UPD10" s="3431"/>
      <c r="UPE10" s="3431"/>
      <c r="UPF10" s="3431"/>
      <c r="UPG10" s="3431"/>
      <c r="UPH10" s="3431"/>
      <c r="UPI10" s="3431"/>
      <c r="UPJ10" s="3431"/>
      <c r="UPK10" s="3431"/>
      <c r="UPL10" s="3431"/>
      <c r="UPM10" s="3431"/>
      <c r="UPN10" s="3431"/>
      <c r="UPO10" s="3431"/>
      <c r="UPP10" s="3431"/>
      <c r="UPQ10" s="3431"/>
      <c r="UPR10" s="3431"/>
      <c r="UPS10" s="3431"/>
      <c r="UPT10" s="3431"/>
      <c r="UPU10" s="3431"/>
      <c r="UPV10" s="3431"/>
      <c r="UPW10" s="3431"/>
      <c r="UPX10" s="3431"/>
      <c r="UPY10" s="3431"/>
      <c r="UPZ10" s="3431"/>
      <c r="UQA10" s="3431"/>
      <c r="UQB10" s="3431"/>
      <c r="UQC10" s="3431"/>
      <c r="UQD10" s="3431"/>
      <c r="UQE10" s="3431"/>
      <c r="UQF10" s="3431"/>
      <c r="UQG10" s="3431"/>
      <c r="UQH10" s="3431"/>
      <c r="UQI10" s="3431"/>
      <c r="UQJ10" s="3431"/>
      <c r="UQK10" s="3431"/>
      <c r="UQL10" s="3431"/>
      <c r="UQM10" s="3431"/>
      <c r="UQN10" s="3431"/>
      <c r="UQO10" s="3431"/>
      <c r="UQP10" s="3431"/>
      <c r="UQQ10" s="3431"/>
      <c r="UQR10" s="3431"/>
      <c r="UQS10" s="3431"/>
      <c r="UQT10" s="3431"/>
      <c r="UQU10" s="3431"/>
      <c r="UQV10" s="3431"/>
      <c r="UQW10" s="3431"/>
      <c r="UQX10" s="3431"/>
      <c r="UQY10" s="3431"/>
      <c r="UQZ10" s="3431"/>
      <c r="URA10" s="3431"/>
      <c r="URB10" s="3431"/>
      <c r="URC10" s="3431"/>
      <c r="URD10" s="3431"/>
      <c r="URE10" s="3431"/>
      <c r="URF10" s="3431"/>
      <c r="URG10" s="3431"/>
      <c r="URH10" s="3431"/>
      <c r="URI10" s="3431"/>
      <c r="URJ10" s="3431"/>
      <c r="URK10" s="3431"/>
      <c r="URL10" s="3431"/>
      <c r="URM10" s="3431"/>
      <c r="URN10" s="3431"/>
      <c r="URO10" s="3431"/>
      <c r="URP10" s="3431"/>
      <c r="URQ10" s="3431"/>
      <c r="URR10" s="3431"/>
      <c r="URS10" s="3431"/>
      <c r="URT10" s="3431"/>
      <c r="URU10" s="3431"/>
      <c r="URV10" s="3431"/>
      <c r="URW10" s="3431"/>
      <c r="URX10" s="3431"/>
      <c r="URY10" s="3431"/>
      <c r="URZ10" s="3431"/>
      <c r="USA10" s="3431"/>
      <c r="USB10" s="3431"/>
      <c r="USC10" s="3431"/>
      <c r="USD10" s="3431"/>
      <c r="USE10" s="3431"/>
      <c r="USF10" s="3431"/>
      <c r="USG10" s="3431"/>
      <c r="USH10" s="3431"/>
      <c r="USI10" s="3431"/>
      <c r="USJ10" s="3431"/>
      <c r="USK10" s="3431"/>
      <c r="USL10" s="3431"/>
      <c r="USM10" s="3431"/>
      <c r="USN10" s="3431"/>
      <c r="USO10" s="3431"/>
      <c r="USP10" s="3431"/>
      <c r="USQ10" s="3431"/>
      <c r="USR10" s="3431"/>
      <c r="USS10" s="3431"/>
      <c r="UST10" s="3431"/>
      <c r="USU10" s="3431"/>
      <c r="USV10" s="3431"/>
      <c r="USW10" s="3431"/>
      <c r="USX10" s="3431"/>
      <c r="USY10" s="3431"/>
      <c r="USZ10" s="3431"/>
      <c r="UTA10" s="3431"/>
      <c r="UTB10" s="3431"/>
      <c r="UTC10" s="3431"/>
      <c r="UTD10" s="3431"/>
      <c r="UTE10" s="3431"/>
      <c r="UTF10" s="3431"/>
      <c r="UTG10" s="3431"/>
      <c r="UTH10" s="3431"/>
      <c r="UTI10" s="3431"/>
      <c r="UTJ10" s="3431"/>
      <c r="UTK10" s="3431"/>
      <c r="UTL10" s="3431"/>
      <c r="UTM10" s="3431"/>
      <c r="UTN10" s="3431"/>
      <c r="UTO10" s="3431"/>
      <c r="UTP10" s="3431"/>
      <c r="UTQ10" s="3431"/>
      <c r="UTR10" s="3431"/>
      <c r="UTS10" s="3431"/>
      <c r="UTT10" s="3431"/>
      <c r="UTU10" s="3431"/>
      <c r="UTV10" s="3431"/>
      <c r="UTW10" s="3431"/>
      <c r="UTX10" s="3431"/>
      <c r="UTY10" s="3431"/>
      <c r="UTZ10" s="3431"/>
      <c r="UUA10" s="3431"/>
      <c r="UUB10" s="3431"/>
      <c r="UUC10" s="3431"/>
      <c r="UUD10" s="3431"/>
      <c r="UUE10" s="3431"/>
      <c r="UUF10" s="3431"/>
      <c r="UUG10" s="3431"/>
      <c r="UUH10" s="3431"/>
      <c r="UUI10" s="3431"/>
      <c r="UUJ10" s="3431"/>
      <c r="UUK10" s="3431"/>
      <c r="UUL10" s="3431"/>
      <c r="UUM10" s="3431"/>
      <c r="UUN10" s="3431"/>
      <c r="UUO10" s="3431"/>
      <c r="UUP10" s="3431"/>
      <c r="UUQ10" s="3431"/>
      <c r="UUR10" s="3431"/>
      <c r="UUS10" s="3431"/>
      <c r="UUT10" s="3431"/>
      <c r="UUU10" s="3431"/>
      <c r="UUV10" s="3431"/>
      <c r="UUW10" s="3431"/>
      <c r="UUX10" s="3431"/>
      <c r="UUY10" s="3431"/>
      <c r="UUZ10" s="3431"/>
      <c r="UVA10" s="3431"/>
      <c r="UVB10" s="3431"/>
      <c r="UVC10" s="3431"/>
      <c r="UVD10" s="3431"/>
      <c r="UVE10" s="3431"/>
      <c r="UVF10" s="3431"/>
      <c r="UVG10" s="3431"/>
      <c r="UVH10" s="3431"/>
      <c r="UVI10" s="3431"/>
      <c r="UVJ10" s="3431"/>
      <c r="UVK10" s="3431"/>
      <c r="UVL10" s="3431"/>
      <c r="UVM10" s="3431"/>
      <c r="UVN10" s="3431"/>
      <c r="UVO10" s="3431"/>
      <c r="UVP10" s="3431"/>
      <c r="UVQ10" s="3431"/>
      <c r="UVR10" s="3431"/>
      <c r="UVS10" s="3431"/>
      <c r="UVT10" s="3431"/>
      <c r="UVU10" s="3431"/>
      <c r="UVV10" s="3431"/>
      <c r="UVW10" s="3431"/>
      <c r="UVX10" s="3431"/>
      <c r="UVY10" s="3431"/>
      <c r="UVZ10" s="3431"/>
      <c r="UWA10" s="3431"/>
      <c r="UWB10" s="3431"/>
      <c r="UWC10" s="3431"/>
      <c r="UWD10" s="3431"/>
      <c r="UWE10" s="3431"/>
      <c r="UWF10" s="3431"/>
      <c r="UWG10" s="3431"/>
      <c r="UWH10" s="3431"/>
      <c r="UWI10" s="3431"/>
      <c r="UWJ10" s="3431"/>
      <c r="UWK10" s="3431"/>
      <c r="UWL10" s="3431"/>
      <c r="UWM10" s="3431"/>
      <c r="UWN10" s="3431"/>
      <c r="UWO10" s="3431"/>
      <c r="UWP10" s="3431"/>
      <c r="UWQ10" s="3431"/>
      <c r="UWR10" s="3431"/>
      <c r="UWS10" s="3431"/>
      <c r="UWT10" s="3431"/>
      <c r="UWU10" s="3431"/>
      <c r="UWV10" s="3431"/>
      <c r="UWW10" s="3431"/>
      <c r="UWX10" s="3431"/>
      <c r="UWY10" s="3431"/>
      <c r="UWZ10" s="3431"/>
      <c r="UXA10" s="3431"/>
      <c r="UXB10" s="3431"/>
      <c r="UXC10" s="3431"/>
      <c r="UXD10" s="3431"/>
      <c r="UXE10" s="3431"/>
      <c r="UXF10" s="3431"/>
      <c r="UXG10" s="3431"/>
      <c r="UXH10" s="3431"/>
      <c r="UXI10" s="3431"/>
      <c r="UXJ10" s="3431"/>
      <c r="UXK10" s="3431"/>
      <c r="UXL10" s="3431"/>
      <c r="UXM10" s="3431"/>
      <c r="UXN10" s="3431"/>
      <c r="UXO10" s="3431"/>
      <c r="UXP10" s="3431"/>
      <c r="UXQ10" s="3431"/>
      <c r="UXR10" s="3431"/>
      <c r="UXS10" s="3431"/>
      <c r="UXT10" s="3431"/>
      <c r="UXU10" s="3431"/>
      <c r="UXV10" s="3431"/>
      <c r="UXW10" s="3431"/>
      <c r="UXX10" s="3431"/>
      <c r="UXY10" s="3431"/>
      <c r="UXZ10" s="3431"/>
      <c r="UYA10" s="3431"/>
      <c r="UYB10" s="3431"/>
      <c r="UYC10" s="3431"/>
      <c r="UYD10" s="3431"/>
      <c r="UYE10" s="3431"/>
      <c r="UYF10" s="3431"/>
      <c r="UYG10" s="3431"/>
      <c r="UYH10" s="3431"/>
      <c r="UYI10" s="3431"/>
      <c r="UYJ10" s="3431"/>
      <c r="UYK10" s="3431"/>
      <c r="UYL10" s="3431"/>
      <c r="UYM10" s="3431"/>
      <c r="UYN10" s="3431"/>
      <c r="UYO10" s="3431"/>
      <c r="UYP10" s="3431"/>
      <c r="UYQ10" s="3431"/>
      <c r="UYR10" s="3431"/>
      <c r="UYS10" s="3431"/>
      <c r="UYT10" s="3431"/>
      <c r="UYU10" s="3431"/>
      <c r="UYV10" s="3431"/>
      <c r="UYW10" s="3431"/>
      <c r="UYX10" s="3431"/>
      <c r="UYY10" s="3431"/>
      <c r="UYZ10" s="3431"/>
      <c r="UZA10" s="3431"/>
      <c r="UZB10" s="3431"/>
      <c r="UZC10" s="3431"/>
      <c r="UZD10" s="3431"/>
      <c r="UZE10" s="3431"/>
      <c r="UZF10" s="3431"/>
      <c r="UZG10" s="3431"/>
      <c r="UZH10" s="3431"/>
      <c r="UZI10" s="3431"/>
      <c r="UZJ10" s="3431"/>
      <c r="UZK10" s="3431"/>
      <c r="UZL10" s="3431"/>
      <c r="UZM10" s="3431"/>
      <c r="UZN10" s="3431"/>
      <c r="UZO10" s="3431"/>
      <c r="UZP10" s="3431"/>
      <c r="UZQ10" s="3431"/>
      <c r="UZR10" s="3431"/>
      <c r="UZS10" s="3431"/>
      <c r="UZT10" s="3431"/>
      <c r="UZU10" s="3431"/>
      <c r="UZV10" s="3431"/>
      <c r="UZW10" s="3431"/>
      <c r="UZX10" s="3431"/>
      <c r="UZY10" s="3431"/>
      <c r="UZZ10" s="3431"/>
      <c r="VAA10" s="3431"/>
      <c r="VAB10" s="3431"/>
      <c r="VAC10" s="3431"/>
      <c r="VAD10" s="3431"/>
      <c r="VAE10" s="3431"/>
      <c r="VAF10" s="3431"/>
      <c r="VAG10" s="3431"/>
      <c r="VAH10" s="3431"/>
      <c r="VAI10" s="3431"/>
      <c r="VAJ10" s="3431"/>
      <c r="VAK10" s="3431"/>
      <c r="VAL10" s="3431"/>
      <c r="VAM10" s="3431"/>
      <c r="VAN10" s="3431"/>
      <c r="VAO10" s="3431"/>
      <c r="VAP10" s="3431"/>
      <c r="VAQ10" s="3431"/>
      <c r="VAR10" s="3431"/>
      <c r="VAS10" s="3431"/>
      <c r="VAT10" s="3431"/>
      <c r="VAU10" s="3431"/>
      <c r="VAV10" s="3431"/>
      <c r="VAW10" s="3431"/>
      <c r="VAX10" s="3431"/>
      <c r="VAY10" s="3431"/>
      <c r="VAZ10" s="3431"/>
      <c r="VBA10" s="3431"/>
      <c r="VBB10" s="3431"/>
      <c r="VBC10" s="3431"/>
      <c r="VBD10" s="3431"/>
      <c r="VBE10" s="3431"/>
      <c r="VBF10" s="3431"/>
      <c r="VBG10" s="3431"/>
      <c r="VBH10" s="3431"/>
      <c r="VBI10" s="3431"/>
      <c r="VBJ10" s="3431"/>
      <c r="VBK10" s="3431"/>
      <c r="VBL10" s="3431"/>
      <c r="VBM10" s="3431"/>
      <c r="VBN10" s="3431"/>
      <c r="VBO10" s="3431"/>
      <c r="VBP10" s="3431"/>
      <c r="VBQ10" s="3431"/>
      <c r="VBR10" s="3431"/>
      <c r="VBS10" s="3431"/>
      <c r="VBT10" s="3431"/>
      <c r="VBU10" s="3431"/>
      <c r="VBV10" s="3431"/>
      <c r="VBW10" s="3431"/>
      <c r="VBX10" s="3431"/>
      <c r="VBY10" s="3431"/>
      <c r="VBZ10" s="3431"/>
      <c r="VCA10" s="3431"/>
      <c r="VCB10" s="3431"/>
      <c r="VCC10" s="3431"/>
      <c r="VCD10" s="3431"/>
      <c r="VCE10" s="3431"/>
      <c r="VCF10" s="3431"/>
      <c r="VCG10" s="3431"/>
      <c r="VCH10" s="3431"/>
      <c r="VCI10" s="3431"/>
      <c r="VCJ10" s="3431"/>
      <c r="VCK10" s="3431"/>
      <c r="VCL10" s="3431"/>
      <c r="VCM10" s="3431"/>
      <c r="VCN10" s="3431"/>
      <c r="VCO10" s="3431"/>
      <c r="VCP10" s="3431"/>
      <c r="VCQ10" s="3431"/>
      <c r="VCR10" s="3431"/>
      <c r="VCS10" s="3431"/>
      <c r="VCT10" s="3431"/>
      <c r="VCU10" s="3431"/>
      <c r="VCV10" s="3431"/>
      <c r="VCW10" s="3431"/>
      <c r="VCX10" s="3431"/>
      <c r="VCY10" s="3431"/>
      <c r="VCZ10" s="3431"/>
      <c r="VDA10" s="3431"/>
      <c r="VDB10" s="3431"/>
      <c r="VDC10" s="3431"/>
      <c r="VDD10" s="3431"/>
      <c r="VDE10" s="3431"/>
      <c r="VDF10" s="3431"/>
      <c r="VDG10" s="3431"/>
      <c r="VDH10" s="3431"/>
      <c r="VDI10" s="3431"/>
      <c r="VDJ10" s="3431"/>
      <c r="VDK10" s="3431"/>
      <c r="VDL10" s="3431"/>
      <c r="VDM10" s="3431"/>
      <c r="VDN10" s="3431"/>
      <c r="VDO10" s="3431"/>
      <c r="VDP10" s="3431"/>
      <c r="VDQ10" s="3431"/>
      <c r="VDR10" s="3431"/>
      <c r="VDS10" s="3431"/>
      <c r="VDT10" s="3431"/>
      <c r="VDU10" s="3431"/>
      <c r="VDV10" s="3431"/>
      <c r="VDW10" s="3431"/>
      <c r="VDX10" s="3431"/>
      <c r="VDY10" s="3431"/>
      <c r="VDZ10" s="3431"/>
      <c r="VEA10" s="3431"/>
      <c r="VEB10" s="3431"/>
      <c r="VEC10" s="3431"/>
      <c r="VED10" s="3431"/>
      <c r="VEE10" s="3431"/>
      <c r="VEF10" s="3431"/>
      <c r="VEG10" s="3431"/>
      <c r="VEH10" s="3431"/>
      <c r="VEI10" s="3431"/>
      <c r="VEJ10" s="3431"/>
      <c r="VEK10" s="3431"/>
      <c r="VEL10" s="3431"/>
      <c r="VEM10" s="3431"/>
      <c r="VEN10" s="3431"/>
      <c r="VEO10" s="3431"/>
      <c r="VEP10" s="3431"/>
      <c r="VEQ10" s="3431"/>
      <c r="VER10" s="3431"/>
      <c r="VES10" s="3431"/>
      <c r="VET10" s="3431"/>
      <c r="VEU10" s="3431"/>
      <c r="VEV10" s="3431"/>
      <c r="VEW10" s="3431"/>
      <c r="VEX10" s="3431"/>
      <c r="VEY10" s="3431"/>
      <c r="VEZ10" s="3431"/>
      <c r="VFA10" s="3431"/>
      <c r="VFB10" s="3431"/>
      <c r="VFC10" s="3431"/>
      <c r="VFD10" s="3431"/>
      <c r="VFE10" s="3431"/>
      <c r="VFF10" s="3431"/>
      <c r="VFG10" s="3431"/>
      <c r="VFH10" s="3431"/>
      <c r="VFI10" s="3431"/>
      <c r="VFJ10" s="3431"/>
      <c r="VFK10" s="3431"/>
      <c r="VFL10" s="3431"/>
      <c r="VFM10" s="3431"/>
      <c r="VFN10" s="3431"/>
      <c r="VFO10" s="3431"/>
      <c r="VFP10" s="3431"/>
      <c r="VFQ10" s="3431"/>
      <c r="VFR10" s="3431"/>
      <c r="VFS10" s="3431"/>
      <c r="VFT10" s="3431"/>
      <c r="VFU10" s="3431"/>
      <c r="VFV10" s="3431"/>
      <c r="VFW10" s="3431"/>
      <c r="VFX10" s="3431"/>
      <c r="VFY10" s="3431"/>
      <c r="VFZ10" s="3431"/>
      <c r="VGA10" s="3431"/>
      <c r="VGB10" s="3431"/>
      <c r="VGC10" s="3431"/>
      <c r="VGD10" s="3431"/>
      <c r="VGE10" s="3431"/>
      <c r="VGF10" s="3431"/>
      <c r="VGG10" s="3431"/>
      <c r="VGH10" s="3431"/>
      <c r="VGI10" s="3431"/>
      <c r="VGJ10" s="3431"/>
      <c r="VGK10" s="3431"/>
      <c r="VGL10" s="3431"/>
      <c r="VGM10" s="3431"/>
      <c r="VGN10" s="3431"/>
      <c r="VGO10" s="3431"/>
      <c r="VGP10" s="3431"/>
      <c r="VGQ10" s="3431"/>
      <c r="VGR10" s="3431"/>
      <c r="VGS10" s="3431"/>
      <c r="VGT10" s="3431"/>
      <c r="VGU10" s="3431"/>
      <c r="VGV10" s="3431"/>
      <c r="VGW10" s="3431"/>
      <c r="VGX10" s="3431"/>
      <c r="VGY10" s="3431"/>
      <c r="VGZ10" s="3431"/>
      <c r="VHA10" s="3431"/>
      <c r="VHB10" s="3431"/>
      <c r="VHC10" s="3431"/>
      <c r="VHD10" s="3431"/>
      <c r="VHE10" s="3431"/>
      <c r="VHF10" s="3431"/>
      <c r="VHG10" s="3431"/>
      <c r="VHH10" s="3431"/>
      <c r="VHI10" s="3431"/>
      <c r="VHJ10" s="3431"/>
      <c r="VHK10" s="3431"/>
      <c r="VHL10" s="3431"/>
      <c r="VHM10" s="3431"/>
      <c r="VHN10" s="3431"/>
      <c r="VHO10" s="3431"/>
      <c r="VHP10" s="3431"/>
      <c r="VHQ10" s="3431"/>
      <c r="VHR10" s="3431"/>
      <c r="VHS10" s="3431"/>
      <c r="VHT10" s="3431"/>
      <c r="VHU10" s="3431"/>
      <c r="VHV10" s="3431"/>
      <c r="VHW10" s="3431"/>
      <c r="VHX10" s="3431"/>
      <c r="VHY10" s="3431"/>
      <c r="VHZ10" s="3431"/>
      <c r="VIA10" s="3431"/>
      <c r="VIB10" s="3431"/>
      <c r="VIC10" s="3431"/>
      <c r="VID10" s="3431"/>
      <c r="VIE10" s="3431"/>
      <c r="VIF10" s="3431"/>
      <c r="VIG10" s="3431"/>
      <c r="VIH10" s="3431"/>
      <c r="VII10" s="3431"/>
      <c r="VIJ10" s="3431"/>
      <c r="VIK10" s="3431"/>
      <c r="VIL10" s="3431"/>
      <c r="VIM10" s="3431"/>
      <c r="VIN10" s="3431"/>
      <c r="VIO10" s="3431"/>
      <c r="VIP10" s="3431"/>
      <c r="VIQ10" s="3431"/>
      <c r="VIR10" s="3431"/>
      <c r="VIS10" s="3431"/>
      <c r="VIT10" s="3431"/>
      <c r="VIU10" s="3431"/>
      <c r="VIV10" s="3431"/>
      <c r="VIW10" s="3431"/>
      <c r="VIX10" s="3431"/>
      <c r="VIY10" s="3431"/>
      <c r="VIZ10" s="3431"/>
      <c r="VJA10" s="3431"/>
      <c r="VJB10" s="3431"/>
      <c r="VJC10" s="3431"/>
      <c r="VJD10" s="3431"/>
      <c r="VJE10" s="3431"/>
      <c r="VJF10" s="3431"/>
      <c r="VJG10" s="3431"/>
      <c r="VJH10" s="3431"/>
      <c r="VJI10" s="3431"/>
      <c r="VJJ10" s="3431"/>
      <c r="VJK10" s="3431"/>
      <c r="VJL10" s="3431"/>
      <c r="VJM10" s="3431"/>
      <c r="VJN10" s="3431"/>
      <c r="VJO10" s="3431"/>
      <c r="VJP10" s="3431"/>
      <c r="VJQ10" s="3431"/>
      <c r="VJR10" s="3431"/>
      <c r="VJS10" s="3431"/>
      <c r="VJT10" s="3431"/>
      <c r="VJU10" s="3431"/>
      <c r="VJV10" s="3431"/>
      <c r="VJW10" s="3431"/>
      <c r="VJX10" s="3431"/>
      <c r="VJY10" s="3431"/>
      <c r="VJZ10" s="3431"/>
      <c r="VKA10" s="3431"/>
      <c r="VKB10" s="3431"/>
      <c r="VKC10" s="3431"/>
      <c r="VKD10" s="3431"/>
      <c r="VKE10" s="3431"/>
      <c r="VKF10" s="3431"/>
      <c r="VKG10" s="3431"/>
      <c r="VKH10" s="3431"/>
      <c r="VKI10" s="3431"/>
      <c r="VKJ10" s="3431"/>
      <c r="VKK10" s="3431"/>
      <c r="VKL10" s="3431"/>
      <c r="VKM10" s="3431"/>
      <c r="VKN10" s="3431"/>
      <c r="VKO10" s="3431"/>
      <c r="VKP10" s="3431"/>
      <c r="VKQ10" s="3431"/>
      <c r="VKR10" s="3431"/>
      <c r="VKS10" s="3431"/>
      <c r="VKT10" s="3431"/>
      <c r="VKU10" s="3431"/>
      <c r="VKV10" s="3431"/>
      <c r="VKW10" s="3431"/>
      <c r="VKX10" s="3431"/>
      <c r="VKY10" s="3431"/>
      <c r="VKZ10" s="3431"/>
      <c r="VLA10" s="3431"/>
      <c r="VLB10" s="3431"/>
      <c r="VLC10" s="3431"/>
      <c r="VLD10" s="3431"/>
      <c r="VLE10" s="3431"/>
      <c r="VLF10" s="3431"/>
      <c r="VLG10" s="3431"/>
      <c r="VLH10" s="3431"/>
      <c r="VLI10" s="3431"/>
      <c r="VLJ10" s="3431"/>
      <c r="VLK10" s="3431"/>
      <c r="VLL10" s="3431"/>
      <c r="VLM10" s="3431"/>
      <c r="VLN10" s="3431"/>
      <c r="VLO10" s="3431"/>
      <c r="VLP10" s="3431"/>
      <c r="VLQ10" s="3431"/>
      <c r="VLR10" s="3431"/>
      <c r="VLS10" s="3431"/>
      <c r="VLT10" s="3431"/>
      <c r="VLU10" s="3431"/>
      <c r="VLV10" s="3431"/>
      <c r="VLW10" s="3431"/>
      <c r="VLX10" s="3431"/>
      <c r="VLY10" s="3431"/>
      <c r="VLZ10" s="3431"/>
      <c r="VMA10" s="3431"/>
      <c r="VMB10" s="3431"/>
      <c r="VMC10" s="3431"/>
      <c r="VMD10" s="3431"/>
      <c r="VME10" s="3431"/>
      <c r="VMF10" s="3431"/>
      <c r="VMG10" s="3431"/>
      <c r="VMH10" s="3431"/>
      <c r="VMI10" s="3431"/>
      <c r="VMJ10" s="3431"/>
      <c r="VMK10" s="3431"/>
      <c r="VML10" s="3431"/>
      <c r="VMM10" s="3431"/>
      <c r="VMN10" s="3431"/>
      <c r="VMO10" s="3431"/>
      <c r="VMP10" s="3431"/>
      <c r="VMQ10" s="3431"/>
      <c r="VMR10" s="3431"/>
      <c r="VMS10" s="3431"/>
      <c r="VMT10" s="3431"/>
      <c r="VMU10" s="3431"/>
      <c r="VMV10" s="3431"/>
      <c r="VMW10" s="3431"/>
      <c r="VMX10" s="3431"/>
      <c r="VMY10" s="3431"/>
      <c r="VMZ10" s="3431"/>
      <c r="VNA10" s="3431"/>
      <c r="VNB10" s="3431"/>
      <c r="VNC10" s="3431"/>
      <c r="VND10" s="3431"/>
      <c r="VNE10" s="3431"/>
      <c r="VNF10" s="3431"/>
      <c r="VNG10" s="3431"/>
      <c r="VNH10" s="3431"/>
      <c r="VNI10" s="3431"/>
      <c r="VNJ10" s="3431"/>
      <c r="VNK10" s="3431"/>
      <c r="VNL10" s="3431"/>
      <c r="VNM10" s="3431"/>
      <c r="VNN10" s="3431"/>
      <c r="VNO10" s="3431"/>
      <c r="VNP10" s="3431"/>
      <c r="VNQ10" s="3431"/>
      <c r="VNR10" s="3431"/>
      <c r="VNS10" s="3431"/>
      <c r="VNT10" s="3431"/>
      <c r="VNU10" s="3431"/>
      <c r="VNV10" s="3431"/>
      <c r="VNW10" s="3431"/>
      <c r="VNX10" s="3431"/>
      <c r="VNY10" s="3431"/>
      <c r="VNZ10" s="3431"/>
      <c r="VOA10" s="3431"/>
      <c r="VOB10" s="3431"/>
      <c r="VOC10" s="3431"/>
      <c r="VOD10" s="3431"/>
      <c r="VOE10" s="3431"/>
      <c r="VOF10" s="3431"/>
      <c r="VOG10" s="3431"/>
      <c r="VOH10" s="3431"/>
      <c r="VOI10" s="3431"/>
      <c r="VOJ10" s="3431"/>
      <c r="VOK10" s="3431"/>
      <c r="VOL10" s="3431"/>
      <c r="VOM10" s="3431"/>
      <c r="VON10" s="3431"/>
      <c r="VOO10" s="3431"/>
      <c r="VOP10" s="3431"/>
      <c r="VOQ10" s="3431"/>
      <c r="VOR10" s="3431"/>
      <c r="VOS10" s="3431"/>
      <c r="VOT10" s="3431"/>
      <c r="VOU10" s="3431"/>
      <c r="VOV10" s="3431"/>
      <c r="VOW10" s="3431"/>
      <c r="VOX10" s="3431"/>
      <c r="VOY10" s="3431"/>
      <c r="VOZ10" s="3431"/>
      <c r="VPA10" s="3431"/>
      <c r="VPB10" s="3431"/>
      <c r="VPC10" s="3431"/>
      <c r="VPD10" s="3431"/>
      <c r="VPE10" s="3431"/>
      <c r="VPF10" s="3431"/>
      <c r="VPG10" s="3431"/>
      <c r="VPH10" s="3431"/>
      <c r="VPI10" s="3431"/>
      <c r="VPJ10" s="3431"/>
      <c r="VPK10" s="3431"/>
      <c r="VPL10" s="3431"/>
      <c r="VPM10" s="3431"/>
      <c r="VPN10" s="3431"/>
      <c r="VPO10" s="3431"/>
      <c r="VPP10" s="3431"/>
      <c r="VPQ10" s="3431"/>
      <c r="VPR10" s="3431"/>
      <c r="VPS10" s="3431"/>
      <c r="VPT10" s="3431"/>
      <c r="VPU10" s="3431"/>
      <c r="VPV10" s="3431"/>
      <c r="VPW10" s="3431"/>
      <c r="VPX10" s="3431"/>
      <c r="VPY10" s="3431"/>
      <c r="VPZ10" s="3431"/>
      <c r="VQA10" s="3431"/>
      <c r="VQB10" s="3431"/>
      <c r="VQC10" s="3431"/>
      <c r="VQD10" s="3431"/>
      <c r="VQE10" s="3431"/>
      <c r="VQF10" s="3431"/>
      <c r="VQG10" s="3431"/>
      <c r="VQH10" s="3431"/>
      <c r="VQI10" s="3431"/>
      <c r="VQJ10" s="3431"/>
      <c r="VQK10" s="3431"/>
      <c r="VQL10" s="3431"/>
      <c r="VQM10" s="3431"/>
      <c r="VQN10" s="3431"/>
      <c r="VQO10" s="3431"/>
      <c r="VQP10" s="3431"/>
      <c r="VQQ10" s="3431"/>
      <c r="VQR10" s="3431"/>
      <c r="VQS10" s="3431"/>
      <c r="VQT10" s="3431"/>
      <c r="VQU10" s="3431"/>
      <c r="VQV10" s="3431"/>
      <c r="VQW10" s="3431"/>
      <c r="VQX10" s="3431"/>
      <c r="VQY10" s="3431"/>
      <c r="VQZ10" s="3431"/>
      <c r="VRA10" s="3431"/>
      <c r="VRB10" s="3431"/>
      <c r="VRC10" s="3431"/>
      <c r="VRD10" s="3431"/>
      <c r="VRE10" s="3431"/>
      <c r="VRF10" s="3431"/>
      <c r="VRG10" s="3431"/>
      <c r="VRH10" s="3431"/>
      <c r="VRI10" s="3431"/>
      <c r="VRJ10" s="3431"/>
      <c r="VRK10" s="3431"/>
      <c r="VRL10" s="3431"/>
      <c r="VRM10" s="3431"/>
      <c r="VRN10" s="3431"/>
      <c r="VRO10" s="3431"/>
      <c r="VRP10" s="3431"/>
      <c r="VRQ10" s="3431"/>
      <c r="VRR10" s="3431"/>
      <c r="VRS10" s="3431"/>
      <c r="VRT10" s="3431"/>
      <c r="VRU10" s="3431"/>
      <c r="VRV10" s="3431"/>
      <c r="VRW10" s="3431"/>
      <c r="VRX10" s="3431"/>
      <c r="VRY10" s="3431"/>
      <c r="VRZ10" s="3431"/>
      <c r="VSA10" s="3431"/>
      <c r="VSB10" s="3431"/>
      <c r="VSC10" s="3431"/>
      <c r="VSD10" s="3431"/>
      <c r="VSE10" s="3431"/>
      <c r="VSF10" s="3431"/>
      <c r="VSG10" s="3431"/>
      <c r="VSH10" s="3431"/>
      <c r="VSI10" s="3431"/>
      <c r="VSJ10" s="3431"/>
      <c r="VSK10" s="3431"/>
      <c r="VSL10" s="3431"/>
      <c r="VSM10" s="3431"/>
      <c r="VSN10" s="3431"/>
      <c r="VSO10" s="3431"/>
      <c r="VSP10" s="3431"/>
      <c r="VSQ10" s="3431"/>
      <c r="VSR10" s="3431"/>
      <c r="VSS10" s="3431"/>
      <c r="VST10" s="3431"/>
      <c r="VSU10" s="3431"/>
      <c r="VSV10" s="3431"/>
      <c r="VSW10" s="3431"/>
      <c r="VSX10" s="3431"/>
      <c r="VSY10" s="3431"/>
      <c r="VSZ10" s="3431"/>
      <c r="VTA10" s="3431"/>
      <c r="VTB10" s="3431"/>
      <c r="VTC10" s="3431"/>
      <c r="VTD10" s="3431"/>
      <c r="VTE10" s="3431"/>
      <c r="VTF10" s="3431"/>
      <c r="VTG10" s="3431"/>
      <c r="VTH10" s="3431"/>
      <c r="VTI10" s="3431"/>
      <c r="VTJ10" s="3431"/>
      <c r="VTK10" s="3431"/>
      <c r="VTL10" s="3431"/>
      <c r="VTM10" s="3431"/>
      <c r="VTN10" s="3431"/>
      <c r="VTO10" s="3431"/>
      <c r="VTP10" s="3431"/>
      <c r="VTQ10" s="3431"/>
      <c r="VTR10" s="3431"/>
      <c r="VTS10" s="3431"/>
      <c r="VTT10" s="3431"/>
      <c r="VTU10" s="3431"/>
      <c r="VTV10" s="3431"/>
      <c r="VTW10" s="3431"/>
      <c r="VTX10" s="3431"/>
      <c r="VTY10" s="3431"/>
      <c r="VTZ10" s="3431"/>
      <c r="VUA10" s="3431"/>
      <c r="VUB10" s="3431"/>
      <c r="VUC10" s="3431"/>
      <c r="VUD10" s="3431"/>
      <c r="VUE10" s="3431"/>
      <c r="VUF10" s="3431"/>
      <c r="VUG10" s="3431"/>
      <c r="VUH10" s="3431"/>
      <c r="VUI10" s="3431"/>
      <c r="VUJ10" s="3431"/>
      <c r="VUK10" s="3431"/>
      <c r="VUL10" s="3431"/>
      <c r="VUM10" s="3431"/>
      <c r="VUN10" s="3431"/>
      <c r="VUO10" s="3431"/>
      <c r="VUP10" s="3431"/>
      <c r="VUQ10" s="3431"/>
      <c r="VUR10" s="3431"/>
      <c r="VUS10" s="3431"/>
      <c r="VUT10" s="3431"/>
      <c r="VUU10" s="3431"/>
      <c r="VUV10" s="3431"/>
      <c r="VUW10" s="3431"/>
      <c r="VUX10" s="3431"/>
      <c r="VUY10" s="3431"/>
      <c r="VUZ10" s="3431"/>
      <c r="VVA10" s="3431"/>
      <c r="VVB10" s="3431"/>
      <c r="VVC10" s="3431"/>
      <c r="VVD10" s="3431"/>
      <c r="VVE10" s="3431"/>
      <c r="VVF10" s="3431"/>
      <c r="VVG10" s="3431"/>
      <c r="VVH10" s="3431"/>
      <c r="VVI10" s="3431"/>
      <c r="VVJ10" s="3431"/>
      <c r="VVK10" s="3431"/>
      <c r="VVL10" s="3431"/>
      <c r="VVM10" s="3431"/>
      <c r="VVN10" s="3431"/>
      <c r="VVO10" s="3431"/>
      <c r="VVP10" s="3431"/>
      <c r="VVQ10" s="3431"/>
      <c r="VVR10" s="3431"/>
      <c r="VVS10" s="3431"/>
      <c r="VVT10" s="3431"/>
      <c r="VVU10" s="3431"/>
      <c r="VVV10" s="3431"/>
      <c r="VVW10" s="3431"/>
      <c r="VVX10" s="3431"/>
      <c r="VVY10" s="3431"/>
      <c r="VVZ10" s="3431"/>
      <c r="VWA10" s="3431"/>
      <c r="VWB10" s="3431"/>
      <c r="VWC10" s="3431"/>
      <c r="VWD10" s="3431"/>
      <c r="VWE10" s="3431"/>
      <c r="VWF10" s="3431"/>
      <c r="VWG10" s="3431"/>
      <c r="VWH10" s="3431"/>
      <c r="VWI10" s="3431"/>
      <c r="VWJ10" s="3431"/>
      <c r="VWK10" s="3431"/>
      <c r="VWL10" s="3431"/>
      <c r="VWM10" s="3431"/>
      <c r="VWN10" s="3431"/>
      <c r="VWO10" s="3431"/>
      <c r="VWP10" s="3431"/>
      <c r="VWQ10" s="3431"/>
      <c r="VWR10" s="3431"/>
      <c r="VWS10" s="3431"/>
      <c r="VWT10" s="3431"/>
      <c r="VWU10" s="3431"/>
      <c r="VWV10" s="3431"/>
      <c r="VWW10" s="3431"/>
      <c r="VWX10" s="3431"/>
      <c r="VWY10" s="3431"/>
      <c r="VWZ10" s="3431"/>
      <c r="VXA10" s="3431"/>
      <c r="VXB10" s="3431"/>
      <c r="VXC10" s="3431"/>
      <c r="VXD10" s="3431"/>
      <c r="VXE10" s="3431"/>
      <c r="VXF10" s="3431"/>
      <c r="VXG10" s="3431"/>
      <c r="VXH10" s="3431"/>
      <c r="VXI10" s="3431"/>
      <c r="VXJ10" s="3431"/>
      <c r="VXK10" s="3431"/>
      <c r="VXL10" s="3431"/>
      <c r="VXM10" s="3431"/>
      <c r="VXN10" s="3431"/>
      <c r="VXO10" s="3431"/>
      <c r="VXP10" s="3431"/>
      <c r="VXQ10" s="3431"/>
      <c r="VXR10" s="3431"/>
      <c r="VXS10" s="3431"/>
      <c r="VXT10" s="3431"/>
      <c r="VXU10" s="3431"/>
      <c r="VXV10" s="3431"/>
      <c r="VXW10" s="3431"/>
      <c r="VXX10" s="3431"/>
      <c r="VXY10" s="3431"/>
      <c r="VXZ10" s="3431"/>
      <c r="VYA10" s="3431"/>
      <c r="VYB10" s="3431"/>
      <c r="VYC10" s="3431"/>
      <c r="VYD10" s="3431"/>
      <c r="VYE10" s="3431"/>
      <c r="VYF10" s="3431"/>
      <c r="VYG10" s="3431"/>
      <c r="VYH10" s="3431"/>
      <c r="VYI10" s="3431"/>
      <c r="VYJ10" s="3431"/>
      <c r="VYK10" s="3431"/>
      <c r="VYL10" s="3431"/>
      <c r="VYM10" s="3431"/>
      <c r="VYN10" s="3431"/>
      <c r="VYO10" s="3431"/>
      <c r="VYP10" s="3431"/>
      <c r="VYQ10" s="3431"/>
      <c r="VYR10" s="3431"/>
      <c r="VYS10" s="3431"/>
      <c r="VYT10" s="3431"/>
      <c r="VYU10" s="3431"/>
      <c r="VYV10" s="3431"/>
      <c r="VYW10" s="3431"/>
      <c r="VYX10" s="3431"/>
      <c r="VYY10" s="3431"/>
      <c r="VYZ10" s="3431"/>
      <c r="VZA10" s="3431"/>
      <c r="VZB10" s="3431"/>
      <c r="VZC10" s="3431"/>
      <c r="VZD10" s="3431"/>
      <c r="VZE10" s="3431"/>
      <c r="VZF10" s="3431"/>
      <c r="VZG10" s="3431"/>
      <c r="VZH10" s="3431"/>
      <c r="VZI10" s="3431"/>
      <c r="VZJ10" s="3431"/>
      <c r="VZK10" s="3431"/>
      <c r="VZL10" s="3431"/>
      <c r="VZM10" s="3431"/>
      <c r="VZN10" s="3431"/>
      <c r="VZO10" s="3431"/>
      <c r="VZP10" s="3431"/>
      <c r="VZQ10" s="3431"/>
      <c r="VZR10" s="3431"/>
      <c r="VZS10" s="3431"/>
      <c r="VZT10" s="3431"/>
      <c r="VZU10" s="3431"/>
      <c r="VZV10" s="3431"/>
      <c r="VZW10" s="3431"/>
      <c r="VZX10" s="3431"/>
      <c r="VZY10" s="3431"/>
      <c r="VZZ10" s="3431"/>
      <c r="WAA10" s="3431"/>
      <c r="WAB10" s="3431"/>
      <c r="WAC10" s="3431"/>
      <c r="WAD10" s="3431"/>
      <c r="WAE10" s="3431"/>
      <c r="WAF10" s="3431"/>
      <c r="WAG10" s="3431"/>
      <c r="WAH10" s="3431"/>
      <c r="WAI10" s="3431"/>
      <c r="WAJ10" s="3431"/>
      <c r="WAK10" s="3431"/>
      <c r="WAL10" s="3431"/>
      <c r="WAM10" s="3431"/>
      <c r="WAN10" s="3431"/>
      <c r="WAO10" s="3431"/>
      <c r="WAP10" s="3431"/>
      <c r="WAQ10" s="3431"/>
      <c r="WAR10" s="3431"/>
      <c r="WAS10" s="3431"/>
      <c r="WAT10" s="3431"/>
      <c r="WAU10" s="3431"/>
      <c r="WAV10" s="3431"/>
      <c r="WAW10" s="3431"/>
      <c r="WAX10" s="3431"/>
      <c r="WAY10" s="3431"/>
      <c r="WAZ10" s="3431"/>
      <c r="WBA10" s="3431"/>
      <c r="WBB10" s="3431"/>
      <c r="WBC10" s="3431"/>
      <c r="WBD10" s="3431"/>
      <c r="WBE10" s="3431"/>
      <c r="WBF10" s="3431"/>
      <c r="WBG10" s="3431"/>
      <c r="WBH10" s="3431"/>
      <c r="WBI10" s="3431"/>
      <c r="WBJ10" s="3431"/>
      <c r="WBK10" s="3431"/>
      <c r="WBL10" s="3431"/>
      <c r="WBM10" s="3431"/>
      <c r="WBN10" s="3431"/>
      <c r="WBO10" s="3431"/>
      <c r="WBP10" s="3431"/>
      <c r="WBQ10" s="3431"/>
      <c r="WBR10" s="3431"/>
      <c r="WBS10" s="3431"/>
      <c r="WBT10" s="3431"/>
      <c r="WBU10" s="3431"/>
      <c r="WBV10" s="3431"/>
      <c r="WBW10" s="3431"/>
      <c r="WBX10" s="3431"/>
      <c r="WBY10" s="3431"/>
      <c r="WBZ10" s="3431"/>
      <c r="WCA10" s="3431"/>
      <c r="WCB10" s="3431"/>
      <c r="WCC10" s="3431"/>
      <c r="WCD10" s="3431"/>
      <c r="WCE10" s="3431"/>
      <c r="WCF10" s="3431"/>
      <c r="WCG10" s="3431"/>
      <c r="WCH10" s="3431"/>
      <c r="WCI10" s="3431"/>
      <c r="WCJ10" s="3431"/>
      <c r="WCK10" s="3431"/>
      <c r="WCL10" s="3431"/>
      <c r="WCM10" s="3431"/>
      <c r="WCN10" s="3431"/>
      <c r="WCO10" s="3431"/>
      <c r="WCP10" s="3431"/>
      <c r="WCQ10" s="3431"/>
      <c r="WCR10" s="3431"/>
      <c r="WCS10" s="3431"/>
      <c r="WCT10" s="3431"/>
      <c r="WCU10" s="3431"/>
      <c r="WCV10" s="3431"/>
      <c r="WCW10" s="3431"/>
      <c r="WCX10" s="3431"/>
      <c r="WCY10" s="3431"/>
      <c r="WCZ10" s="3431"/>
      <c r="WDA10" s="3431"/>
      <c r="WDB10" s="3431"/>
      <c r="WDC10" s="3431"/>
      <c r="WDD10" s="3431"/>
      <c r="WDE10" s="3431"/>
      <c r="WDF10" s="3431"/>
      <c r="WDG10" s="3431"/>
      <c r="WDH10" s="3431"/>
      <c r="WDI10" s="3431"/>
      <c r="WDJ10" s="3431"/>
      <c r="WDK10" s="3431"/>
      <c r="WDL10" s="3431"/>
      <c r="WDM10" s="3431"/>
      <c r="WDN10" s="3431"/>
      <c r="WDO10" s="3431"/>
      <c r="WDP10" s="3431"/>
      <c r="WDQ10" s="3431"/>
      <c r="WDR10" s="3431"/>
      <c r="WDS10" s="3431"/>
      <c r="WDT10" s="3431"/>
      <c r="WDU10" s="3431"/>
      <c r="WDV10" s="3431"/>
      <c r="WDW10" s="3431"/>
      <c r="WDX10" s="3431"/>
      <c r="WDY10" s="3431"/>
      <c r="WDZ10" s="3431"/>
      <c r="WEA10" s="3431"/>
      <c r="WEB10" s="3431"/>
      <c r="WEC10" s="3431"/>
      <c r="WED10" s="3431"/>
      <c r="WEE10" s="3431"/>
      <c r="WEF10" s="3431"/>
      <c r="WEG10" s="3431"/>
      <c r="WEH10" s="3431"/>
      <c r="WEI10" s="3431"/>
      <c r="WEJ10" s="3431"/>
      <c r="WEK10" s="3431"/>
      <c r="WEL10" s="3431"/>
      <c r="WEM10" s="3431"/>
      <c r="WEN10" s="3431"/>
      <c r="WEO10" s="3431"/>
      <c r="WEP10" s="3431"/>
      <c r="WEQ10" s="3431"/>
      <c r="WER10" s="3431"/>
      <c r="WES10" s="3431"/>
      <c r="WET10" s="3431"/>
      <c r="WEU10" s="3431"/>
      <c r="WEV10" s="3431"/>
      <c r="WEW10" s="3431"/>
      <c r="WEX10" s="3431"/>
      <c r="WEY10" s="3431"/>
      <c r="WEZ10" s="3431"/>
      <c r="WFA10" s="3431"/>
      <c r="WFB10" s="3431"/>
      <c r="WFC10" s="3431"/>
      <c r="WFD10" s="3431"/>
      <c r="WFE10" s="3431"/>
      <c r="WFF10" s="3431"/>
      <c r="WFG10" s="3431"/>
      <c r="WFH10" s="3431"/>
      <c r="WFI10" s="3431"/>
      <c r="WFJ10" s="3431"/>
      <c r="WFK10" s="3431"/>
      <c r="WFL10" s="3431"/>
      <c r="WFM10" s="3431"/>
      <c r="WFN10" s="3431"/>
      <c r="WFO10" s="3431"/>
      <c r="WFP10" s="3431"/>
      <c r="WFQ10" s="3431"/>
      <c r="WFR10" s="3431"/>
      <c r="WFS10" s="3431"/>
      <c r="WFT10" s="3431"/>
      <c r="WFU10" s="3431"/>
      <c r="WFV10" s="3431"/>
      <c r="WFW10" s="3431"/>
      <c r="WFX10" s="3431"/>
      <c r="WFY10" s="3431"/>
      <c r="WFZ10" s="3431"/>
      <c r="WGA10" s="3431"/>
      <c r="WGB10" s="3431"/>
      <c r="WGC10" s="3431"/>
      <c r="WGD10" s="3431"/>
      <c r="WGE10" s="3431"/>
      <c r="WGF10" s="3431"/>
      <c r="WGG10" s="3431"/>
      <c r="WGH10" s="3431"/>
      <c r="WGI10" s="3431"/>
      <c r="WGJ10" s="3431"/>
      <c r="WGK10" s="3431"/>
      <c r="WGL10" s="3431"/>
      <c r="WGM10" s="3431"/>
      <c r="WGN10" s="3431"/>
      <c r="WGO10" s="3431"/>
      <c r="WGP10" s="3431"/>
      <c r="WGQ10" s="3431"/>
      <c r="WGR10" s="3431"/>
      <c r="WGS10" s="3431"/>
      <c r="WGT10" s="3431"/>
      <c r="WGU10" s="3431"/>
      <c r="WGV10" s="3431"/>
      <c r="WGW10" s="3431"/>
      <c r="WGX10" s="3431"/>
      <c r="WGY10" s="3431"/>
      <c r="WGZ10" s="3431"/>
      <c r="WHA10" s="3431"/>
      <c r="WHB10" s="3431"/>
      <c r="WHC10" s="3431"/>
      <c r="WHD10" s="3431"/>
      <c r="WHE10" s="3431"/>
      <c r="WHF10" s="3431"/>
      <c r="WHG10" s="3431"/>
      <c r="WHH10" s="3431"/>
      <c r="WHI10" s="3431"/>
      <c r="WHJ10" s="3431"/>
      <c r="WHK10" s="3431"/>
      <c r="WHL10" s="3431"/>
      <c r="WHM10" s="3431"/>
      <c r="WHN10" s="3431"/>
      <c r="WHO10" s="3431"/>
      <c r="WHP10" s="3431"/>
      <c r="WHQ10" s="3431"/>
      <c r="WHR10" s="3431"/>
      <c r="WHS10" s="3431"/>
      <c r="WHT10" s="3431"/>
      <c r="WHU10" s="3431"/>
      <c r="WHV10" s="3431"/>
      <c r="WHW10" s="3431"/>
      <c r="WHX10" s="3431"/>
      <c r="WHY10" s="3431"/>
      <c r="WHZ10" s="3431"/>
      <c r="WIA10" s="3431"/>
      <c r="WIB10" s="3431"/>
      <c r="WIC10" s="3431"/>
      <c r="WID10" s="3431"/>
      <c r="WIE10" s="3431"/>
      <c r="WIF10" s="3431"/>
      <c r="WIG10" s="3431"/>
      <c r="WIH10" s="3431"/>
      <c r="WII10" s="3431"/>
      <c r="WIJ10" s="3431"/>
      <c r="WIK10" s="3431"/>
      <c r="WIL10" s="3431"/>
      <c r="WIM10" s="3431"/>
      <c r="WIN10" s="3431"/>
      <c r="WIO10" s="3431"/>
      <c r="WIP10" s="3431"/>
      <c r="WIQ10" s="3431"/>
      <c r="WIR10" s="3431"/>
      <c r="WIS10" s="3431"/>
      <c r="WIT10" s="3431"/>
      <c r="WIU10" s="3431"/>
      <c r="WIV10" s="3431"/>
      <c r="WIW10" s="3431"/>
      <c r="WIX10" s="3431"/>
      <c r="WIY10" s="3431"/>
      <c r="WIZ10" s="3431"/>
      <c r="WJA10" s="3431"/>
      <c r="WJB10" s="3431"/>
      <c r="WJC10" s="3431"/>
      <c r="WJD10" s="3431"/>
      <c r="WJE10" s="3431"/>
      <c r="WJF10" s="3431"/>
      <c r="WJG10" s="3431"/>
      <c r="WJH10" s="3431"/>
      <c r="WJI10" s="3431"/>
      <c r="WJJ10" s="3431"/>
      <c r="WJK10" s="3431"/>
      <c r="WJL10" s="3431"/>
      <c r="WJM10" s="3431"/>
      <c r="WJN10" s="3431"/>
      <c r="WJO10" s="3431"/>
      <c r="WJP10" s="3431"/>
      <c r="WJQ10" s="3431"/>
      <c r="WJR10" s="3431"/>
      <c r="WJS10" s="3431"/>
      <c r="WJT10" s="3431"/>
      <c r="WJU10" s="3431"/>
      <c r="WJV10" s="3431"/>
      <c r="WJW10" s="3431"/>
      <c r="WJX10" s="3431"/>
      <c r="WJY10" s="3431"/>
      <c r="WJZ10" s="3431"/>
      <c r="WKA10" s="3431"/>
      <c r="WKB10" s="3431"/>
      <c r="WKC10" s="3431"/>
      <c r="WKD10" s="3431"/>
      <c r="WKE10" s="3431"/>
      <c r="WKF10" s="3431"/>
      <c r="WKG10" s="3431"/>
      <c r="WKH10" s="3431"/>
      <c r="WKI10" s="3431"/>
      <c r="WKJ10" s="3431"/>
      <c r="WKK10" s="3431"/>
      <c r="WKL10" s="3431"/>
      <c r="WKM10" s="3431"/>
      <c r="WKN10" s="3431"/>
      <c r="WKO10" s="3431"/>
      <c r="WKP10" s="3431"/>
      <c r="WKQ10" s="3431"/>
      <c r="WKR10" s="3431"/>
      <c r="WKS10" s="3431"/>
      <c r="WKT10" s="3431"/>
      <c r="WKU10" s="3431"/>
      <c r="WKV10" s="3431"/>
      <c r="WKW10" s="3431"/>
      <c r="WKX10" s="3431"/>
      <c r="WKY10" s="3431"/>
      <c r="WKZ10" s="3431"/>
      <c r="WLA10" s="3431"/>
      <c r="WLB10" s="3431"/>
      <c r="WLC10" s="3431"/>
      <c r="WLD10" s="3431"/>
      <c r="WLE10" s="3431"/>
      <c r="WLF10" s="3431"/>
      <c r="WLG10" s="3431"/>
      <c r="WLH10" s="3431"/>
      <c r="WLI10" s="3431"/>
      <c r="WLJ10" s="3431"/>
      <c r="WLK10" s="3431"/>
      <c r="WLL10" s="3431"/>
      <c r="WLM10" s="3431"/>
      <c r="WLN10" s="3431"/>
      <c r="WLO10" s="3431"/>
      <c r="WLP10" s="3431"/>
      <c r="WLQ10" s="3431"/>
      <c r="WLR10" s="3431"/>
      <c r="WLS10" s="3431"/>
      <c r="WLT10" s="3431"/>
      <c r="WLU10" s="3431"/>
      <c r="WLV10" s="3431"/>
      <c r="WLW10" s="3431"/>
      <c r="WLX10" s="3431"/>
      <c r="WLY10" s="3431"/>
      <c r="WLZ10" s="3431"/>
      <c r="WMA10" s="3431"/>
      <c r="WMB10" s="3431"/>
      <c r="WMC10" s="3431"/>
      <c r="WMD10" s="3431"/>
      <c r="WME10" s="3431"/>
      <c r="WMF10" s="3431"/>
      <c r="WMG10" s="3431"/>
      <c r="WMH10" s="3431"/>
      <c r="WMI10" s="3431"/>
      <c r="WMJ10" s="3431"/>
      <c r="WMK10" s="3431"/>
      <c r="WML10" s="3431"/>
      <c r="WMM10" s="3431"/>
      <c r="WMN10" s="3431"/>
      <c r="WMO10" s="3431"/>
      <c r="WMP10" s="3431"/>
      <c r="WMQ10" s="3431"/>
      <c r="WMR10" s="3431"/>
      <c r="WMS10" s="3431"/>
      <c r="WMT10" s="3431"/>
      <c r="WMU10" s="3431"/>
      <c r="WMV10" s="3431"/>
      <c r="WMW10" s="3431"/>
      <c r="WMX10" s="3431"/>
      <c r="WMY10" s="3431"/>
      <c r="WMZ10" s="3431"/>
      <c r="WNA10" s="3431"/>
      <c r="WNB10" s="3431"/>
      <c r="WNC10" s="3431"/>
      <c r="WND10" s="3431"/>
      <c r="WNE10" s="3431"/>
      <c r="WNF10" s="3431"/>
      <c r="WNG10" s="3431"/>
      <c r="WNH10" s="3431"/>
      <c r="WNI10" s="3431"/>
      <c r="WNJ10" s="3431"/>
      <c r="WNK10" s="3431"/>
      <c r="WNL10" s="3431"/>
      <c r="WNM10" s="3431"/>
      <c r="WNN10" s="3431"/>
      <c r="WNO10" s="3431"/>
      <c r="WNP10" s="3431"/>
      <c r="WNQ10" s="3431"/>
      <c r="WNR10" s="3431"/>
      <c r="WNS10" s="3431"/>
      <c r="WNT10" s="3431"/>
      <c r="WNU10" s="3431"/>
      <c r="WNV10" s="3431"/>
      <c r="WNW10" s="3431"/>
      <c r="WNX10" s="3431"/>
      <c r="WNY10" s="3431"/>
      <c r="WNZ10" s="3431"/>
      <c r="WOA10" s="3431"/>
      <c r="WOB10" s="3431"/>
      <c r="WOC10" s="3431"/>
      <c r="WOD10" s="3431"/>
      <c r="WOE10" s="3431"/>
      <c r="WOF10" s="3431"/>
      <c r="WOG10" s="3431"/>
      <c r="WOH10" s="3431"/>
      <c r="WOI10" s="3431"/>
      <c r="WOJ10" s="3431"/>
      <c r="WOK10" s="3431"/>
      <c r="WOL10" s="3431"/>
      <c r="WOM10" s="3431"/>
      <c r="WON10" s="3431"/>
      <c r="WOO10" s="3431"/>
      <c r="WOP10" s="3431"/>
      <c r="WOQ10" s="3431"/>
      <c r="WOR10" s="3431"/>
      <c r="WOS10" s="3431"/>
      <c r="WOT10" s="3431"/>
      <c r="WOU10" s="3431"/>
      <c r="WOV10" s="3431"/>
      <c r="WOW10" s="3431"/>
      <c r="WOX10" s="3431"/>
      <c r="WOY10" s="3431"/>
      <c r="WOZ10" s="3431"/>
      <c r="WPA10" s="3431"/>
      <c r="WPB10" s="3431"/>
      <c r="WPC10" s="3431"/>
      <c r="WPD10" s="3431"/>
      <c r="WPE10" s="3431"/>
      <c r="WPF10" s="3431"/>
      <c r="WPG10" s="3431"/>
      <c r="WPH10" s="3431"/>
      <c r="WPI10" s="3431"/>
      <c r="WPJ10" s="3431"/>
      <c r="WPK10" s="3431"/>
      <c r="WPL10" s="3431"/>
      <c r="WPM10" s="3431"/>
      <c r="WPN10" s="3431"/>
      <c r="WPO10" s="3431"/>
      <c r="WPP10" s="3431"/>
      <c r="WPQ10" s="3431"/>
      <c r="WPR10" s="3431"/>
      <c r="WPS10" s="3431"/>
      <c r="WPT10" s="3431"/>
      <c r="WPU10" s="3431"/>
      <c r="WPV10" s="3431"/>
      <c r="WPW10" s="3431"/>
      <c r="WPX10" s="3431"/>
      <c r="WPY10" s="3431"/>
      <c r="WPZ10" s="3431"/>
      <c r="WQA10" s="3431"/>
      <c r="WQB10" s="3431"/>
      <c r="WQC10" s="3431"/>
      <c r="WQD10" s="3431"/>
      <c r="WQE10" s="3431"/>
      <c r="WQF10" s="3431"/>
      <c r="WQG10" s="3431"/>
      <c r="WQH10" s="3431"/>
      <c r="WQI10" s="3431"/>
      <c r="WQJ10" s="3431"/>
      <c r="WQK10" s="3431"/>
      <c r="WQL10" s="3431"/>
      <c r="WQM10" s="3431"/>
      <c r="WQN10" s="3431"/>
      <c r="WQO10" s="3431"/>
      <c r="WQP10" s="3431"/>
      <c r="WQQ10" s="3431"/>
      <c r="WQR10" s="3431"/>
      <c r="WQS10" s="3431"/>
      <c r="WQT10" s="3431"/>
      <c r="WQU10" s="3431"/>
      <c r="WQV10" s="3431"/>
      <c r="WQW10" s="3431"/>
      <c r="WQX10" s="3431"/>
      <c r="WQY10" s="3431"/>
      <c r="WQZ10" s="3431"/>
      <c r="WRA10" s="3431"/>
      <c r="WRB10" s="3431"/>
      <c r="WRC10" s="3431"/>
      <c r="WRD10" s="3431"/>
      <c r="WRE10" s="3431"/>
      <c r="WRF10" s="3431"/>
      <c r="WRG10" s="3431"/>
      <c r="WRH10" s="3431"/>
      <c r="WRI10" s="3431"/>
      <c r="WRJ10" s="3431"/>
      <c r="WRK10" s="3431"/>
      <c r="WRL10" s="3431"/>
      <c r="WRM10" s="3431"/>
      <c r="WRN10" s="3431"/>
      <c r="WRO10" s="3431"/>
      <c r="WRP10" s="3431"/>
      <c r="WRQ10" s="3431"/>
      <c r="WRR10" s="3431"/>
      <c r="WRS10" s="3431"/>
      <c r="WRT10" s="3431"/>
      <c r="WRU10" s="3431"/>
      <c r="WRV10" s="3431"/>
      <c r="WRW10" s="3431"/>
      <c r="WRX10" s="3431"/>
      <c r="WRY10" s="3431"/>
      <c r="WRZ10" s="3431"/>
      <c r="WSA10" s="3431"/>
      <c r="WSB10" s="3431"/>
      <c r="WSC10" s="3431"/>
      <c r="WSD10" s="3431"/>
      <c r="WSE10" s="3431"/>
      <c r="WSF10" s="3431"/>
      <c r="WSG10" s="3431"/>
      <c r="WSH10" s="3431"/>
      <c r="WSI10" s="3431"/>
      <c r="WSJ10" s="3431"/>
      <c r="WSK10" s="3431"/>
      <c r="WSL10" s="3431"/>
      <c r="WSM10" s="3431"/>
      <c r="WSN10" s="3431"/>
      <c r="WSO10" s="3431"/>
      <c r="WSP10" s="3431"/>
      <c r="WSQ10" s="3431"/>
      <c r="WSR10" s="3431"/>
      <c r="WSS10" s="3431"/>
      <c r="WST10" s="3431"/>
      <c r="WSU10" s="3431"/>
      <c r="WSV10" s="3431"/>
      <c r="WSW10" s="3431"/>
      <c r="WSX10" s="3431"/>
      <c r="WSY10" s="3431"/>
      <c r="WSZ10" s="3431"/>
      <c r="WTA10" s="3431"/>
      <c r="WTB10" s="3431"/>
      <c r="WTC10" s="3431"/>
      <c r="WTD10" s="3431"/>
      <c r="WTE10" s="3431"/>
      <c r="WTF10" s="3431"/>
      <c r="WTG10" s="3431"/>
      <c r="WTH10" s="3431"/>
      <c r="WTI10" s="3431"/>
      <c r="WTJ10" s="3431"/>
      <c r="WTK10" s="3431"/>
      <c r="WTL10" s="3431"/>
      <c r="WTM10" s="3431"/>
      <c r="WTN10" s="3431"/>
      <c r="WTO10" s="3431"/>
      <c r="WTP10" s="3431"/>
      <c r="WTQ10" s="3431"/>
      <c r="WTR10" s="3431"/>
      <c r="WTS10" s="3431"/>
      <c r="WTT10" s="3431"/>
      <c r="WTU10" s="3431"/>
      <c r="WTV10" s="3431"/>
      <c r="WTW10" s="3431"/>
      <c r="WTX10" s="3431"/>
      <c r="WTY10" s="3431"/>
      <c r="WTZ10" s="3431"/>
      <c r="WUA10" s="3431"/>
      <c r="WUB10" s="3431"/>
      <c r="WUC10" s="3431"/>
      <c r="WUD10" s="3431"/>
      <c r="WUE10" s="3431"/>
      <c r="WUF10" s="3431"/>
      <c r="WUG10" s="3431"/>
      <c r="WUH10" s="3431"/>
      <c r="WUI10" s="3431"/>
      <c r="WUJ10" s="3431"/>
      <c r="WUK10" s="3431"/>
      <c r="WUL10" s="3431"/>
      <c r="WUM10" s="3431"/>
      <c r="WUN10" s="3431"/>
      <c r="WUO10" s="3431"/>
      <c r="WUP10" s="3431"/>
      <c r="WUQ10" s="3431"/>
      <c r="WUR10" s="3431"/>
      <c r="WUS10" s="3431"/>
      <c r="WUT10" s="3431"/>
      <c r="WUU10" s="3431"/>
      <c r="WUV10" s="3431"/>
      <c r="WUW10" s="3431"/>
      <c r="WUX10" s="3431"/>
      <c r="WUY10" s="3431"/>
      <c r="WUZ10" s="3431"/>
      <c r="WVA10" s="3431"/>
      <c r="WVB10" s="3431"/>
      <c r="WVC10" s="3431"/>
      <c r="WVD10" s="3431"/>
      <c r="WVE10" s="3431"/>
      <c r="WVF10" s="3431"/>
      <c r="WVG10" s="3431"/>
      <c r="WVH10" s="3431"/>
      <c r="WVI10" s="3431"/>
      <c r="WVJ10" s="3431"/>
      <c r="WVK10" s="3431"/>
      <c r="WVL10" s="3431"/>
      <c r="WVM10" s="3431"/>
      <c r="WVN10" s="3431"/>
      <c r="WVO10" s="3431"/>
      <c r="WVP10" s="3431"/>
      <c r="WVQ10" s="3431"/>
      <c r="WVR10" s="3431"/>
      <c r="WVS10" s="3431"/>
      <c r="WVT10" s="3431"/>
      <c r="WVU10" s="3431"/>
      <c r="WVV10" s="3431"/>
      <c r="WVW10" s="3431"/>
      <c r="WVX10" s="3431"/>
      <c r="WVY10" s="3431"/>
      <c r="WVZ10" s="3431"/>
      <c r="WWA10" s="3431"/>
      <c r="WWB10" s="3431"/>
      <c r="WWC10" s="3431"/>
      <c r="WWD10" s="3431"/>
      <c r="WWE10" s="3431"/>
      <c r="WWF10" s="3431"/>
      <c r="WWG10" s="3431"/>
      <c r="WWH10" s="3431"/>
      <c r="WWI10" s="3431"/>
      <c r="WWJ10" s="3431"/>
      <c r="WWK10" s="3431"/>
      <c r="WWL10" s="3431"/>
      <c r="WWM10" s="3431"/>
      <c r="WWN10" s="3431"/>
      <c r="WWO10" s="3431"/>
      <c r="WWP10" s="3431"/>
      <c r="WWQ10" s="3431"/>
      <c r="WWR10" s="3431"/>
      <c r="WWS10" s="3431"/>
      <c r="WWT10" s="3431"/>
      <c r="WWU10" s="3431"/>
      <c r="WWV10" s="3431"/>
      <c r="WWW10" s="3431"/>
      <c r="WWX10" s="3431"/>
      <c r="WWY10" s="3431"/>
      <c r="WWZ10" s="3431"/>
      <c r="WXA10" s="3431"/>
      <c r="WXB10" s="3431"/>
      <c r="WXC10" s="3431"/>
      <c r="WXD10" s="3431"/>
      <c r="WXE10" s="3431"/>
      <c r="WXF10" s="3431"/>
      <c r="WXG10" s="3431"/>
      <c r="WXH10" s="3431"/>
      <c r="WXI10" s="3431"/>
      <c r="WXJ10" s="3431"/>
      <c r="WXK10" s="3431"/>
      <c r="WXL10" s="3431"/>
      <c r="WXM10" s="3431"/>
      <c r="WXN10" s="3431"/>
      <c r="WXO10" s="3431"/>
      <c r="WXP10" s="3431"/>
      <c r="WXQ10" s="3431"/>
      <c r="WXR10" s="3431"/>
      <c r="WXS10" s="3431"/>
      <c r="WXT10" s="3431"/>
      <c r="WXU10" s="3431"/>
      <c r="WXV10" s="3431"/>
      <c r="WXW10" s="3431"/>
      <c r="WXX10" s="3431"/>
      <c r="WXY10" s="3431"/>
      <c r="WXZ10" s="3431"/>
      <c r="WYA10" s="3431"/>
      <c r="WYB10" s="3431"/>
      <c r="WYC10" s="3431"/>
      <c r="WYD10" s="3431"/>
      <c r="WYE10" s="3431"/>
      <c r="WYF10" s="3431"/>
      <c r="WYG10" s="3431"/>
      <c r="WYH10" s="3431"/>
      <c r="WYI10" s="3431"/>
      <c r="WYJ10" s="3431"/>
      <c r="WYK10" s="3431"/>
      <c r="WYL10" s="3431"/>
      <c r="WYM10" s="3431"/>
      <c r="WYN10" s="3431"/>
      <c r="WYO10" s="3431"/>
      <c r="WYP10" s="3431"/>
      <c r="WYQ10" s="3431"/>
      <c r="WYR10" s="3431"/>
      <c r="WYS10" s="3431"/>
      <c r="WYT10" s="3431"/>
      <c r="WYU10" s="3431"/>
      <c r="WYV10" s="3431"/>
      <c r="WYW10" s="3431"/>
      <c r="WYX10" s="3431"/>
      <c r="WYY10" s="3431"/>
      <c r="WYZ10" s="3431"/>
      <c r="WZA10" s="3431"/>
      <c r="WZB10" s="3431"/>
      <c r="WZC10" s="3431"/>
      <c r="WZD10" s="3431"/>
      <c r="WZE10" s="3431"/>
      <c r="WZF10" s="3431"/>
      <c r="WZG10" s="3431"/>
      <c r="WZH10" s="3431"/>
      <c r="WZI10" s="3431"/>
      <c r="WZJ10" s="3431"/>
      <c r="WZK10" s="3431"/>
      <c r="WZL10" s="3431"/>
      <c r="WZM10" s="3431"/>
      <c r="WZN10" s="3431"/>
      <c r="WZO10" s="3431"/>
      <c r="WZP10" s="3431"/>
      <c r="WZQ10" s="3431"/>
      <c r="WZR10" s="3431"/>
      <c r="WZS10" s="3431"/>
      <c r="WZT10" s="3431"/>
      <c r="WZU10" s="3431"/>
      <c r="WZV10" s="3431"/>
      <c r="WZW10" s="3431"/>
      <c r="WZX10" s="3431"/>
      <c r="WZY10" s="3431"/>
      <c r="WZZ10" s="3431"/>
      <c r="XAA10" s="3431"/>
      <c r="XAB10" s="3431"/>
      <c r="XAC10" s="3431"/>
      <c r="XAD10" s="3431"/>
      <c r="XAE10" s="3431"/>
      <c r="XAF10" s="3431"/>
      <c r="XAG10" s="3431"/>
      <c r="XAH10" s="3431"/>
      <c r="XAI10" s="3431"/>
      <c r="XAJ10" s="3431"/>
      <c r="XAK10" s="3431"/>
      <c r="XAL10" s="3431"/>
      <c r="XAM10" s="3431"/>
      <c r="XAN10" s="3431"/>
      <c r="XAO10" s="3431"/>
      <c r="XAP10" s="3431"/>
      <c r="XAQ10" s="3431"/>
      <c r="XAR10" s="3431"/>
      <c r="XAS10" s="3431"/>
      <c r="XAT10" s="3431"/>
      <c r="XAU10" s="3431"/>
      <c r="XAV10" s="3431"/>
      <c r="XAW10" s="3431"/>
      <c r="XAX10" s="3431"/>
      <c r="XAY10" s="3431"/>
      <c r="XAZ10" s="3431"/>
      <c r="XBA10" s="3431"/>
      <c r="XBB10" s="3431"/>
      <c r="XBC10" s="3431"/>
      <c r="XBD10" s="3431"/>
      <c r="XBE10" s="3431"/>
      <c r="XBF10" s="3431"/>
      <c r="XBG10" s="3431"/>
      <c r="XBH10" s="3431"/>
      <c r="XBI10" s="3431"/>
      <c r="XBJ10" s="3431"/>
      <c r="XBK10" s="3431"/>
      <c r="XBL10" s="3431"/>
      <c r="XBM10" s="3431"/>
      <c r="XBN10" s="3431"/>
      <c r="XBO10" s="3431"/>
      <c r="XBP10" s="3431"/>
      <c r="XBQ10" s="3431"/>
      <c r="XBR10" s="3431"/>
      <c r="XBS10" s="3431"/>
      <c r="XBT10" s="3431"/>
      <c r="XBU10" s="3431"/>
      <c r="XBV10" s="3431"/>
      <c r="XBW10" s="3431"/>
      <c r="XBX10" s="3431"/>
      <c r="XBY10" s="3431"/>
      <c r="XBZ10" s="3431"/>
      <c r="XCA10" s="3431"/>
      <c r="XCB10" s="3431"/>
      <c r="XCC10" s="3431"/>
      <c r="XCD10" s="3431"/>
      <c r="XCE10" s="3431"/>
      <c r="XCF10" s="3431"/>
      <c r="XCG10" s="3431"/>
      <c r="XCH10" s="3431"/>
      <c r="XCI10" s="3431"/>
      <c r="XCJ10" s="3431"/>
      <c r="XCK10" s="3431"/>
      <c r="XCL10" s="3431"/>
      <c r="XCM10" s="3431"/>
      <c r="XCN10" s="3431"/>
      <c r="XCO10" s="3431"/>
      <c r="XCP10" s="3431"/>
      <c r="XCQ10" s="3431"/>
      <c r="XCR10" s="3431"/>
      <c r="XCS10" s="3431"/>
      <c r="XCT10" s="3431"/>
      <c r="XCU10" s="3431"/>
      <c r="XCV10" s="3431"/>
      <c r="XCW10" s="3431"/>
      <c r="XCX10" s="3431"/>
      <c r="XCY10" s="3431"/>
      <c r="XCZ10" s="3431"/>
      <c r="XDA10" s="3431"/>
      <c r="XDB10" s="3431"/>
      <c r="XDC10" s="3431"/>
      <c r="XDD10" s="3431"/>
      <c r="XDE10" s="3431"/>
      <c r="XDF10" s="3431"/>
      <c r="XDG10" s="3431"/>
      <c r="XDH10" s="3431"/>
      <c r="XDI10" s="3431"/>
      <c r="XDJ10" s="3431"/>
      <c r="XDK10" s="3431"/>
      <c r="XDL10" s="3431"/>
      <c r="XDM10" s="3431"/>
      <c r="XDN10" s="3431"/>
      <c r="XDO10" s="3431"/>
      <c r="XDP10" s="3431"/>
      <c r="XDQ10" s="3431"/>
      <c r="XDR10" s="3431"/>
      <c r="XDS10" s="3431"/>
      <c r="XDT10" s="3431"/>
      <c r="XDU10" s="3431"/>
      <c r="XDV10" s="3431"/>
    </row>
    <row r="11" spans="1:16350" s="3432" customFormat="1">
      <c r="A11" s="3430">
        <v>9</v>
      </c>
      <c r="B11" s="3430" t="s">
        <v>3400</v>
      </c>
      <c r="C11" s="3433">
        <v>17837.259999999998</v>
      </c>
      <c r="D11" s="3430" t="s">
        <v>3441</v>
      </c>
      <c r="E11" s="3430" t="s">
        <v>3447</v>
      </c>
      <c r="F11" s="3432">
        <v>2.02</v>
      </c>
      <c r="G11" s="3432" t="s">
        <v>3446</v>
      </c>
      <c r="H11" s="3432">
        <v>314.64926600000001</v>
      </c>
      <c r="I11" s="3432">
        <v>2.14</v>
      </c>
      <c r="J11" s="3432">
        <f t="shared" si="0"/>
        <v>1393.2683786</v>
      </c>
    </row>
    <row r="12" spans="1:16350" s="3432" customFormat="1" ht="24">
      <c r="A12" s="3430">
        <v>10</v>
      </c>
      <c r="B12" s="3430" t="s">
        <v>3453</v>
      </c>
      <c r="C12" s="3430">
        <v>1100</v>
      </c>
      <c r="D12" s="3430" t="s">
        <v>3454</v>
      </c>
      <c r="E12" s="3430" t="s">
        <v>3455</v>
      </c>
      <c r="F12" s="3432">
        <v>3.5</v>
      </c>
      <c r="I12" s="3432">
        <v>3.53</v>
      </c>
      <c r="J12" s="3432">
        <f t="shared" si="0"/>
        <v>141.7295</v>
      </c>
    </row>
    <row r="13" spans="1:16350" s="3432" customFormat="1" ht="24">
      <c r="A13" s="3430">
        <v>11</v>
      </c>
      <c r="B13" s="3430" t="s">
        <v>3456</v>
      </c>
      <c r="C13" s="3430">
        <v>1192</v>
      </c>
      <c r="D13" s="3430" t="s">
        <v>3454</v>
      </c>
      <c r="E13" s="3430" t="s">
        <v>3455</v>
      </c>
      <c r="F13" s="3432">
        <v>2.8</v>
      </c>
      <c r="I13" s="3432">
        <v>2.8</v>
      </c>
      <c r="J13" s="3432">
        <f t="shared" si="0"/>
        <v>121.8224</v>
      </c>
    </row>
    <row r="14" spans="1:16350" s="3432" customFormat="1" ht="36">
      <c r="A14" s="3430">
        <v>12</v>
      </c>
      <c r="B14" s="3430" t="s">
        <v>3457</v>
      </c>
      <c r="C14" s="3430">
        <v>690</v>
      </c>
      <c r="D14" s="3430" t="s">
        <v>3454</v>
      </c>
      <c r="E14" s="3430" t="s">
        <v>3458</v>
      </c>
      <c r="F14" s="3432">
        <v>2.8</v>
      </c>
      <c r="I14" s="3432">
        <v>2.8</v>
      </c>
      <c r="J14" s="3432">
        <f t="shared" si="0"/>
        <v>70.517999999999986</v>
      </c>
    </row>
    <row r="15" spans="1:16350" s="3432" customFormat="1">
      <c r="A15" s="3430">
        <v>13</v>
      </c>
      <c r="B15" s="3430" t="s">
        <v>3459</v>
      </c>
      <c r="C15" s="3430">
        <v>657.5</v>
      </c>
      <c r="D15" s="3430" t="s">
        <v>3460</v>
      </c>
      <c r="E15" s="3430" t="s">
        <v>3461</v>
      </c>
      <c r="F15" s="3432">
        <v>2.2400000000000002</v>
      </c>
      <c r="I15" s="3432">
        <v>3.4</v>
      </c>
      <c r="J15" s="3432">
        <f t="shared" si="0"/>
        <v>81.595749999999995</v>
      </c>
    </row>
    <row r="16" spans="1:16350" s="3431" customFormat="1">
      <c r="A16" s="3430">
        <v>14</v>
      </c>
      <c r="B16" s="3430" t="s">
        <v>3462</v>
      </c>
      <c r="C16" s="3430">
        <v>104.1</v>
      </c>
      <c r="D16" s="3430" t="s">
        <v>3463</v>
      </c>
      <c r="E16" s="3430" t="s">
        <v>3464</v>
      </c>
      <c r="F16" s="3431">
        <v>2.6</v>
      </c>
      <c r="I16" s="3431">
        <v>3.15</v>
      </c>
      <c r="J16" s="3432">
        <f t="shared" si="0"/>
        <v>11.968897499999999</v>
      </c>
    </row>
    <row r="17" spans="1:16350" s="3432" customFormat="1" ht="36">
      <c r="A17" s="3430">
        <v>15</v>
      </c>
      <c r="B17" s="3430" t="s">
        <v>3465</v>
      </c>
      <c r="C17" s="3430">
        <v>14217.51</v>
      </c>
      <c r="D17" s="3430" t="s">
        <v>3441</v>
      </c>
      <c r="E17" s="3430" t="s">
        <v>3445</v>
      </c>
      <c r="F17" s="3432">
        <v>2.02</v>
      </c>
      <c r="G17" s="3432" t="s">
        <v>3451</v>
      </c>
      <c r="I17" s="3432">
        <v>2.14</v>
      </c>
      <c r="J17" s="3432">
        <f t="shared" si="0"/>
        <v>1110.5297061000001</v>
      </c>
    </row>
    <row r="18" spans="1:16350" s="3432" customFormat="1">
      <c r="A18" s="3430">
        <v>16</v>
      </c>
      <c r="B18" s="3430" t="s">
        <v>3401</v>
      </c>
      <c r="C18" s="3430">
        <v>3528.82</v>
      </c>
      <c r="D18" s="3430" t="s">
        <v>3441</v>
      </c>
      <c r="E18" s="3430" t="s">
        <v>3466</v>
      </c>
      <c r="F18" s="3432">
        <v>1.62</v>
      </c>
      <c r="G18" s="3432" t="s">
        <v>3446</v>
      </c>
      <c r="I18" s="3432">
        <v>1.82</v>
      </c>
      <c r="J18" s="3432">
        <f t="shared" si="0"/>
        <v>234.41951260000002</v>
      </c>
    </row>
    <row r="19" spans="1:16350" s="3432" customFormat="1">
      <c r="A19" s="3430">
        <v>17</v>
      </c>
      <c r="B19" s="3430" t="s">
        <v>3402</v>
      </c>
      <c r="C19" s="3430">
        <v>3528.82</v>
      </c>
      <c r="D19" s="3430" t="s">
        <v>3441</v>
      </c>
      <c r="E19" s="3430" t="s">
        <v>3467</v>
      </c>
      <c r="F19" s="3432">
        <v>1.62</v>
      </c>
      <c r="G19" s="3432" t="s">
        <v>3446</v>
      </c>
      <c r="I19" s="3432">
        <v>1.82</v>
      </c>
      <c r="J19" s="3432">
        <f t="shared" si="0"/>
        <v>234.41951260000002</v>
      </c>
    </row>
    <row r="20" spans="1:16350" s="3432" customFormat="1">
      <c r="A20" s="3430">
        <v>18</v>
      </c>
      <c r="B20" s="3430" t="s">
        <v>3403</v>
      </c>
      <c r="C20" s="3430">
        <v>3528.82</v>
      </c>
      <c r="D20" s="3430" t="s">
        <v>3441</v>
      </c>
      <c r="E20" s="3430" t="s">
        <v>3442</v>
      </c>
      <c r="F20" s="3432">
        <v>2.5</v>
      </c>
      <c r="G20" s="3432" t="s">
        <v>3446</v>
      </c>
      <c r="I20" s="3432">
        <v>2.58</v>
      </c>
      <c r="J20" s="3432">
        <f t="shared" si="0"/>
        <v>332.3089794</v>
      </c>
    </row>
    <row r="21" spans="1:16350" s="3432" customFormat="1">
      <c r="A21" s="3430">
        <v>19</v>
      </c>
      <c r="B21" s="3430" t="s">
        <v>3404</v>
      </c>
      <c r="C21" s="3430">
        <v>3528.82</v>
      </c>
      <c r="D21" s="3430" t="s">
        <v>3441</v>
      </c>
      <c r="E21" s="3430" t="s">
        <v>3468</v>
      </c>
      <c r="F21" s="3432">
        <v>1.62</v>
      </c>
      <c r="G21" s="3432" t="s">
        <v>3446</v>
      </c>
      <c r="I21" s="3432">
        <v>1.82</v>
      </c>
      <c r="J21" s="3432">
        <f t="shared" si="0"/>
        <v>234.41951260000002</v>
      </c>
    </row>
    <row r="22" spans="1:16350" s="3432" customFormat="1">
      <c r="A22" s="3430">
        <v>20</v>
      </c>
      <c r="B22" s="3430" t="s">
        <v>3405</v>
      </c>
      <c r="C22" s="3430">
        <v>3528.82</v>
      </c>
      <c r="D22" s="3430" t="s">
        <v>3441</v>
      </c>
      <c r="E22" s="3430" t="s">
        <v>3468</v>
      </c>
      <c r="F22" s="3432">
        <v>1.62</v>
      </c>
      <c r="G22" s="3432" t="s">
        <v>3446</v>
      </c>
      <c r="I22" s="3432">
        <v>1.82</v>
      </c>
      <c r="J22" s="3432">
        <f t="shared" si="0"/>
        <v>234.41951260000002</v>
      </c>
    </row>
    <row r="23" spans="1:16350" s="3432" customFormat="1">
      <c r="A23" s="3430">
        <v>21</v>
      </c>
      <c r="B23" s="3430" t="s">
        <v>3406</v>
      </c>
      <c r="C23" s="3430">
        <v>3528.82</v>
      </c>
      <c r="D23" s="3430" t="s">
        <v>3441</v>
      </c>
      <c r="E23" s="3430" t="s">
        <v>3468</v>
      </c>
      <c r="F23" s="3431">
        <v>1.68</v>
      </c>
      <c r="G23" s="3432" t="s">
        <v>3446</v>
      </c>
      <c r="H23" s="3431"/>
      <c r="I23" s="3431">
        <v>1.78</v>
      </c>
      <c r="J23" s="3432">
        <f t="shared" si="0"/>
        <v>229.26743540000004</v>
      </c>
      <c r="K23" s="3431"/>
      <c r="L23" s="3431"/>
      <c r="M23" s="3431"/>
      <c r="N23" s="3431"/>
      <c r="O23" s="3431"/>
      <c r="P23" s="3431"/>
      <c r="Q23" s="3431"/>
      <c r="R23" s="3431"/>
      <c r="S23" s="3431"/>
      <c r="T23" s="3431"/>
      <c r="U23" s="3431"/>
      <c r="V23" s="3431"/>
      <c r="W23" s="3431"/>
      <c r="X23" s="3431"/>
      <c r="Y23" s="3431"/>
      <c r="Z23" s="3431"/>
      <c r="AA23" s="3431"/>
      <c r="AB23" s="3431"/>
      <c r="AC23" s="3431"/>
      <c r="AD23" s="3431"/>
      <c r="AE23" s="3431"/>
      <c r="AF23" s="3431"/>
      <c r="AG23" s="3431"/>
      <c r="AH23" s="3431"/>
      <c r="AI23" s="3431"/>
      <c r="AJ23" s="3431"/>
      <c r="AK23" s="3431"/>
      <c r="AL23" s="3431"/>
      <c r="AM23" s="3431"/>
      <c r="AN23" s="3431"/>
      <c r="AO23" s="3431"/>
      <c r="AP23" s="3431"/>
      <c r="AQ23" s="3431"/>
      <c r="AR23" s="3431"/>
      <c r="AS23" s="3431"/>
      <c r="AT23" s="3431"/>
      <c r="AU23" s="3431"/>
      <c r="AV23" s="3431"/>
      <c r="AW23" s="3431"/>
      <c r="AX23" s="3431"/>
      <c r="AY23" s="3431"/>
      <c r="AZ23" s="3431"/>
      <c r="BA23" s="3431"/>
      <c r="BB23" s="3431"/>
      <c r="BC23" s="3431"/>
      <c r="BD23" s="3431"/>
      <c r="BE23" s="3431"/>
      <c r="BF23" s="3431"/>
      <c r="BG23" s="3431"/>
      <c r="BH23" s="3431"/>
      <c r="BI23" s="3431"/>
      <c r="BJ23" s="3431"/>
      <c r="BK23" s="3431"/>
      <c r="BL23" s="3431"/>
      <c r="BM23" s="3431"/>
      <c r="BN23" s="3431"/>
      <c r="BO23" s="3431"/>
      <c r="BP23" s="3431"/>
      <c r="BQ23" s="3431"/>
      <c r="BR23" s="3431"/>
      <c r="BS23" s="3431"/>
      <c r="BT23" s="3431"/>
      <c r="BU23" s="3431"/>
      <c r="BV23" s="3431"/>
      <c r="BW23" s="3431"/>
      <c r="BX23" s="3431"/>
      <c r="BY23" s="3431"/>
      <c r="BZ23" s="3431"/>
      <c r="CA23" s="3431"/>
      <c r="CB23" s="3431"/>
      <c r="CC23" s="3431"/>
      <c r="CD23" s="3431"/>
      <c r="CE23" s="3431"/>
      <c r="CF23" s="3431"/>
      <c r="CG23" s="3431"/>
      <c r="CH23" s="3431"/>
      <c r="CI23" s="3431"/>
      <c r="CJ23" s="3431"/>
      <c r="CK23" s="3431"/>
      <c r="CL23" s="3431"/>
      <c r="CM23" s="3431"/>
      <c r="CN23" s="3431"/>
      <c r="CO23" s="3431"/>
      <c r="CP23" s="3431"/>
      <c r="CQ23" s="3431"/>
      <c r="CR23" s="3431"/>
      <c r="CS23" s="3431"/>
      <c r="CT23" s="3431"/>
      <c r="CU23" s="3431"/>
      <c r="CV23" s="3431"/>
      <c r="CW23" s="3431"/>
      <c r="CX23" s="3431"/>
      <c r="CY23" s="3431"/>
      <c r="CZ23" s="3431"/>
      <c r="DA23" s="3431"/>
      <c r="DB23" s="3431"/>
      <c r="DC23" s="3431"/>
      <c r="DD23" s="3431"/>
      <c r="DE23" s="3431"/>
      <c r="DF23" s="3431"/>
      <c r="DG23" s="3431"/>
      <c r="DH23" s="3431"/>
      <c r="DI23" s="3431"/>
      <c r="DJ23" s="3431"/>
      <c r="DK23" s="3431"/>
      <c r="DL23" s="3431"/>
      <c r="DM23" s="3431"/>
      <c r="DN23" s="3431"/>
      <c r="DO23" s="3431"/>
      <c r="DP23" s="3431"/>
      <c r="DQ23" s="3431"/>
      <c r="DR23" s="3431"/>
      <c r="DS23" s="3431"/>
      <c r="DT23" s="3431"/>
      <c r="DU23" s="3431"/>
      <c r="DV23" s="3431"/>
      <c r="DW23" s="3431"/>
      <c r="DX23" s="3431"/>
      <c r="DY23" s="3431"/>
      <c r="DZ23" s="3431"/>
      <c r="EA23" s="3431"/>
      <c r="EB23" s="3431"/>
      <c r="EC23" s="3431"/>
      <c r="ED23" s="3431"/>
      <c r="EE23" s="3431"/>
      <c r="EF23" s="3431"/>
      <c r="EG23" s="3431"/>
      <c r="EH23" s="3431"/>
      <c r="EI23" s="3431"/>
      <c r="EJ23" s="3431"/>
      <c r="EK23" s="3431"/>
      <c r="EL23" s="3431"/>
      <c r="EM23" s="3431"/>
      <c r="EN23" s="3431"/>
      <c r="EO23" s="3431"/>
      <c r="EP23" s="3431"/>
      <c r="EQ23" s="3431"/>
      <c r="ER23" s="3431"/>
      <c r="ES23" s="3431"/>
      <c r="ET23" s="3431"/>
      <c r="EU23" s="3431"/>
      <c r="EV23" s="3431"/>
      <c r="EW23" s="3431"/>
      <c r="EX23" s="3431"/>
      <c r="EY23" s="3431"/>
      <c r="EZ23" s="3431"/>
      <c r="FA23" s="3431"/>
      <c r="FB23" s="3431"/>
      <c r="FC23" s="3431"/>
      <c r="FD23" s="3431"/>
      <c r="FE23" s="3431"/>
      <c r="FF23" s="3431"/>
      <c r="FG23" s="3431"/>
      <c r="FH23" s="3431"/>
      <c r="FI23" s="3431"/>
      <c r="FJ23" s="3431"/>
      <c r="FK23" s="3431"/>
      <c r="FL23" s="3431"/>
      <c r="FM23" s="3431"/>
      <c r="FN23" s="3431"/>
      <c r="FO23" s="3431"/>
      <c r="FP23" s="3431"/>
      <c r="FQ23" s="3431"/>
      <c r="FR23" s="3431"/>
      <c r="FS23" s="3431"/>
      <c r="FT23" s="3431"/>
      <c r="FU23" s="3431"/>
      <c r="FV23" s="3431"/>
      <c r="FW23" s="3431"/>
      <c r="FX23" s="3431"/>
      <c r="FY23" s="3431"/>
      <c r="FZ23" s="3431"/>
      <c r="GA23" s="3431"/>
      <c r="GB23" s="3431"/>
      <c r="GC23" s="3431"/>
      <c r="GD23" s="3431"/>
      <c r="GE23" s="3431"/>
      <c r="GF23" s="3431"/>
      <c r="GG23" s="3431"/>
      <c r="GH23" s="3431"/>
      <c r="GI23" s="3431"/>
      <c r="GJ23" s="3431"/>
      <c r="GK23" s="3431"/>
      <c r="GL23" s="3431"/>
      <c r="GM23" s="3431"/>
      <c r="GN23" s="3431"/>
      <c r="GO23" s="3431"/>
      <c r="GP23" s="3431"/>
      <c r="GQ23" s="3431"/>
      <c r="GR23" s="3431"/>
      <c r="GS23" s="3431"/>
      <c r="GT23" s="3431"/>
      <c r="GU23" s="3431"/>
      <c r="GV23" s="3431"/>
      <c r="GW23" s="3431"/>
      <c r="GX23" s="3431"/>
      <c r="GY23" s="3431"/>
      <c r="GZ23" s="3431"/>
      <c r="HA23" s="3431"/>
      <c r="HB23" s="3431"/>
      <c r="HC23" s="3431"/>
      <c r="HD23" s="3431"/>
      <c r="HE23" s="3431"/>
      <c r="HF23" s="3431"/>
      <c r="HG23" s="3431"/>
      <c r="HH23" s="3431"/>
      <c r="HI23" s="3431"/>
      <c r="HJ23" s="3431"/>
      <c r="HK23" s="3431"/>
      <c r="HL23" s="3431"/>
      <c r="HM23" s="3431"/>
      <c r="HN23" s="3431"/>
      <c r="HO23" s="3431"/>
      <c r="HP23" s="3431"/>
      <c r="HQ23" s="3431"/>
      <c r="HR23" s="3431"/>
      <c r="HS23" s="3431"/>
      <c r="HT23" s="3431"/>
      <c r="HU23" s="3431"/>
      <c r="HV23" s="3431"/>
      <c r="HW23" s="3431"/>
      <c r="HX23" s="3431"/>
      <c r="HY23" s="3431"/>
      <c r="HZ23" s="3431"/>
      <c r="IA23" s="3431"/>
      <c r="IB23" s="3431"/>
      <c r="IC23" s="3431"/>
      <c r="ID23" s="3431"/>
      <c r="IE23" s="3431"/>
      <c r="IF23" s="3431"/>
      <c r="IG23" s="3431"/>
      <c r="IH23" s="3431"/>
      <c r="II23" s="3431"/>
      <c r="IJ23" s="3431"/>
      <c r="IK23" s="3431"/>
      <c r="IL23" s="3431"/>
      <c r="IM23" s="3431"/>
      <c r="IN23" s="3431"/>
      <c r="IO23" s="3431"/>
      <c r="IP23" s="3431"/>
      <c r="IQ23" s="3431"/>
      <c r="IR23" s="3431"/>
      <c r="IS23" s="3431"/>
      <c r="IT23" s="3431"/>
      <c r="IU23" s="3431"/>
      <c r="IV23" s="3431"/>
      <c r="IW23" s="3431"/>
      <c r="IX23" s="3431"/>
      <c r="IY23" s="3431"/>
      <c r="IZ23" s="3431"/>
      <c r="JA23" s="3431"/>
      <c r="JB23" s="3431"/>
      <c r="JC23" s="3431"/>
      <c r="JD23" s="3431"/>
      <c r="JE23" s="3431"/>
      <c r="JF23" s="3431"/>
      <c r="JG23" s="3431"/>
      <c r="JH23" s="3431"/>
      <c r="JI23" s="3431"/>
      <c r="JJ23" s="3431"/>
      <c r="JK23" s="3431"/>
      <c r="JL23" s="3431"/>
      <c r="JM23" s="3431"/>
      <c r="JN23" s="3431"/>
      <c r="JO23" s="3431"/>
      <c r="JP23" s="3431"/>
      <c r="JQ23" s="3431"/>
      <c r="JR23" s="3431"/>
      <c r="JS23" s="3431"/>
      <c r="JT23" s="3431"/>
      <c r="JU23" s="3431"/>
      <c r="JV23" s="3431"/>
      <c r="JW23" s="3431"/>
      <c r="JX23" s="3431"/>
      <c r="JY23" s="3431"/>
      <c r="JZ23" s="3431"/>
      <c r="KA23" s="3431"/>
      <c r="KB23" s="3431"/>
      <c r="KC23" s="3431"/>
      <c r="KD23" s="3431"/>
      <c r="KE23" s="3431"/>
      <c r="KF23" s="3431"/>
      <c r="KG23" s="3431"/>
      <c r="KH23" s="3431"/>
      <c r="KI23" s="3431"/>
      <c r="KJ23" s="3431"/>
      <c r="KK23" s="3431"/>
      <c r="KL23" s="3431"/>
      <c r="KM23" s="3431"/>
      <c r="KN23" s="3431"/>
      <c r="KO23" s="3431"/>
      <c r="KP23" s="3431"/>
      <c r="KQ23" s="3431"/>
      <c r="KR23" s="3431"/>
      <c r="KS23" s="3431"/>
      <c r="KT23" s="3431"/>
      <c r="KU23" s="3431"/>
      <c r="KV23" s="3431"/>
      <c r="KW23" s="3431"/>
      <c r="KX23" s="3431"/>
      <c r="KY23" s="3431"/>
      <c r="KZ23" s="3431"/>
      <c r="LA23" s="3431"/>
      <c r="LB23" s="3431"/>
      <c r="LC23" s="3431"/>
      <c r="LD23" s="3431"/>
      <c r="LE23" s="3431"/>
      <c r="LF23" s="3431"/>
      <c r="LG23" s="3431"/>
      <c r="LH23" s="3431"/>
      <c r="LI23" s="3431"/>
      <c r="LJ23" s="3431"/>
      <c r="LK23" s="3431"/>
      <c r="LL23" s="3431"/>
      <c r="LM23" s="3431"/>
      <c r="LN23" s="3431"/>
      <c r="LO23" s="3431"/>
      <c r="LP23" s="3431"/>
      <c r="LQ23" s="3431"/>
      <c r="LR23" s="3431"/>
      <c r="LS23" s="3431"/>
      <c r="LT23" s="3431"/>
      <c r="LU23" s="3431"/>
      <c r="LV23" s="3431"/>
      <c r="LW23" s="3431"/>
      <c r="LX23" s="3431"/>
      <c r="LY23" s="3431"/>
      <c r="LZ23" s="3431"/>
      <c r="MA23" s="3431"/>
      <c r="MB23" s="3431"/>
      <c r="MC23" s="3431"/>
      <c r="MD23" s="3431"/>
      <c r="ME23" s="3431"/>
      <c r="MF23" s="3431"/>
      <c r="MG23" s="3431"/>
      <c r="MH23" s="3431"/>
      <c r="MI23" s="3431"/>
      <c r="MJ23" s="3431"/>
      <c r="MK23" s="3431"/>
      <c r="ML23" s="3431"/>
      <c r="MM23" s="3431"/>
      <c r="MN23" s="3431"/>
      <c r="MO23" s="3431"/>
      <c r="MP23" s="3431"/>
      <c r="MQ23" s="3431"/>
      <c r="MR23" s="3431"/>
      <c r="MS23" s="3431"/>
      <c r="MT23" s="3431"/>
      <c r="MU23" s="3431"/>
      <c r="MV23" s="3431"/>
      <c r="MW23" s="3431"/>
      <c r="MX23" s="3431"/>
      <c r="MY23" s="3431"/>
      <c r="MZ23" s="3431"/>
      <c r="NA23" s="3431"/>
      <c r="NB23" s="3431"/>
      <c r="NC23" s="3431"/>
      <c r="ND23" s="3431"/>
      <c r="NE23" s="3431"/>
      <c r="NF23" s="3431"/>
      <c r="NG23" s="3431"/>
      <c r="NH23" s="3431"/>
      <c r="NI23" s="3431"/>
      <c r="NJ23" s="3431"/>
      <c r="NK23" s="3431"/>
      <c r="NL23" s="3431"/>
      <c r="NM23" s="3431"/>
      <c r="NN23" s="3431"/>
      <c r="NO23" s="3431"/>
      <c r="NP23" s="3431"/>
      <c r="NQ23" s="3431"/>
      <c r="NR23" s="3431"/>
      <c r="NS23" s="3431"/>
      <c r="NT23" s="3431"/>
      <c r="NU23" s="3431"/>
      <c r="NV23" s="3431"/>
      <c r="NW23" s="3431"/>
      <c r="NX23" s="3431"/>
      <c r="NY23" s="3431"/>
      <c r="NZ23" s="3431"/>
      <c r="OA23" s="3431"/>
      <c r="OB23" s="3431"/>
      <c r="OC23" s="3431"/>
      <c r="OD23" s="3431"/>
      <c r="OE23" s="3431"/>
      <c r="OF23" s="3431"/>
      <c r="OG23" s="3431"/>
      <c r="OH23" s="3431"/>
      <c r="OI23" s="3431"/>
      <c r="OJ23" s="3431"/>
      <c r="OK23" s="3431"/>
      <c r="OL23" s="3431"/>
      <c r="OM23" s="3431"/>
      <c r="ON23" s="3431"/>
      <c r="OO23" s="3431"/>
      <c r="OP23" s="3431"/>
      <c r="OQ23" s="3431"/>
      <c r="OR23" s="3431"/>
      <c r="OS23" s="3431"/>
      <c r="OT23" s="3431"/>
      <c r="OU23" s="3431"/>
      <c r="OV23" s="3431"/>
      <c r="OW23" s="3431"/>
      <c r="OX23" s="3431"/>
      <c r="OY23" s="3431"/>
      <c r="OZ23" s="3431"/>
      <c r="PA23" s="3431"/>
      <c r="PB23" s="3431"/>
      <c r="PC23" s="3431"/>
      <c r="PD23" s="3431"/>
      <c r="PE23" s="3431"/>
      <c r="PF23" s="3431"/>
      <c r="PG23" s="3431"/>
      <c r="PH23" s="3431"/>
      <c r="PI23" s="3431"/>
      <c r="PJ23" s="3431"/>
      <c r="PK23" s="3431"/>
      <c r="PL23" s="3431"/>
      <c r="PM23" s="3431"/>
      <c r="PN23" s="3431"/>
      <c r="PO23" s="3431"/>
      <c r="PP23" s="3431"/>
      <c r="PQ23" s="3431"/>
      <c r="PR23" s="3431"/>
      <c r="PS23" s="3431"/>
      <c r="PT23" s="3431"/>
      <c r="PU23" s="3431"/>
      <c r="PV23" s="3431"/>
      <c r="PW23" s="3431"/>
      <c r="PX23" s="3431"/>
      <c r="PY23" s="3431"/>
      <c r="PZ23" s="3431"/>
      <c r="QA23" s="3431"/>
      <c r="QB23" s="3431"/>
      <c r="QC23" s="3431"/>
      <c r="QD23" s="3431"/>
      <c r="QE23" s="3431"/>
      <c r="QF23" s="3431"/>
      <c r="QG23" s="3431"/>
      <c r="QH23" s="3431"/>
      <c r="QI23" s="3431"/>
      <c r="QJ23" s="3431"/>
      <c r="QK23" s="3431"/>
      <c r="QL23" s="3431"/>
      <c r="QM23" s="3431"/>
      <c r="QN23" s="3431"/>
      <c r="QO23" s="3431"/>
      <c r="QP23" s="3431"/>
      <c r="QQ23" s="3431"/>
      <c r="QR23" s="3431"/>
      <c r="QS23" s="3431"/>
      <c r="QT23" s="3431"/>
      <c r="QU23" s="3431"/>
      <c r="QV23" s="3431"/>
      <c r="QW23" s="3431"/>
      <c r="QX23" s="3431"/>
      <c r="QY23" s="3431"/>
      <c r="QZ23" s="3431"/>
      <c r="RA23" s="3431"/>
      <c r="RB23" s="3431"/>
      <c r="RC23" s="3431"/>
      <c r="RD23" s="3431"/>
      <c r="RE23" s="3431"/>
      <c r="RF23" s="3431"/>
      <c r="RG23" s="3431"/>
      <c r="RH23" s="3431"/>
      <c r="RI23" s="3431"/>
      <c r="RJ23" s="3431"/>
      <c r="RK23" s="3431"/>
      <c r="RL23" s="3431"/>
      <c r="RM23" s="3431"/>
      <c r="RN23" s="3431"/>
      <c r="RO23" s="3431"/>
      <c r="RP23" s="3431"/>
      <c r="RQ23" s="3431"/>
      <c r="RR23" s="3431"/>
      <c r="RS23" s="3431"/>
      <c r="RT23" s="3431"/>
      <c r="RU23" s="3431"/>
      <c r="RV23" s="3431"/>
      <c r="RW23" s="3431"/>
      <c r="RX23" s="3431"/>
      <c r="RY23" s="3431"/>
      <c r="RZ23" s="3431"/>
      <c r="SA23" s="3431"/>
      <c r="SB23" s="3431"/>
      <c r="SC23" s="3431"/>
      <c r="SD23" s="3431"/>
      <c r="SE23" s="3431"/>
      <c r="SF23" s="3431"/>
      <c r="SG23" s="3431"/>
      <c r="SH23" s="3431"/>
      <c r="SI23" s="3431"/>
      <c r="SJ23" s="3431"/>
      <c r="SK23" s="3431"/>
      <c r="SL23" s="3431"/>
      <c r="SM23" s="3431"/>
      <c r="SN23" s="3431"/>
      <c r="SO23" s="3431"/>
      <c r="SP23" s="3431"/>
      <c r="SQ23" s="3431"/>
      <c r="SR23" s="3431"/>
      <c r="SS23" s="3431"/>
      <c r="ST23" s="3431"/>
      <c r="SU23" s="3431"/>
      <c r="SV23" s="3431"/>
      <c r="SW23" s="3431"/>
      <c r="SX23" s="3431"/>
      <c r="SY23" s="3431"/>
      <c r="SZ23" s="3431"/>
      <c r="TA23" s="3431"/>
      <c r="TB23" s="3431"/>
      <c r="TC23" s="3431"/>
      <c r="TD23" s="3431"/>
      <c r="TE23" s="3431"/>
      <c r="TF23" s="3431"/>
      <c r="TG23" s="3431"/>
      <c r="TH23" s="3431"/>
      <c r="TI23" s="3431"/>
      <c r="TJ23" s="3431"/>
      <c r="TK23" s="3431"/>
      <c r="TL23" s="3431"/>
      <c r="TM23" s="3431"/>
      <c r="TN23" s="3431"/>
      <c r="TO23" s="3431"/>
      <c r="TP23" s="3431"/>
      <c r="TQ23" s="3431"/>
      <c r="TR23" s="3431"/>
      <c r="TS23" s="3431"/>
      <c r="TT23" s="3431"/>
      <c r="TU23" s="3431"/>
      <c r="TV23" s="3431"/>
      <c r="TW23" s="3431"/>
      <c r="TX23" s="3431"/>
      <c r="TY23" s="3431"/>
      <c r="TZ23" s="3431"/>
      <c r="UA23" s="3431"/>
      <c r="UB23" s="3431"/>
      <c r="UC23" s="3431"/>
      <c r="UD23" s="3431"/>
      <c r="UE23" s="3431"/>
      <c r="UF23" s="3431"/>
      <c r="UG23" s="3431"/>
      <c r="UH23" s="3431"/>
      <c r="UI23" s="3431"/>
      <c r="UJ23" s="3431"/>
      <c r="UK23" s="3431"/>
      <c r="UL23" s="3431"/>
      <c r="UM23" s="3431"/>
      <c r="UN23" s="3431"/>
      <c r="UO23" s="3431"/>
      <c r="UP23" s="3431"/>
      <c r="UQ23" s="3431"/>
      <c r="UR23" s="3431"/>
      <c r="US23" s="3431"/>
      <c r="UT23" s="3431"/>
      <c r="UU23" s="3431"/>
      <c r="UV23" s="3431"/>
      <c r="UW23" s="3431"/>
      <c r="UX23" s="3431"/>
      <c r="UY23" s="3431"/>
      <c r="UZ23" s="3431"/>
      <c r="VA23" s="3431"/>
      <c r="VB23" s="3431"/>
      <c r="VC23" s="3431"/>
      <c r="VD23" s="3431"/>
      <c r="VE23" s="3431"/>
      <c r="VF23" s="3431"/>
      <c r="VG23" s="3431"/>
      <c r="VH23" s="3431"/>
      <c r="VI23" s="3431"/>
      <c r="VJ23" s="3431"/>
      <c r="VK23" s="3431"/>
      <c r="VL23" s="3431"/>
      <c r="VM23" s="3431"/>
      <c r="VN23" s="3431"/>
      <c r="VO23" s="3431"/>
      <c r="VP23" s="3431"/>
      <c r="VQ23" s="3431"/>
      <c r="VR23" s="3431"/>
      <c r="VS23" s="3431"/>
      <c r="VT23" s="3431"/>
      <c r="VU23" s="3431"/>
      <c r="VV23" s="3431"/>
      <c r="VW23" s="3431"/>
      <c r="VX23" s="3431"/>
      <c r="VY23" s="3431"/>
      <c r="VZ23" s="3431"/>
      <c r="WA23" s="3431"/>
      <c r="WB23" s="3431"/>
      <c r="WC23" s="3431"/>
      <c r="WD23" s="3431"/>
      <c r="WE23" s="3431"/>
      <c r="WF23" s="3431"/>
      <c r="WG23" s="3431"/>
      <c r="WH23" s="3431"/>
      <c r="WI23" s="3431"/>
      <c r="WJ23" s="3431"/>
      <c r="WK23" s="3431"/>
      <c r="WL23" s="3431"/>
      <c r="WM23" s="3431"/>
      <c r="WN23" s="3431"/>
      <c r="WO23" s="3431"/>
      <c r="WP23" s="3431"/>
      <c r="WQ23" s="3431"/>
      <c r="WR23" s="3431"/>
      <c r="WS23" s="3431"/>
      <c r="WT23" s="3431"/>
      <c r="WU23" s="3431"/>
      <c r="WV23" s="3431"/>
      <c r="WW23" s="3431"/>
      <c r="WX23" s="3431"/>
      <c r="WY23" s="3431"/>
      <c r="WZ23" s="3431"/>
      <c r="XA23" s="3431"/>
      <c r="XB23" s="3431"/>
      <c r="XC23" s="3431"/>
      <c r="XD23" s="3431"/>
      <c r="XE23" s="3431"/>
      <c r="XF23" s="3431"/>
      <c r="XG23" s="3431"/>
      <c r="XH23" s="3431"/>
      <c r="XI23" s="3431"/>
      <c r="XJ23" s="3431"/>
      <c r="XK23" s="3431"/>
      <c r="XL23" s="3431"/>
      <c r="XM23" s="3431"/>
      <c r="XN23" s="3431"/>
      <c r="XO23" s="3431"/>
      <c r="XP23" s="3431"/>
      <c r="XQ23" s="3431"/>
      <c r="XR23" s="3431"/>
      <c r="XS23" s="3431"/>
      <c r="XT23" s="3431"/>
      <c r="XU23" s="3431"/>
      <c r="XV23" s="3431"/>
      <c r="XW23" s="3431"/>
      <c r="XX23" s="3431"/>
      <c r="XY23" s="3431"/>
      <c r="XZ23" s="3431"/>
      <c r="YA23" s="3431"/>
      <c r="YB23" s="3431"/>
      <c r="YC23" s="3431"/>
      <c r="YD23" s="3431"/>
      <c r="YE23" s="3431"/>
      <c r="YF23" s="3431"/>
      <c r="YG23" s="3431"/>
      <c r="YH23" s="3431"/>
      <c r="YI23" s="3431"/>
      <c r="YJ23" s="3431"/>
      <c r="YK23" s="3431"/>
      <c r="YL23" s="3431"/>
      <c r="YM23" s="3431"/>
      <c r="YN23" s="3431"/>
      <c r="YO23" s="3431"/>
      <c r="YP23" s="3431"/>
      <c r="YQ23" s="3431"/>
      <c r="YR23" s="3431"/>
      <c r="YS23" s="3431"/>
      <c r="YT23" s="3431"/>
      <c r="YU23" s="3431"/>
      <c r="YV23" s="3431"/>
      <c r="YW23" s="3431"/>
      <c r="YX23" s="3431"/>
      <c r="YY23" s="3431"/>
      <c r="YZ23" s="3431"/>
      <c r="ZA23" s="3431"/>
      <c r="ZB23" s="3431"/>
      <c r="ZC23" s="3431"/>
      <c r="ZD23" s="3431"/>
      <c r="ZE23" s="3431"/>
      <c r="ZF23" s="3431"/>
      <c r="ZG23" s="3431"/>
      <c r="ZH23" s="3431"/>
      <c r="ZI23" s="3431"/>
      <c r="ZJ23" s="3431"/>
      <c r="ZK23" s="3431"/>
      <c r="ZL23" s="3431"/>
      <c r="ZM23" s="3431"/>
      <c r="ZN23" s="3431"/>
      <c r="ZO23" s="3431"/>
      <c r="ZP23" s="3431"/>
      <c r="ZQ23" s="3431"/>
      <c r="ZR23" s="3431"/>
      <c r="ZS23" s="3431"/>
      <c r="ZT23" s="3431"/>
      <c r="ZU23" s="3431"/>
      <c r="ZV23" s="3431"/>
      <c r="ZW23" s="3431"/>
      <c r="ZX23" s="3431"/>
      <c r="ZY23" s="3431"/>
      <c r="ZZ23" s="3431"/>
      <c r="AAA23" s="3431"/>
      <c r="AAB23" s="3431"/>
      <c r="AAC23" s="3431"/>
      <c r="AAD23" s="3431"/>
      <c r="AAE23" s="3431"/>
      <c r="AAF23" s="3431"/>
      <c r="AAG23" s="3431"/>
      <c r="AAH23" s="3431"/>
      <c r="AAI23" s="3431"/>
      <c r="AAJ23" s="3431"/>
      <c r="AAK23" s="3431"/>
      <c r="AAL23" s="3431"/>
      <c r="AAM23" s="3431"/>
      <c r="AAN23" s="3431"/>
      <c r="AAO23" s="3431"/>
      <c r="AAP23" s="3431"/>
      <c r="AAQ23" s="3431"/>
      <c r="AAR23" s="3431"/>
      <c r="AAS23" s="3431"/>
      <c r="AAT23" s="3431"/>
      <c r="AAU23" s="3431"/>
      <c r="AAV23" s="3431"/>
      <c r="AAW23" s="3431"/>
      <c r="AAX23" s="3431"/>
      <c r="AAY23" s="3431"/>
      <c r="AAZ23" s="3431"/>
      <c r="ABA23" s="3431"/>
      <c r="ABB23" s="3431"/>
      <c r="ABC23" s="3431"/>
      <c r="ABD23" s="3431"/>
      <c r="ABE23" s="3431"/>
      <c r="ABF23" s="3431"/>
      <c r="ABG23" s="3431"/>
      <c r="ABH23" s="3431"/>
      <c r="ABI23" s="3431"/>
      <c r="ABJ23" s="3431"/>
      <c r="ABK23" s="3431"/>
      <c r="ABL23" s="3431"/>
      <c r="ABM23" s="3431"/>
      <c r="ABN23" s="3431"/>
      <c r="ABO23" s="3431"/>
      <c r="ABP23" s="3431"/>
      <c r="ABQ23" s="3431"/>
      <c r="ABR23" s="3431"/>
      <c r="ABS23" s="3431"/>
      <c r="ABT23" s="3431"/>
      <c r="ABU23" s="3431"/>
      <c r="ABV23" s="3431"/>
      <c r="ABW23" s="3431"/>
      <c r="ABX23" s="3431"/>
      <c r="ABY23" s="3431"/>
      <c r="ABZ23" s="3431"/>
      <c r="ACA23" s="3431"/>
      <c r="ACB23" s="3431"/>
      <c r="ACC23" s="3431"/>
      <c r="ACD23" s="3431"/>
      <c r="ACE23" s="3431"/>
      <c r="ACF23" s="3431"/>
      <c r="ACG23" s="3431"/>
      <c r="ACH23" s="3431"/>
      <c r="ACI23" s="3431"/>
      <c r="ACJ23" s="3431"/>
      <c r="ACK23" s="3431"/>
      <c r="ACL23" s="3431"/>
      <c r="ACM23" s="3431"/>
      <c r="ACN23" s="3431"/>
      <c r="ACO23" s="3431"/>
      <c r="ACP23" s="3431"/>
      <c r="ACQ23" s="3431"/>
      <c r="ACR23" s="3431"/>
      <c r="ACS23" s="3431"/>
      <c r="ACT23" s="3431"/>
      <c r="ACU23" s="3431"/>
      <c r="ACV23" s="3431"/>
      <c r="ACW23" s="3431"/>
      <c r="ACX23" s="3431"/>
      <c r="ACY23" s="3431"/>
      <c r="ACZ23" s="3431"/>
      <c r="ADA23" s="3431"/>
      <c r="ADB23" s="3431"/>
      <c r="ADC23" s="3431"/>
      <c r="ADD23" s="3431"/>
      <c r="ADE23" s="3431"/>
      <c r="ADF23" s="3431"/>
      <c r="ADG23" s="3431"/>
      <c r="ADH23" s="3431"/>
      <c r="ADI23" s="3431"/>
      <c r="ADJ23" s="3431"/>
      <c r="ADK23" s="3431"/>
      <c r="ADL23" s="3431"/>
      <c r="ADM23" s="3431"/>
      <c r="ADN23" s="3431"/>
      <c r="ADO23" s="3431"/>
      <c r="ADP23" s="3431"/>
      <c r="ADQ23" s="3431"/>
      <c r="ADR23" s="3431"/>
      <c r="ADS23" s="3431"/>
      <c r="ADT23" s="3431"/>
      <c r="ADU23" s="3431"/>
      <c r="ADV23" s="3431"/>
      <c r="ADW23" s="3431"/>
      <c r="ADX23" s="3431"/>
      <c r="ADY23" s="3431"/>
      <c r="ADZ23" s="3431"/>
      <c r="AEA23" s="3431"/>
      <c r="AEB23" s="3431"/>
      <c r="AEC23" s="3431"/>
      <c r="AED23" s="3431"/>
      <c r="AEE23" s="3431"/>
      <c r="AEF23" s="3431"/>
      <c r="AEG23" s="3431"/>
      <c r="AEH23" s="3431"/>
      <c r="AEI23" s="3431"/>
      <c r="AEJ23" s="3431"/>
      <c r="AEK23" s="3431"/>
      <c r="AEL23" s="3431"/>
      <c r="AEM23" s="3431"/>
      <c r="AEN23" s="3431"/>
      <c r="AEO23" s="3431"/>
      <c r="AEP23" s="3431"/>
      <c r="AEQ23" s="3431"/>
      <c r="AER23" s="3431"/>
      <c r="AES23" s="3431"/>
      <c r="AET23" s="3431"/>
      <c r="AEU23" s="3431"/>
      <c r="AEV23" s="3431"/>
      <c r="AEW23" s="3431"/>
      <c r="AEX23" s="3431"/>
      <c r="AEY23" s="3431"/>
      <c r="AEZ23" s="3431"/>
      <c r="AFA23" s="3431"/>
      <c r="AFB23" s="3431"/>
      <c r="AFC23" s="3431"/>
      <c r="AFD23" s="3431"/>
      <c r="AFE23" s="3431"/>
      <c r="AFF23" s="3431"/>
      <c r="AFG23" s="3431"/>
      <c r="AFH23" s="3431"/>
      <c r="AFI23" s="3431"/>
      <c r="AFJ23" s="3431"/>
      <c r="AFK23" s="3431"/>
      <c r="AFL23" s="3431"/>
      <c r="AFM23" s="3431"/>
      <c r="AFN23" s="3431"/>
      <c r="AFO23" s="3431"/>
      <c r="AFP23" s="3431"/>
      <c r="AFQ23" s="3431"/>
      <c r="AFR23" s="3431"/>
      <c r="AFS23" s="3431"/>
      <c r="AFT23" s="3431"/>
      <c r="AFU23" s="3431"/>
      <c r="AFV23" s="3431"/>
      <c r="AFW23" s="3431"/>
      <c r="AFX23" s="3431"/>
      <c r="AFY23" s="3431"/>
      <c r="AFZ23" s="3431"/>
      <c r="AGA23" s="3431"/>
      <c r="AGB23" s="3431"/>
      <c r="AGC23" s="3431"/>
      <c r="AGD23" s="3431"/>
      <c r="AGE23" s="3431"/>
      <c r="AGF23" s="3431"/>
      <c r="AGG23" s="3431"/>
      <c r="AGH23" s="3431"/>
      <c r="AGI23" s="3431"/>
      <c r="AGJ23" s="3431"/>
      <c r="AGK23" s="3431"/>
      <c r="AGL23" s="3431"/>
      <c r="AGM23" s="3431"/>
      <c r="AGN23" s="3431"/>
      <c r="AGO23" s="3431"/>
      <c r="AGP23" s="3431"/>
      <c r="AGQ23" s="3431"/>
      <c r="AGR23" s="3431"/>
      <c r="AGS23" s="3431"/>
      <c r="AGT23" s="3431"/>
      <c r="AGU23" s="3431"/>
      <c r="AGV23" s="3431"/>
      <c r="AGW23" s="3431"/>
      <c r="AGX23" s="3431"/>
      <c r="AGY23" s="3431"/>
      <c r="AGZ23" s="3431"/>
      <c r="AHA23" s="3431"/>
      <c r="AHB23" s="3431"/>
      <c r="AHC23" s="3431"/>
      <c r="AHD23" s="3431"/>
      <c r="AHE23" s="3431"/>
      <c r="AHF23" s="3431"/>
      <c r="AHG23" s="3431"/>
      <c r="AHH23" s="3431"/>
      <c r="AHI23" s="3431"/>
      <c r="AHJ23" s="3431"/>
      <c r="AHK23" s="3431"/>
      <c r="AHL23" s="3431"/>
      <c r="AHM23" s="3431"/>
      <c r="AHN23" s="3431"/>
      <c r="AHO23" s="3431"/>
      <c r="AHP23" s="3431"/>
      <c r="AHQ23" s="3431"/>
      <c r="AHR23" s="3431"/>
      <c r="AHS23" s="3431"/>
      <c r="AHT23" s="3431"/>
      <c r="AHU23" s="3431"/>
      <c r="AHV23" s="3431"/>
      <c r="AHW23" s="3431"/>
      <c r="AHX23" s="3431"/>
      <c r="AHY23" s="3431"/>
      <c r="AHZ23" s="3431"/>
      <c r="AIA23" s="3431"/>
      <c r="AIB23" s="3431"/>
      <c r="AIC23" s="3431"/>
      <c r="AID23" s="3431"/>
      <c r="AIE23" s="3431"/>
      <c r="AIF23" s="3431"/>
      <c r="AIG23" s="3431"/>
      <c r="AIH23" s="3431"/>
      <c r="AII23" s="3431"/>
      <c r="AIJ23" s="3431"/>
      <c r="AIK23" s="3431"/>
      <c r="AIL23" s="3431"/>
      <c r="AIM23" s="3431"/>
      <c r="AIN23" s="3431"/>
      <c r="AIO23" s="3431"/>
      <c r="AIP23" s="3431"/>
      <c r="AIQ23" s="3431"/>
      <c r="AIR23" s="3431"/>
      <c r="AIS23" s="3431"/>
      <c r="AIT23" s="3431"/>
      <c r="AIU23" s="3431"/>
      <c r="AIV23" s="3431"/>
      <c r="AIW23" s="3431"/>
      <c r="AIX23" s="3431"/>
      <c r="AIY23" s="3431"/>
      <c r="AIZ23" s="3431"/>
      <c r="AJA23" s="3431"/>
      <c r="AJB23" s="3431"/>
      <c r="AJC23" s="3431"/>
      <c r="AJD23" s="3431"/>
      <c r="AJE23" s="3431"/>
      <c r="AJF23" s="3431"/>
      <c r="AJG23" s="3431"/>
      <c r="AJH23" s="3431"/>
      <c r="AJI23" s="3431"/>
      <c r="AJJ23" s="3431"/>
      <c r="AJK23" s="3431"/>
      <c r="AJL23" s="3431"/>
      <c r="AJM23" s="3431"/>
      <c r="AJN23" s="3431"/>
      <c r="AJO23" s="3431"/>
      <c r="AJP23" s="3431"/>
      <c r="AJQ23" s="3431"/>
      <c r="AJR23" s="3431"/>
      <c r="AJS23" s="3431"/>
      <c r="AJT23" s="3431"/>
      <c r="AJU23" s="3431"/>
      <c r="AJV23" s="3431"/>
      <c r="AJW23" s="3431"/>
      <c r="AJX23" s="3431"/>
      <c r="AJY23" s="3431"/>
      <c r="AJZ23" s="3431"/>
      <c r="AKA23" s="3431"/>
      <c r="AKB23" s="3431"/>
      <c r="AKC23" s="3431"/>
      <c r="AKD23" s="3431"/>
      <c r="AKE23" s="3431"/>
      <c r="AKF23" s="3431"/>
      <c r="AKG23" s="3431"/>
      <c r="AKH23" s="3431"/>
      <c r="AKI23" s="3431"/>
      <c r="AKJ23" s="3431"/>
      <c r="AKK23" s="3431"/>
      <c r="AKL23" s="3431"/>
      <c r="AKM23" s="3431"/>
      <c r="AKN23" s="3431"/>
      <c r="AKO23" s="3431"/>
      <c r="AKP23" s="3431"/>
      <c r="AKQ23" s="3431"/>
      <c r="AKR23" s="3431"/>
      <c r="AKS23" s="3431"/>
      <c r="AKT23" s="3431"/>
      <c r="AKU23" s="3431"/>
      <c r="AKV23" s="3431"/>
      <c r="AKW23" s="3431"/>
      <c r="AKX23" s="3431"/>
      <c r="AKY23" s="3431"/>
      <c r="AKZ23" s="3431"/>
      <c r="ALA23" s="3431"/>
      <c r="ALB23" s="3431"/>
      <c r="ALC23" s="3431"/>
      <c r="ALD23" s="3431"/>
      <c r="ALE23" s="3431"/>
      <c r="ALF23" s="3431"/>
      <c r="ALG23" s="3431"/>
      <c r="ALH23" s="3431"/>
      <c r="ALI23" s="3431"/>
      <c r="ALJ23" s="3431"/>
      <c r="ALK23" s="3431"/>
      <c r="ALL23" s="3431"/>
      <c r="ALM23" s="3431"/>
      <c r="ALN23" s="3431"/>
      <c r="ALO23" s="3431"/>
      <c r="ALP23" s="3431"/>
      <c r="ALQ23" s="3431"/>
      <c r="ALR23" s="3431"/>
      <c r="ALS23" s="3431"/>
      <c r="ALT23" s="3431"/>
      <c r="ALU23" s="3431"/>
      <c r="ALV23" s="3431"/>
      <c r="ALW23" s="3431"/>
      <c r="ALX23" s="3431"/>
      <c r="ALY23" s="3431"/>
      <c r="ALZ23" s="3431"/>
      <c r="AMA23" s="3431"/>
      <c r="AMB23" s="3431"/>
      <c r="AMC23" s="3431"/>
      <c r="AMD23" s="3431"/>
      <c r="AME23" s="3431"/>
      <c r="AMF23" s="3431"/>
      <c r="AMG23" s="3431"/>
      <c r="AMH23" s="3431"/>
      <c r="AMI23" s="3431"/>
      <c r="AMJ23" s="3431"/>
      <c r="AMK23" s="3431"/>
      <c r="AML23" s="3431"/>
      <c r="AMM23" s="3431"/>
      <c r="AMN23" s="3431"/>
      <c r="AMO23" s="3431"/>
      <c r="AMP23" s="3431"/>
      <c r="AMQ23" s="3431"/>
      <c r="AMR23" s="3431"/>
      <c r="AMS23" s="3431"/>
      <c r="AMT23" s="3431"/>
      <c r="AMU23" s="3431"/>
      <c r="AMV23" s="3431"/>
      <c r="AMW23" s="3431"/>
      <c r="AMX23" s="3431"/>
      <c r="AMY23" s="3431"/>
      <c r="AMZ23" s="3431"/>
      <c r="ANA23" s="3431"/>
      <c r="ANB23" s="3431"/>
      <c r="ANC23" s="3431"/>
      <c r="AND23" s="3431"/>
      <c r="ANE23" s="3431"/>
      <c r="ANF23" s="3431"/>
      <c r="ANG23" s="3431"/>
      <c r="ANH23" s="3431"/>
      <c r="ANI23" s="3431"/>
      <c r="ANJ23" s="3431"/>
      <c r="ANK23" s="3431"/>
      <c r="ANL23" s="3431"/>
      <c r="ANM23" s="3431"/>
      <c r="ANN23" s="3431"/>
      <c r="ANO23" s="3431"/>
      <c r="ANP23" s="3431"/>
      <c r="ANQ23" s="3431"/>
      <c r="ANR23" s="3431"/>
      <c r="ANS23" s="3431"/>
      <c r="ANT23" s="3431"/>
      <c r="ANU23" s="3431"/>
      <c r="ANV23" s="3431"/>
      <c r="ANW23" s="3431"/>
      <c r="ANX23" s="3431"/>
      <c r="ANY23" s="3431"/>
      <c r="ANZ23" s="3431"/>
      <c r="AOA23" s="3431"/>
      <c r="AOB23" s="3431"/>
      <c r="AOC23" s="3431"/>
      <c r="AOD23" s="3431"/>
      <c r="AOE23" s="3431"/>
      <c r="AOF23" s="3431"/>
      <c r="AOG23" s="3431"/>
      <c r="AOH23" s="3431"/>
      <c r="AOI23" s="3431"/>
      <c r="AOJ23" s="3431"/>
      <c r="AOK23" s="3431"/>
      <c r="AOL23" s="3431"/>
      <c r="AOM23" s="3431"/>
      <c r="AON23" s="3431"/>
      <c r="AOO23" s="3431"/>
      <c r="AOP23" s="3431"/>
      <c r="AOQ23" s="3431"/>
      <c r="AOR23" s="3431"/>
      <c r="AOS23" s="3431"/>
      <c r="AOT23" s="3431"/>
      <c r="AOU23" s="3431"/>
      <c r="AOV23" s="3431"/>
      <c r="AOW23" s="3431"/>
      <c r="AOX23" s="3431"/>
      <c r="AOY23" s="3431"/>
      <c r="AOZ23" s="3431"/>
      <c r="APA23" s="3431"/>
      <c r="APB23" s="3431"/>
      <c r="APC23" s="3431"/>
      <c r="APD23" s="3431"/>
      <c r="APE23" s="3431"/>
      <c r="APF23" s="3431"/>
      <c r="APG23" s="3431"/>
      <c r="APH23" s="3431"/>
      <c r="API23" s="3431"/>
      <c r="APJ23" s="3431"/>
      <c r="APK23" s="3431"/>
      <c r="APL23" s="3431"/>
      <c r="APM23" s="3431"/>
      <c r="APN23" s="3431"/>
      <c r="APO23" s="3431"/>
      <c r="APP23" s="3431"/>
      <c r="APQ23" s="3431"/>
      <c r="APR23" s="3431"/>
      <c r="APS23" s="3431"/>
      <c r="APT23" s="3431"/>
      <c r="APU23" s="3431"/>
      <c r="APV23" s="3431"/>
      <c r="APW23" s="3431"/>
      <c r="APX23" s="3431"/>
      <c r="APY23" s="3431"/>
      <c r="APZ23" s="3431"/>
      <c r="AQA23" s="3431"/>
      <c r="AQB23" s="3431"/>
      <c r="AQC23" s="3431"/>
      <c r="AQD23" s="3431"/>
      <c r="AQE23" s="3431"/>
      <c r="AQF23" s="3431"/>
      <c r="AQG23" s="3431"/>
      <c r="AQH23" s="3431"/>
      <c r="AQI23" s="3431"/>
      <c r="AQJ23" s="3431"/>
      <c r="AQK23" s="3431"/>
      <c r="AQL23" s="3431"/>
      <c r="AQM23" s="3431"/>
      <c r="AQN23" s="3431"/>
      <c r="AQO23" s="3431"/>
      <c r="AQP23" s="3431"/>
      <c r="AQQ23" s="3431"/>
      <c r="AQR23" s="3431"/>
      <c r="AQS23" s="3431"/>
      <c r="AQT23" s="3431"/>
      <c r="AQU23" s="3431"/>
      <c r="AQV23" s="3431"/>
      <c r="AQW23" s="3431"/>
      <c r="AQX23" s="3431"/>
      <c r="AQY23" s="3431"/>
      <c r="AQZ23" s="3431"/>
      <c r="ARA23" s="3431"/>
      <c r="ARB23" s="3431"/>
      <c r="ARC23" s="3431"/>
      <c r="ARD23" s="3431"/>
      <c r="ARE23" s="3431"/>
      <c r="ARF23" s="3431"/>
      <c r="ARG23" s="3431"/>
      <c r="ARH23" s="3431"/>
      <c r="ARI23" s="3431"/>
      <c r="ARJ23" s="3431"/>
      <c r="ARK23" s="3431"/>
      <c r="ARL23" s="3431"/>
      <c r="ARM23" s="3431"/>
      <c r="ARN23" s="3431"/>
      <c r="ARO23" s="3431"/>
      <c r="ARP23" s="3431"/>
      <c r="ARQ23" s="3431"/>
      <c r="ARR23" s="3431"/>
      <c r="ARS23" s="3431"/>
      <c r="ART23" s="3431"/>
      <c r="ARU23" s="3431"/>
      <c r="ARV23" s="3431"/>
      <c r="ARW23" s="3431"/>
      <c r="ARX23" s="3431"/>
      <c r="ARY23" s="3431"/>
      <c r="ARZ23" s="3431"/>
      <c r="ASA23" s="3431"/>
      <c r="ASB23" s="3431"/>
      <c r="ASC23" s="3431"/>
      <c r="ASD23" s="3431"/>
      <c r="ASE23" s="3431"/>
      <c r="ASF23" s="3431"/>
      <c r="ASG23" s="3431"/>
      <c r="ASH23" s="3431"/>
      <c r="ASI23" s="3431"/>
      <c r="ASJ23" s="3431"/>
      <c r="ASK23" s="3431"/>
      <c r="ASL23" s="3431"/>
      <c r="ASM23" s="3431"/>
      <c r="ASN23" s="3431"/>
      <c r="ASO23" s="3431"/>
      <c r="ASP23" s="3431"/>
      <c r="ASQ23" s="3431"/>
      <c r="ASR23" s="3431"/>
      <c r="ASS23" s="3431"/>
      <c r="AST23" s="3431"/>
      <c r="ASU23" s="3431"/>
      <c r="ASV23" s="3431"/>
      <c r="ASW23" s="3431"/>
      <c r="ASX23" s="3431"/>
      <c r="ASY23" s="3431"/>
      <c r="ASZ23" s="3431"/>
      <c r="ATA23" s="3431"/>
      <c r="ATB23" s="3431"/>
      <c r="ATC23" s="3431"/>
      <c r="ATD23" s="3431"/>
      <c r="ATE23" s="3431"/>
      <c r="ATF23" s="3431"/>
      <c r="ATG23" s="3431"/>
      <c r="ATH23" s="3431"/>
      <c r="ATI23" s="3431"/>
      <c r="ATJ23" s="3431"/>
      <c r="ATK23" s="3431"/>
      <c r="ATL23" s="3431"/>
      <c r="ATM23" s="3431"/>
      <c r="ATN23" s="3431"/>
      <c r="ATO23" s="3431"/>
      <c r="ATP23" s="3431"/>
      <c r="ATQ23" s="3431"/>
      <c r="ATR23" s="3431"/>
      <c r="ATS23" s="3431"/>
      <c r="ATT23" s="3431"/>
      <c r="ATU23" s="3431"/>
      <c r="ATV23" s="3431"/>
      <c r="ATW23" s="3431"/>
      <c r="ATX23" s="3431"/>
      <c r="ATY23" s="3431"/>
      <c r="ATZ23" s="3431"/>
      <c r="AUA23" s="3431"/>
      <c r="AUB23" s="3431"/>
      <c r="AUC23" s="3431"/>
      <c r="AUD23" s="3431"/>
      <c r="AUE23" s="3431"/>
      <c r="AUF23" s="3431"/>
      <c r="AUG23" s="3431"/>
      <c r="AUH23" s="3431"/>
      <c r="AUI23" s="3431"/>
      <c r="AUJ23" s="3431"/>
      <c r="AUK23" s="3431"/>
      <c r="AUL23" s="3431"/>
      <c r="AUM23" s="3431"/>
      <c r="AUN23" s="3431"/>
      <c r="AUO23" s="3431"/>
      <c r="AUP23" s="3431"/>
      <c r="AUQ23" s="3431"/>
      <c r="AUR23" s="3431"/>
      <c r="AUS23" s="3431"/>
      <c r="AUT23" s="3431"/>
      <c r="AUU23" s="3431"/>
      <c r="AUV23" s="3431"/>
      <c r="AUW23" s="3431"/>
      <c r="AUX23" s="3431"/>
      <c r="AUY23" s="3431"/>
      <c r="AUZ23" s="3431"/>
      <c r="AVA23" s="3431"/>
      <c r="AVB23" s="3431"/>
      <c r="AVC23" s="3431"/>
      <c r="AVD23" s="3431"/>
      <c r="AVE23" s="3431"/>
      <c r="AVF23" s="3431"/>
      <c r="AVG23" s="3431"/>
      <c r="AVH23" s="3431"/>
      <c r="AVI23" s="3431"/>
      <c r="AVJ23" s="3431"/>
      <c r="AVK23" s="3431"/>
      <c r="AVL23" s="3431"/>
      <c r="AVM23" s="3431"/>
      <c r="AVN23" s="3431"/>
      <c r="AVO23" s="3431"/>
      <c r="AVP23" s="3431"/>
      <c r="AVQ23" s="3431"/>
      <c r="AVR23" s="3431"/>
      <c r="AVS23" s="3431"/>
      <c r="AVT23" s="3431"/>
      <c r="AVU23" s="3431"/>
      <c r="AVV23" s="3431"/>
      <c r="AVW23" s="3431"/>
      <c r="AVX23" s="3431"/>
      <c r="AVY23" s="3431"/>
      <c r="AVZ23" s="3431"/>
      <c r="AWA23" s="3431"/>
      <c r="AWB23" s="3431"/>
      <c r="AWC23" s="3431"/>
      <c r="AWD23" s="3431"/>
      <c r="AWE23" s="3431"/>
      <c r="AWF23" s="3431"/>
      <c r="AWG23" s="3431"/>
      <c r="AWH23" s="3431"/>
      <c r="AWI23" s="3431"/>
      <c r="AWJ23" s="3431"/>
      <c r="AWK23" s="3431"/>
      <c r="AWL23" s="3431"/>
      <c r="AWM23" s="3431"/>
      <c r="AWN23" s="3431"/>
      <c r="AWO23" s="3431"/>
      <c r="AWP23" s="3431"/>
      <c r="AWQ23" s="3431"/>
      <c r="AWR23" s="3431"/>
      <c r="AWS23" s="3431"/>
      <c r="AWT23" s="3431"/>
      <c r="AWU23" s="3431"/>
      <c r="AWV23" s="3431"/>
      <c r="AWW23" s="3431"/>
      <c r="AWX23" s="3431"/>
      <c r="AWY23" s="3431"/>
      <c r="AWZ23" s="3431"/>
      <c r="AXA23" s="3431"/>
      <c r="AXB23" s="3431"/>
      <c r="AXC23" s="3431"/>
      <c r="AXD23" s="3431"/>
      <c r="AXE23" s="3431"/>
      <c r="AXF23" s="3431"/>
      <c r="AXG23" s="3431"/>
      <c r="AXH23" s="3431"/>
      <c r="AXI23" s="3431"/>
      <c r="AXJ23" s="3431"/>
      <c r="AXK23" s="3431"/>
      <c r="AXL23" s="3431"/>
      <c r="AXM23" s="3431"/>
      <c r="AXN23" s="3431"/>
      <c r="AXO23" s="3431"/>
      <c r="AXP23" s="3431"/>
      <c r="AXQ23" s="3431"/>
      <c r="AXR23" s="3431"/>
      <c r="AXS23" s="3431"/>
      <c r="AXT23" s="3431"/>
      <c r="AXU23" s="3431"/>
      <c r="AXV23" s="3431"/>
      <c r="AXW23" s="3431"/>
      <c r="AXX23" s="3431"/>
      <c r="AXY23" s="3431"/>
      <c r="AXZ23" s="3431"/>
      <c r="AYA23" s="3431"/>
      <c r="AYB23" s="3431"/>
      <c r="AYC23" s="3431"/>
      <c r="AYD23" s="3431"/>
      <c r="AYE23" s="3431"/>
      <c r="AYF23" s="3431"/>
      <c r="AYG23" s="3431"/>
      <c r="AYH23" s="3431"/>
      <c r="AYI23" s="3431"/>
      <c r="AYJ23" s="3431"/>
      <c r="AYK23" s="3431"/>
      <c r="AYL23" s="3431"/>
      <c r="AYM23" s="3431"/>
      <c r="AYN23" s="3431"/>
      <c r="AYO23" s="3431"/>
      <c r="AYP23" s="3431"/>
      <c r="AYQ23" s="3431"/>
      <c r="AYR23" s="3431"/>
      <c r="AYS23" s="3431"/>
      <c r="AYT23" s="3431"/>
      <c r="AYU23" s="3431"/>
      <c r="AYV23" s="3431"/>
      <c r="AYW23" s="3431"/>
      <c r="AYX23" s="3431"/>
      <c r="AYY23" s="3431"/>
      <c r="AYZ23" s="3431"/>
      <c r="AZA23" s="3431"/>
      <c r="AZB23" s="3431"/>
      <c r="AZC23" s="3431"/>
      <c r="AZD23" s="3431"/>
      <c r="AZE23" s="3431"/>
      <c r="AZF23" s="3431"/>
      <c r="AZG23" s="3431"/>
      <c r="AZH23" s="3431"/>
      <c r="AZI23" s="3431"/>
      <c r="AZJ23" s="3431"/>
      <c r="AZK23" s="3431"/>
      <c r="AZL23" s="3431"/>
      <c r="AZM23" s="3431"/>
      <c r="AZN23" s="3431"/>
      <c r="AZO23" s="3431"/>
      <c r="AZP23" s="3431"/>
      <c r="AZQ23" s="3431"/>
      <c r="AZR23" s="3431"/>
      <c r="AZS23" s="3431"/>
      <c r="AZT23" s="3431"/>
      <c r="AZU23" s="3431"/>
      <c r="AZV23" s="3431"/>
      <c r="AZW23" s="3431"/>
      <c r="AZX23" s="3431"/>
      <c r="AZY23" s="3431"/>
      <c r="AZZ23" s="3431"/>
      <c r="BAA23" s="3431"/>
      <c r="BAB23" s="3431"/>
      <c r="BAC23" s="3431"/>
      <c r="BAD23" s="3431"/>
      <c r="BAE23" s="3431"/>
      <c r="BAF23" s="3431"/>
      <c r="BAG23" s="3431"/>
      <c r="BAH23" s="3431"/>
      <c r="BAI23" s="3431"/>
      <c r="BAJ23" s="3431"/>
      <c r="BAK23" s="3431"/>
      <c r="BAL23" s="3431"/>
      <c r="BAM23" s="3431"/>
      <c r="BAN23" s="3431"/>
      <c r="BAO23" s="3431"/>
      <c r="BAP23" s="3431"/>
      <c r="BAQ23" s="3431"/>
      <c r="BAR23" s="3431"/>
      <c r="BAS23" s="3431"/>
      <c r="BAT23" s="3431"/>
      <c r="BAU23" s="3431"/>
      <c r="BAV23" s="3431"/>
      <c r="BAW23" s="3431"/>
      <c r="BAX23" s="3431"/>
      <c r="BAY23" s="3431"/>
      <c r="BAZ23" s="3431"/>
      <c r="BBA23" s="3431"/>
      <c r="BBB23" s="3431"/>
      <c r="BBC23" s="3431"/>
      <c r="BBD23" s="3431"/>
      <c r="BBE23" s="3431"/>
      <c r="BBF23" s="3431"/>
      <c r="BBG23" s="3431"/>
      <c r="BBH23" s="3431"/>
      <c r="BBI23" s="3431"/>
      <c r="BBJ23" s="3431"/>
      <c r="BBK23" s="3431"/>
      <c r="BBL23" s="3431"/>
      <c r="BBM23" s="3431"/>
      <c r="BBN23" s="3431"/>
      <c r="BBO23" s="3431"/>
      <c r="BBP23" s="3431"/>
      <c r="BBQ23" s="3431"/>
      <c r="BBR23" s="3431"/>
      <c r="BBS23" s="3431"/>
      <c r="BBT23" s="3431"/>
      <c r="BBU23" s="3431"/>
      <c r="BBV23" s="3431"/>
      <c r="BBW23" s="3431"/>
      <c r="BBX23" s="3431"/>
      <c r="BBY23" s="3431"/>
      <c r="BBZ23" s="3431"/>
      <c r="BCA23" s="3431"/>
      <c r="BCB23" s="3431"/>
      <c r="BCC23" s="3431"/>
      <c r="BCD23" s="3431"/>
      <c r="BCE23" s="3431"/>
      <c r="BCF23" s="3431"/>
      <c r="BCG23" s="3431"/>
      <c r="BCH23" s="3431"/>
      <c r="BCI23" s="3431"/>
      <c r="BCJ23" s="3431"/>
      <c r="BCK23" s="3431"/>
      <c r="BCL23" s="3431"/>
      <c r="BCM23" s="3431"/>
      <c r="BCN23" s="3431"/>
      <c r="BCO23" s="3431"/>
      <c r="BCP23" s="3431"/>
      <c r="BCQ23" s="3431"/>
      <c r="BCR23" s="3431"/>
      <c r="BCS23" s="3431"/>
      <c r="BCT23" s="3431"/>
      <c r="BCU23" s="3431"/>
      <c r="BCV23" s="3431"/>
      <c r="BCW23" s="3431"/>
      <c r="BCX23" s="3431"/>
      <c r="BCY23" s="3431"/>
      <c r="BCZ23" s="3431"/>
      <c r="BDA23" s="3431"/>
      <c r="BDB23" s="3431"/>
      <c r="BDC23" s="3431"/>
      <c r="BDD23" s="3431"/>
      <c r="BDE23" s="3431"/>
      <c r="BDF23" s="3431"/>
      <c r="BDG23" s="3431"/>
      <c r="BDH23" s="3431"/>
      <c r="BDI23" s="3431"/>
      <c r="BDJ23" s="3431"/>
      <c r="BDK23" s="3431"/>
      <c r="BDL23" s="3431"/>
      <c r="BDM23" s="3431"/>
      <c r="BDN23" s="3431"/>
      <c r="BDO23" s="3431"/>
      <c r="BDP23" s="3431"/>
      <c r="BDQ23" s="3431"/>
      <c r="BDR23" s="3431"/>
      <c r="BDS23" s="3431"/>
      <c r="BDT23" s="3431"/>
      <c r="BDU23" s="3431"/>
      <c r="BDV23" s="3431"/>
      <c r="BDW23" s="3431"/>
      <c r="BDX23" s="3431"/>
      <c r="BDY23" s="3431"/>
      <c r="BDZ23" s="3431"/>
      <c r="BEA23" s="3431"/>
      <c r="BEB23" s="3431"/>
      <c r="BEC23" s="3431"/>
      <c r="BED23" s="3431"/>
      <c r="BEE23" s="3431"/>
      <c r="BEF23" s="3431"/>
      <c r="BEG23" s="3431"/>
      <c r="BEH23" s="3431"/>
      <c r="BEI23" s="3431"/>
      <c r="BEJ23" s="3431"/>
      <c r="BEK23" s="3431"/>
      <c r="BEL23" s="3431"/>
      <c r="BEM23" s="3431"/>
      <c r="BEN23" s="3431"/>
      <c r="BEO23" s="3431"/>
      <c r="BEP23" s="3431"/>
      <c r="BEQ23" s="3431"/>
      <c r="BER23" s="3431"/>
      <c r="BES23" s="3431"/>
      <c r="BET23" s="3431"/>
      <c r="BEU23" s="3431"/>
      <c r="BEV23" s="3431"/>
      <c r="BEW23" s="3431"/>
      <c r="BEX23" s="3431"/>
      <c r="BEY23" s="3431"/>
      <c r="BEZ23" s="3431"/>
      <c r="BFA23" s="3431"/>
      <c r="BFB23" s="3431"/>
      <c r="BFC23" s="3431"/>
      <c r="BFD23" s="3431"/>
      <c r="BFE23" s="3431"/>
      <c r="BFF23" s="3431"/>
      <c r="BFG23" s="3431"/>
      <c r="BFH23" s="3431"/>
      <c r="BFI23" s="3431"/>
      <c r="BFJ23" s="3431"/>
      <c r="BFK23" s="3431"/>
      <c r="BFL23" s="3431"/>
      <c r="BFM23" s="3431"/>
      <c r="BFN23" s="3431"/>
      <c r="BFO23" s="3431"/>
      <c r="BFP23" s="3431"/>
      <c r="BFQ23" s="3431"/>
      <c r="BFR23" s="3431"/>
      <c r="BFS23" s="3431"/>
      <c r="BFT23" s="3431"/>
      <c r="BFU23" s="3431"/>
      <c r="BFV23" s="3431"/>
      <c r="BFW23" s="3431"/>
      <c r="BFX23" s="3431"/>
      <c r="BFY23" s="3431"/>
      <c r="BFZ23" s="3431"/>
      <c r="BGA23" s="3431"/>
      <c r="BGB23" s="3431"/>
      <c r="BGC23" s="3431"/>
      <c r="BGD23" s="3431"/>
      <c r="BGE23" s="3431"/>
      <c r="BGF23" s="3431"/>
      <c r="BGG23" s="3431"/>
      <c r="BGH23" s="3431"/>
      <c r="BGI23" s="3431"/>
      <c r="BGJ23" s="3431"/>
      <c r="BGK23" s="3431"/>
      <c r="BGL23" s="3431"/>
      <c r="BGM23" s="3431"/>
      <c r="BGN23" s="3431"/>
      <c r="BGO23" s="3431"/>
      <c r="BGP23" s="3431"/>
      <c r="BGQ23" s="3431"/>
      <c r="BGR23" s="3431"/>
      <c r="BGS23" s="3431"/>
      <c r="BGT23" s="3431"/>
      <c r="BGU23" s="3431"/>
      <c r="BGV23" s="3431"/>
      <c r="BGW23" s="3431"/>
      <c r="BGX23" s="3431"/>
      <c r="BGY23" s="3431"/>
      <c r="BGZ23" s="3431"/>
      <c r="BHA23" s="3431"/>
      <c r="BHB23" s="3431"/>
      <c r="BHC23" s="3431"/>
      <c r="BHD23" s="3431"/>
      <c r="BHE23" s="3431"/>
      <c r="BHF23" s="3431"/>
      <c r="BHG23" s="3431"/>
      <c r="BHH23" s="3431"/>
      <c r="BHI23" s="3431"/>
      <c r="BHJ23" s="3431"/>
      <c r="BHK23" s="3431"/>
      <c r="BHL23" s="3431"/>
      <c r="BHM23" s="3431"/>
      <c r="BHN23" s="3431"/>
      <c r="BHO23" s="3431"/>
      <c r="BHP23" s="3431"/>
      <c r="BHQ23" s="3431"/>
      <c r="BHR23" s="3431"/>
      <c r="BHS23" s="3431"/>
      <c r="BHT23" s="3431"/>
      <c r="BHU23" s="3431"/>
      <c r="BHV23" s="3431"/>
      <c r="BHW23" s="3431"/>
      <c r="BHX23" s="3431"/>
      <c r="BHY23" s="3431"/>
      <c r="BHZ23" s="3431"/>
      <c r="BIA23" s="3431"/>
      <c r="BIB23" s="3431"/>
      <c r="BIC23" s="3431"/>
      <c r="BID23" s="3431"/>
      <c r="BIE23" s="3431"/>
      <c r="BIF23" s="3431"/>
      <c r="BIG23" s="3431"/>
      <c r="BIH23" s="3431"/>
      <c r="BII23" s="3431"/>
      <c r="BIJ23" s="3431"/>
      <c r="BIK23" s="3431"/>
      <c r="BIL23" s="3431"/>
      <c r="BIM23" s="3431"/>
      <c r="BIN23" s="3431"/>
      <c r="BIO23" s="3431"/>
      <c r="BIP23" s="3431"/>
      <c r="BIQ23" s="3431"/>
      <c r="BIR23" s="3431"/>
      <c r="BIS23" s="3431"/>
      <c r="BIT23" s="3431"/>
      <c r="BIU23" s="3431"/>
      <c r="BIV23" s="3431"/>
      <c r="BIW23" s="3431"/>
      <c r="BIX23" s="3431"/>
      <c r="BIY23" s="3431"/>
      <c r="BIZ23" s="3431"/>
      <c r="BJA23" s="3431"/>
      <c r="BJB23" s="3431"/>
      <c r="BJC23" s="3431"/>
      <c r="BJD23" s="3431"/>
      <c r="BJE23" s="3431"/>
      <c r="BJF23" s="3431"/>
      <c r="BJG23" s="3431"/>
      <c r="BJH23" s="3431"/>
      <c r="BJI23" s="3431"/>
      <c r="BJJ23" s="3431"/>
      <c r="BJK23" s="3431"/>
      <c r="BJL23" s="3431"/>
      <c r="BJM23" s="3431"/>
      <c r="BJN23" s="3431"/>
      <c r="BJO23" s="3431"/>
      <c r="BJP23" s="3431"/>
      <c r="BJQ23" s="3431"/>
      <c r="BJR23" s="3431"/>
      <c r="BJS23" s="3431"/>
      <c r="BJT23" s="3431"/>
      <c r="BJU23" s="3431"/>
      <c r="BJV23" s="3431"/>
      <c r="BJW23" s="3431"/>
      <c r="BJX23" s="3431"/>
      <c r="BJY23" s="3431"/>
      <c r="BJZ23" s="3431"/>
      <c r="BKA23" s="3431"/>
      <c r="BKB23" s="3431"/>
      <c r="BKC23" s="3431"/>
      <c r="BKD23" s="3431"/>
      <c r="BKE23" s="3431"/>
      <c r="BKF23" s="3431"/>
      <c r="BKG23" s="3431"/>
      <c r="BKH23" s="3431"/>
      <c r="BKI23" s="3431"/>
      <c r="BKJ23" s="3431"/>
      <c r="BKK23" s="3431"/>
      <c r="BKL23" s="3431"/>
      <c r="BKM23" s="3431"/>
      <c r="BKN23" s="3431"/>
      <c r="BKO23" s="3431"/>
      <c r="BKP23" s="3431"/>
      <c r="BKQ23" s="3431"/>
      <c r="BKR23" s="3431"/>
      <c r="BKS23" s="3431"/>
      <c r="BKT23" s="3431"/>
      <c r="BKU23" s="3431"/>
      <c r="BKV23" s="3431"/>
      <c r="BKW23" s="3431"/>
      <c r="BKX23" s="3431"/>
      <c r="BKY23" s="3431"/>
      <c r="BKZ23" s="3431"/>
      <c r="BLA23" s="3431"/>
      <c r="BLB23" s="3431"/>
      <c r="BLC23" s="3431"/>
      <c r="BLD23" s="3431"/>
      <c r="BLE23" s="3431"/>
      <c r="BLF23" s="3431"/>
      <c r="BLG23" s="3431"/>
      <c r="BLH23" s="3431"/>
      <c r="BLI23" s="3431"/>
      <c r="BLJ23" s="3431"/>
      <c r="BLK23" s="3431"/>
      <c r="BLL23" s="3431"/>
      <c r="BLM23" s="3431"/>
      <c r="BLN23" s="3431"/>
      <c r="BLO23" s="3431"/>
      <c r="BLP23" s="3431"/>
      <c r="BLQ23" s="3431"/>
      <c r="BLR23" s="3431"/>
      <c r="BLS23" s="3431"/>
      <c r="BLT23" s="3431"/>
      <c r="BLU23" s="3431"/>
      <c r="BLV23" s="3431"/>
      <c r="BLW23" s="3431"/>
      <c r="BLX23" s="3431"/>
      <c r="BLY23" s="3431"/>
      <c r="BLZ23" s="3431"/>
      <c r="BMA23" s="3431"/>
      <c r="BMB23" s="3431"/>
      <c r="BMC23" s="3431"/>
      <c r="BMD23" s="3431"/>
      <c r="BME23" s="3431"/>
      <c r="BMF23" s="3431"/>
      <c r="BMG23" s="3431"/>
      <c r="BMH23" s="3431"/>
      <c r="BMI23" s="3431"/>
      <c r="BMJ23" s="3431"/>
      <c r="BMK23" s="3431"/>
      <c r="BML23" s="3431"/>
      <c r="BMM23" s="3431"/>
      <c r="BMN23" s="3431"/>
      <c r="BMO23" s="3431"/>
      <c r="BMP23" s="3431"/>
      <c r="BMQ23" s="3431"/>
      <c r="BMR23" s="3431"/>
      <c r="BMS23" s="3431"/>
      <c r="BMT23" s="3431"/>
      <c r="BMU23" s="3431"/>
      <c r="BMV23" s="3431"/>
      <c r="BMW23" s="3431"/>
      <c r="BMX23" s="3431"/>
      <c r="BMY23" s="3431"/>
      <c r="BMZ23" s="3431"/>
      <c r="BNA23" s="3431"/>
      <c r="BNB23" s="3431"/>
      <c r="BNC23" s="3431"/>
      <c r="BND23" s="3431"/>
      <c r="BNE23" s="3431"/>
      <c r="BNF23" s="3431"/>
      <c r="BNG23" s="3431"/>
      <c r="BNH23" s="3431"/>
      <c r="BNI23" s="3431"/>
      <c r="BNJ23" s="3431"/>
      <c r="BNK23" s="3431"/>
      <c r="BNL23" s="3431"/>
      <c r="BNM23" s="3431"/>
      <c r="BNN23" s="3431"/>
      <c r="BNO23" s="3431"/>
      <c r="BNP23" s="3431"/>
      <c r="BNQ23" s="3431"/>
      <c r="BNR23" s="3431"/>
      <c r="BNS23" s="3431"/>
      <c r="BNT23" s="3431"/>
      <c r="BNU23" s="3431"/>
      <c r="BNV23" s="3431"/>
      <c r="BNW23" s="3431"/>
      <c r="BNX23" s="3431"/>
      <c r="BNY23" s="3431"/>
      <c r="BNZ23" s="3431"/>
      <c r="BOA23" s="3431"/>
      <c r="BOB23" s="3431"/>
      <c r="BOC23" s="3431"/>
      <c r="BOD23" s="3431"/>
      <c r="BOE23" s="3431"/>
      <c r="BOF23" s="3431"/>
      <c r="BOG23" s="3431"/>
      <c r="BOH23" s="3431"/>
      <c r="BOI23" s="3431"/>
      <c r="BOJ23" s="3431"/>
      <c r="BOK23" s="3431"/>
      <c r="BOL23" s="3431"/>
      <c r="BOM23" s="3431"/>
      <c r="BON23" s="3431"/>
      <c r="BOO23" s="3431"/>
      <c r="BOP23" s="3431"/>
      <c r="BOQ23" s="3431"/>
      <c r="BOR23" s="3431"/>
      <c r="BOS23" s="3431"/>
      <c r="BOT23" s="3431"/>
      <c r="BOU23" s="3431"/>
      <c r="BOV23" s="3431"/>
      <c r="BOW23" s="3431"/>
      <c r="BOX23" s="3431"/>
      <c r="BOY23" s="3431"/>
      <c r="BOZ23" s="3431"/>
      <c r="BPA23" s="3431"/>
      <c r="BPB23" s="3431"/>
      <c r="BPC23" s="3431"/>
      <c r="BPD23" s="3431"/>
      <c r="BPE23" s="3431"/>
      <c r="BPF23" s="3431"/>
      <c r="BPG23" s="3431"/>
      <c r="BPH23" s="3431"/>
      <c r="BPI23" s="3431"/>
      <c r="BPJ23" s="3431"/>
      <c r="BPK23" s="3431"/>
      <c r="BPL23" s="3431"/>
      <c r="BPM23" s="3431"/>
      <c r="BPN23" s="3431"/>
      <c r="BPO23" s="3431"/>
      <c r="BPP23" s="3431"/>
      <c r="BPQ23" s="3431"/>
      <c r="BPR23" s="3431"/>
      <c r="BPS23" s="3431"/>
      <c r="BPT23" s="3431"/>
      <c r="BPU23" s="3431"/>
      <c r="BPV23" s="3431"/>
      <c r="BPW23" s="3431"/>
      <c r="BPX23" s="3431"/>
      <c r="BPY23" s="3431"/>
      <c r="BPZ23" s="3431"/>
      <c r="BQA23" s="3431"/>
      <c r="BQB23" s="3431"/>
      <c r="BQC23" s="3431"/>
      <c r="BQD23" s="3431"/>
      <c r="BQE23" s="3431"/>
      <c r="BQF23" s="3431"/>
      <c r="BQG23" s="3431"/>
      <c r="BQH23" s="3431"/>
      <c r="BQI23" s="3431"/>
      <c r="BQJ23" s="3431"/>
      <c r="BQK23" s="3431"/>
      <c r="BQL23" s="3431"/>
      <c r="BQM23" s="3431"/>
      <c r="BQN23" s="3431"/>
      <c r="BQO23" s="3431"/>
      <c r="BQP23" s="3431"/>
      <c r="BQQ23" s="3431"/>
      <c r="BQR23" s="3431"/>
      <c r="BQS23" s="3431"/>
      <c r="BQT23" s="3431"/>
      <c r="BQU23" s="3431"/>
      <c r="BQV23" s="3431"/>
      <c r="BQW23" s="3431"/>
      <c r="BQX23" s="3431"/>
      <c r="BQY23" s="3431"/>
      <c r="BQZ23" s="3431"/>
      <c r="BRA23" s="3431"/>
      <c r="BRB23" s="3431"/>
      <c r="BRC23" s="3431"/>
      <c r="BRD23" s="3431"/>
      <c r="BRE23" s="3431"/>
      <c r="BRF23" s="3431"/>
      <c r="BRG23" s="3431"/>
      <c r="BRH23" s="3431"/>
      <c r="BRI23" s="3431"/>
      <c r="BRJ23" s="3431"/>
      <c r="BRK23" s="3431"/>
      <c r="BRL23" s="3431"/>
      <c r="BRM23" s="3431"/>
      <c r="BRN23" s="3431"/>
      <c r="BRO23" s="3431"/>
      <c r="BRP23" s="3431"/>
      <c r="BRQ23" s="3431"/>
      <c r="BRR23" s="3431"/>
      <c r="BRS23" s="3431"/>
      <c r="BRT23" s="3431"/>
      <c r="BRU23" s="3431"/>
      <c r="BRV23" s="3431"/>
      <c r="BRW23" s="3431"/>
      <c r="BRX23" s="3431"/>
      <c r="BRY23" s="3431"/>
      <c r="BRZ23" s="3431"/>
      <c r="BSA23" s="3431"/>
      <c r="BSB23" s="3431"/>
      <c r="BSC23" s="3431"/>
      <c r="BSD23" s="3431"/>
      <c r="BSE23" s="3431"/>
      <c r="BSF23" s="3431"/>
      <c r="BSG23" s="3431"/>
      <c r="BSH23" s="3431"/>
      <c r="BSI23" s="3431"/>
      <c r="BSJ23" s="3431"/>
      <c r="BSK23" s="3431"/>
      <c r="BSL23" s="3431"/>
      <c r="BSM23" s="3431"/>
      <c r="BSN23" s="3431"/>
      <c r="BSO23" s="3431"/>
      <c r="BSP23" s="3431"/>
      <c r="BSQ23" s="3431"/>
      <c r="BSR23" s="3431"/>
      <c r="BSS23" s="3431"/>
      <c r="BST23" s="3431"/>
      <c r="BSU23" s="3431"/>
      <c r="BSV23" s="3431"/>
      <c r="BSW23" s="3431"/>
      <c r="BSX23" s="3431"/>
      <c r="BSY23" s="3431"/>
      <c r="BSZ23" s="3431"/>
      <c r="BTA23" s="3431"/>
      <c r="BTB23" s="3431"/>
      <c r="BTC23" s="3431"/>
      <c r="BTD23" s="3431"/>
      <c r="BTE23" s="3431"/>
      <c r="BTF23" s="3431"/>
      <c r="BTG23" s="3431"/>
      <c r="BTH23" s="3431"/>
      <c r="BTI23" s="3431"/>
      <c r="BTJ23" s="3431"/>
      <c r="BTK23" s="3431"/>
      <c r="BTL23" s="3431"/>
      <c r="BTM23" s="3431"/>
      <c r="BTN23" s="3431"/>
      <c r="BTO23" s="3431"/>
      <c r="BTP23" s="3431"/>
      <c r="BTQ23" s="3431"/>
      <c r="BTR23" s="3431"/>
      <c r="BTS23" s="3431"/>
      <c r="BTT23" s="3431"/>
      <c r="BTU23" s="3431"/>
      <c r="BTV23" s="3431"/>
      <c r="BTW23" s="3431"/>
      <c r="BTX23" s="3431"/>
      <c r="BTY23" s="3431"/>
      <c r="BTZ23" s="3431"/>
      <c r="BUA23" s="3431"/>
      <c r="BUB23" s="3431"/>
      <c r="BUC23" s="3431"/>
      <c r="BUD23" s="3431"/>
      <c r="BUE23" s="3431"/>
      <c r="BUF23" s="3431"/>
      <c r="BUG23" s="3431"/>
      <c r="BUH23" s="3431"/>
      <c r="BUI23" s="3431"/>
      <c r="BUJ23" s="3431"/>
      <c r="BUK23" s="3431"/>
      <c r="BUL23" s="3431"/>
      <c r="BUM23" s="3431"/>
      <c r="BUN23" s="3431"/>
      <c r="BUO23" s="3431"/>
      <c r="BUP23" s="3431"/>
      <c r="BUQ23" s="3431"/>
      <c r="BUR23" s="3431"/>
      <c r="BUS23" s="3431"/>
      <c r="BUT23" s="3431"/>
      <c r="BUU23" s="3431"/>
      <c r="BUV23" s="3431"/>
      <c r="BUW23" s="3431"/>
      <c r="BUX23" s="3431"/>
      <c r="BUY23" s="3431"/>
      <c r="BUZ23" s="3431"/>
      <c r="BVA23" s="3431"/>
      <c r="BVB23" s="3431"/>
      <c r="BVC23" s="3431"/>
      <c r="BVD23" s="3431"/>
      <c r="BVE23" s="3431"/>
      <c r="BVF23" s="3431"/>
      <c r="BVG23" s="3431"/>
      <c r="BVH23" s="3431"/>
      <c r="BVI23" s="3431"/>
      <c r="BVJ23" s="3431"/>
      <c r="BVK23" s="3431"/>
      <c r="BVL23" s="3431"/>
      <c r="BVM23" s="3431"/>
      <c r="BVN23" s="3431"/>
      <c r="BVO23" s="3431"/>
      <c r="BVP23" s="3431"/>
      <c r="BVQ23" s="3431"/>
      <c r="BVR23" s="3431"/>
      <c r="BVS23" s="3431"/>
      <c r="BVT23" s="3431"/>
      <c r="BVU23" s="3431"/>
      <c r="BVV23" s="3431"/>
      <c r="BVW23" s="3431"/>
      <c r="BVX23" s="3431"/>
      <c r="BVY23" s="3431"/>
      <c r="BVZ23" s="3431"/>
      <c r="BWA23" s="3431"/>
      <c r="BWB23" s="3431"/>
      <c r="BWC23" s="3431"/>
      <c r="BWD23" s="3431"/>
      <c r="BWE23" s="3431"/>
      <c r="BWF23" s="3431"/>
      <c r="BWG23" s="3431"/>
      <c r="BWH23" s="3431"/>
      <c r="BWI23" s="3431"/>
      <c r="BWJ23" s="3431"/>
      <c r="BWK23" s="3431"/>
      <c r="BWL23" s="3431"/>
      <c r="BWM23" s="3431"/>
      <c r="BWN23" s="3431"/>
      <c r="BWO23" s="3431"/>
      <c r="BWP23" s="3431"/>
      <c r="BWQ23" s="3431"/>
      <c r="BWR23" s="3431"/>
      <c r="BWS23" s="3431"/>
      <c r="BWT23" s="3431"/>
      <c r="BWU23" s="3431"/>
      <c r="BWV23" s="3431"/>
      <c r="BWW23" s="3431"/>
      <c r="BWX23" s="3431"/>
      <c r="BWY23" s="3431"/>
      <c r="BWZ23" s="3431"/>
      <c r="BXA23" s="3431"/>
      <c r="BXB23" s="3431"/>
      <c r="BXC23" s="3431"/>
      <c r="BXD23" s="3431"/>
      <c r="BXE23" s="3431"/>
      <c r="BXF23" s="3431"/>
      <c r="BXG23" s="3431"/>
      <c r="BXH23" s="3431"/>
      <c r="BXI23" s="3431"/>
      <c r="BXJ23" s="3431"/>
      <c r="BXK23" s="3431"/>
      <c r="BXL23" s="3431"/>
      <c r="BXM23" s="3431"/>
      <c r="BXN23" s="3431"/>
      <c r="BXO23" s="3431"/>
      <c r="BXP23" s="3431"/>
      <c r="BXQ23" s="3431"/>
      <c r="BXR23" s="3431"/>
      <c r="BXS23" s="3431"/>
      <c r="BXT23" s="3431"/>
      <c r="BXU23" s="3431"/>
      <c r="BXV23" s="3431"/>
      <c r="BXW23" s="3431"/>
      <c r="BXX23" s="3431"/>
      <c r="BXY23" s="3431"/>
      <c r="BXZ23" s="3431"/>
      <c r="BYA23" s="3431"/>
      <c r="BYB23" s="3431"/>
      <c r="BYC23" s="3431"/>
      <c r="BYD23" s="3431"/>
      <c r="BYE23" s="3431"/>
      <c r="BYF23" s="3431"/>
      <c r="BYG23" s="3431"/>
      <c r="BYH23" s="3431"/>
      <c r="BYI23" s="3431"/>
      <c r="BYJ23" s="3431"/>
      <c r="BYK23" s="3431"/>
      <c r="BYL23" s="3431"/>
      <c r="BYM23" s="3431"/>
      <c r="BYN23" s="3431"/>
      <c r="BYO23" s="3431"/>
      <c r="BYP23" s="3431"/>
      <c r="BYQ23" s="3431"/>
      <c r="BYR23" s="3431"/>
      <c r="BYS23" s="3431"/>
      <c r="BYT23" s="3431"/>
      <c r="BYU23" s="3431"/>
      <c r="BYV23" s="3431"/>
      <c r="BYW23" s="3431"/>
      <c r="BYX23" s="3431"/>
      <c r="BYY23" s="3431"/>
      <c r="BYZ23" s="3431"/>
      <c r="BZA23" s="3431"/>
      <c r="BZB23" s="3431"/>
      <c r="BZC23" s="3431"/>
      <c r="BZD23" s="3431"/>
      <c r="BZE23" s="3431"/>
      <c r="BZF23" s="3431"/>
      <c r="BZG23" s="3431"/>
      <c r="BZH23" s="3431"/>
      <c r="BZI23" s="3431"/>
      <c r="BZJ23" s="3431"/>
      <c r="BZK23" s="3431"/>
      <c r="BZL23" s="3431"/>
      <c r="BZM23" s="3431"/>
      <c r="BZN23" s="3431"/>
      <c r="BZO23" s="3431"/>
      <c r="BZP23" s="3431"/>
      <c r="BZQ23" s="3431"/>
      <c r="BZR23" s="3431"/>
      <c r="BZS23" s="3431"/>
      <c r="BZT23" s="3431"/>
      <c r="BZU23" s="3431"/>
      <c r="BZV23" s="3431"/>
      <c r="BZW23" s="3431"/>
      <c r="BZX23" s="3431"/>
      <c r="BZY23" s="3431"/>
      <c r="BZZ23" s="3431"/>
      <c r="CAA23" s="3431"/>
      <c r="CAB23" s="3431"/>
      <c r="CAC23" s="3431"/>
      <c r="CAD23" s="3431"/>
      <c r="CAE23" s="3431"/>
      <c r="CAF23" s="3431"/>
      <c r="CAG23" s="3431"/>
      <c r="CAH23" s="3431"/>
      <c r="CAI23" s="3431"/>
      <c r="CAJ23" s="3431"/>
      <c r="CAK23" s="3431"/>
      <c r="CAL23" s="3431"/>
      <c r="CAM23" s="3431"/>
      <c r="CAN23" s="3431"/>
      <c r="CAO23" s="3431"/>
      <c r="CAP23" s="3431"/>
      <c r="CAQ23" s="3431"/>
      <c r="CAR23" s="3431"/>
      <c r="CAS23" s="3431"/>
      <c r="CAT23" s="3431"/>
      <c r="CAU23" s="3431"/>
      <c r="CAV23" s="3431"/>
      <c r="CAW23" s="3431"/>
      <c r="CAX23" s="3431"/>
      <c r="CAY23" s="3431"/>
      <c r="CAZ23" s="3431"/>
      <c r="CBA23" s="3431"/>
      <c r="CBB23" s="3431"/>
      <c r="CBC23" s="3431"/>
      <c r="CBD23" s="3431"/>
      <c r="CBE23" s="3431"/>
      <c r="CBF23" s="3431"/>
      <c r="CBG23" s="3431"/>
      <c r="CBH23" s="3431"/>
      <c r="CBI23" s="3431"/>
      <c r="CBJ23" s="3431"/>
      <c r="CBK23" s="3431"/>
      <c r="CBL23" s="3431"/>
      <c r="CBM23" s="3431"/>
      <c r="CBN23" s="3431"/>
      <c r="CBO23" s="3431"/>
      <c r="CBP23" s="3431"/>
      <c r="CBQ23" s="3431"/>
      <c r="CBR23" s="3431"/>
      <c r="CBS23" s="3431"/>
      <c r="CBT23" s="3431"/>
      <c r="CBU23" s="3431"/>
      <c r="CBV23" s="3431"/>
      <c r="CBW23" s="3431"/>
      <c r="CBX23" s="3431"/>
      <c r="CBY23" s="3431"/>
      <c r="CBZ23" s="3431"/>
      <c r="CCA23" s="3431"/>
      <c r="CCB23" s="3431"/>
      <c r="CCC23" s="3431"/>
      <c r="CCD23" s="3431"/>
      <c r="CCE23" s="3431"/>
      <c r="CCF23" s="3431"/>
      <c r="CCG23" s="3431"/>
      <c r="CCH23" s="3431"/>
      <c r="CCI23" s="3431"/>
      <c r="CCJ23" s="3431"/>
      <c r="CCK23" s="3431"/>
      <c r="CCL23" s="3431"/>
      <c r="CCM23" s="3431"/>
      <c r="CCN23" s="3431"/>
      <c r="CCO23" s="3431"/>
      <c r="CCP23" s="3431"/>
      <c r="CCQ23" s="3431"/>
      <c r="CCR23" s="3431"/>
      <c r="CCS23" s="3431"/>
      <c r="CCT23" s="3431"/>
      <c r="CCU23" s="3431"/>
      <c r="CCV23" s="3431"/>
      <c r="CCW23" s="3431"/>
      <c r="CCX23" s="3431"/>
      <c r="CCY23" s="3431"/>
      <c r="CCZ23" s="3431"/>
      <c r="CDA23" s="3431"/>
      <c r="CDB23" s="3431"/>
      <c r="CDC23" s="3431"/>
      <c r="CDD23" s="3431"/>
      <c r="CDE23" s="3431"/>
      <c r="CDF23" s="3431"/>
      <c r="CDG23" s="3431"/>
      <c r="CDH23" s="3431"/>
      <c r="CDI23" s="3431"/>
      <c r="CDJ23" s="3431"/>
      <c r="CDK23" s="3431"/>
      <c r="CDL23" s="3431"/>
      <c r="CDM23" s="3431"/>
      <c r="CDN23" s="3431"/>
      <c r="CDO23" s="3431"/>
      <c r="CDP23" s="3431"/>
      <c r="CDQ23" s="3431"/>
      <c r="CDR23" s="3431"/>
      <c r="CDS23" s="3431"/>
      <c r="CDT23" s="3431"/>
      <c r="CDU23" s="3431"/>
      <c r="CDV23" s="3431"/>
      <c r="CDW23" s="3431"/>
      <c r="CDX23" s="3431"/>
      <c r="CDY23" s="3431"/>
      <c r="CDZ23" s="3431"/>
      <c r="CEA23" s="3431"/>
      <c r="CEB23" s="3431"/>
      <c r="CEC23" s="3431"/>
      <c r="CED23" s="3431"/>
      <c r="CEE23" s="3431"/>
      <c r="CEF23" s="3431"/>
      <c r="CEG23" s="3431"/>
      <c r="CEH23" s="3431"/>
      <c r="CEI23" s="3431"/>
      <c r="CEJ23" s="3431"/>
      <c r="CEK23" s="3431"/>
      <c r="CEL23" s="3431"/>
      <c r="CEM23" s="3431"/>
      <c r="CEN23" s="3431"/>
      <c r="CEO23" s="3431"/>
      <c r="CEP23" s="3431"/>
      <c r="CEQ23" s="3431"/>
      <c r="CER23" s="3431"/>
      <c r="CES23" s="3431"/>
      <c r="CET23" s="3431"/>
      <c r="CEU23" s="3431"/>
      <c r="CEV23" s="3431"/>
      <c r="CEW23" s="3431"/>
      <c r="CEX23" s="3431"/>
      <c r="CEY23" s="3431"/>
      <c r="CEZ23" s="3431"/>
      <c r="CFA23" s="3431"/>
      <c r="CFB23" s="3431"/>
      <c r="CFC23" s="3431"/>
      <c r="CFD23" s="3431"/>
      <c r="CFE23" s="3431"/>
      <c r="CFF23" s="3431"/>
      <c r="CFG23" s="3431"/>
      <c r="CFH23" s="3431"/>
      <c r="CFI23" s="3431"/>
      <c r="CFJ23" s="3431"/>
      <c r="CFK23" s="3431"/>
      <c r="CFL23" s="3431"/>
      <c r="CFM23" s="3431"/>
      <c r="CFN23" s="3431"/>
      <c r="CFO23" s="3431"/>
      <c r="CFP23" s="3431"/>
      <c r="CFQ23" s="3431"/>
      <c r="CFR23" s="3431"/>
      <c r="CFS23" s="3431"/>
      <c r="CFT23" s="3431"/>
      <c r="CFU23" s="3431"/>
      <c r="CFV23" s="3431"/>
      <c r="CFW23" s="3431"/>
      <c r="CFX23" s="3431"/>
      <c r="CFY23" s="3431"/>
      <c r="CFZ23" s="3431"/>
      <c r="CGA23" s="3431"/>
      <c r="CGB23" s="3431"/>
      <c r="CGC23" s="3431"/>
      <c r="CGD23" s="3431"/>
      <c r="CGE23" s="3431"/>
      <c r="CGF23" s="3431"/>
      <c r="CGG23" s="3431"/>
      <c r="CGH23" s="3431"/>
      <c r="CGI23" s="3431"/>
      <c r="CGJ23" s="3431"/>
      <c r="CGK23" s="3431"/>
      <c r="CGL23" s="3431"/>
      <c r="CGM23" s="3431"/>
      <c r="CGN23" s="3431"/>
      <c r="CGO23" s="3431"/>
      <c r="CGP23" s="3431"/>
      <c r="CGQ23" s="3431"/>
      <c r="CGR23" s="3431"/>
      <c r="CGS23" s="3431"/>
      <c r="CGT23" s="3431"/>
      <c r="CGU23" s="3431"/>
      <c r="CGV23" s="3431"/>
      <c r="CGW23" s="3431"/>
      <c r="CGX23" s="3431"/>
      <c r="CGY23" s="3431"/>
      <c r="CGZ23" s="3431"/>
      <c r="CHA23" s="3431"/>
      <c r="CHB23" s="3431"/>
      <c r="CHC23" s="3431"/>
      <c r="CHD23" s="3431"/>
      <c r="CHE23" s="3431"/>
      <c r="CHF23" s="3431"/>
      <c r="CHG23" s="3431"/>
      <c r="CHH23" s="3431"/>
      <c r="CHI23" s="3431"/>
      <c r="CHJ23" s="3431"/>
      <c r="CHK23" s="3431"/>
      <c r="CHL23" s="3431"/>
      <c r="CHM23" s="3431"/>
      <c r="CHN23" s="3431"/>
      <c r="CHO23" s="3431"/>
      <c r="CHP23" s="3431"/>
      <c r="CHQ23" s="3431"/>
      <c r="CHR23" s="3431"/>
      <c r="CHS23" s="3431"/>
      <c r="CHT23" s="3431"/>
      <c r="CHU23" s="3431"/>
      <c r="CHV23" s="3431"/>
      <c r="CHW23" s="3431"/>
      <c r="CHX23" s="3431"/>
      <c r="CHY23" s="3431"/>
      <c r="CHZ23" s="3431"/>
      <c r="CIA23" s="3431"/>
      <c r="CIB23" s="3431"/>
      <c r="CIC23" s="3431"/>
      <c r="CID23" s="3431"/>
      <c r="CIE23" s="3431"/>
      <c r="CIF23" s="3431"/>
      <c r="CIG23" s="3431"/>
      <c r="CIH23" s="3431"/>
      <c r="CII23" s="3431"/>
      <c r="CIJ23" s="3431"/>
      <c r="CIK23" s="3431"/>
      <c r="CIL23" s="3431"/>
      <c r="CIM23" s="3431"/>
      <c r="CIN23" s="3431"/>
      <c r="CIO23" s="3431"/>
      <c r="CIP23" s="3431"/>
      <c r="CIQ23" s="3431"/>
      <c r="CIR23" s="3431"/>
      <c r="CIS23" s="3431"/>
      <c r="CIT23" s="3431"/>
      <c r="CIU23" s="3431"/>
      <c r="CIV23" s="3431"/>
      <c r="CIW23" s="3431"/>
      <c r="CIX23" s="3431"/>
      <c r="CIY23" s="3431"/>
      <c r="CIZ23" s="3431"/>
      <c r="CJA23" s="3431"/>
      <c r="CJB23" s="3431"/>
      <c r="CJC23" s="3431"/>
      <c r="CJD23" s="3431"/>
      <c r="CJE23" s="3431"/>
      <c r="CJF23" s="3431"/>
      <c r="CJG23" s="3431"/>
      <c r="CJH23" s="3431"/>
      <c r="CJI23" s="3431"/>
      <c r="CJJ23" s="3431"/>
      <c r="CJK23" s="3431"/>
      <c r="CJL23" s="3431"/>
      <c r="CJM23" s="3431"/>
      <c r="CJN23" s="3431"/>
      <c r="CJO23" s="3431"/>
      <c r="CJP23" s="3431"/>
      <c r="CJQ23" s="3431"/>
      <c r="CJR23" s="3431"/>
      <c r="CJS23" s="3431"/>
      <c r="CJT23" s="3431"/>
      <c r="CJU23" s="3431"/>
      <c r="CJV23" s="3431"/>
      <c r="CJW23" s="3431"/>
      <c r="CJX23" s="3431"/>
      <c r="CJY23" s="3431"/>
      <c r="CJZ23" s="3431"/>
      <c r="CKA23" s="3431"/>
      <c r="CKB23" s="3431"/>
      <c r="CKC23" s="3431"/>
      <c r="CKD23" s="3431"/>
      <c r="CKE23" s="3431"/>
      <c r="CKF23" s="3431"/>
      <c r="CKG23" s="3431"/>
      <c r="CKH23" s="3431"/>
      <c r="CKI23" s="3431"/>
      <c r="CKJ23" s="3431"/>
      <c r="CKK23" s="3431"/>
      <c r="CKL23" s="3431"/>
      <c r="CKM23" s="3431"/>
      <c r="CKN23" s="3431"/>
      <c r="CKO23" s="3431"/>
      <c r="CKP23" s="3431"/>
      <c r="CKQ23" s="3431"/>
      <c r="CKR23" s="3431"/>
      <c r="CKS23" s="3431"/>
      <c r="CKT23" s="3431"/>
      <c r="CKU23" s="3431"/>
      <c r="CKV23" s="3431"/>
      <c r="CKW23" s="3431"/>
      <c r="CKX23" s="3431"/>
      <c r="CKY23" s="3431"/>
      <c r="CKZ23" s="3431"/>
      <c r="CLA23" s="3431"/>
      <c r="CLB23" s="3431"/>
      <c r="CLC23" s="3431"/>
      <c r="CLD23" s="3431"/>
      <c r="CLE23" s="3431"/>
      <c r="CLF23" s="3431"/>
      <c r="CLG23" s="3431"/>
      <c r="CLH23" s="3431"/>
      <c r="CLI23" s="3431"/>
      <c r="CLJ23" s="3431"/>
      <c r="CLK23" s="3431"/>
      <c r="CLL23" s="3431"/>
      <c r="CLM23" s="3431"/>
      <c r="CLN23" s="3431"/>
      <c r="CLO23" s="3431"/>
      <c r="CLP23" s="3431"/>
      <c r="CLQ23" s="3431"/>
      <c r="CLR23" s="3431"/>
      <c r="CLS23" s="3431"/>
      <c r="CLT23" s="3431"/>
      <c r="CLU23" s="3431"/>
      <c r="CLV23" s="3431"/>
      <c r="CLW23" s="3431"/>
      <c r="CLX23" s="3431"/>
      <c r="CLY23" s="3431"/>
      <c r="CLZ23" s="3431"/>
      <c r="CMA23" s="3431"/>
      <c r="CMB23" s="3431"/>
      <c r="CMC23" s="3431"/>
      <c r="CMD23" s="3431"/>
      <c r="CME23" s="3431"/>
      <c r="CMF23" s="3431"/>
      <c r="CMG23" s="3431"/>
      <c r="CMH23" s="3431"/>
      <c r="CMI23" s="3431"/>
      <c r="CMJ23" s="3431"/>
      <c r="CMK23" s="3431"/>
      <c r="CML23" s="3431"/>
      <c r="CMM23" s="3431"/>
      <c r="CMN23" s="3431"/>
      <c r="CMO23" s="3431"/>
      <c r="CMP23" s="3431"/>
      <c r="CMQ23" s="3431"/>
      <c r="CMR23" s="3431"/>
      <c r="CMS23" s="3431"/>
      <c r="CMT23" s="3431"/>
      <c r="CMU23" s="3431"/>
      <c r="CMV23" s="3431"/>
      <c r="CMW23" s="3431"/>
      <c r="CMX23" s="3431"/>
      <c r="CMY23" s="3431"/>
      <c r="CMZ23" s="3431"/>
      <c r="CNA23" s="3431"/>
      <c r="CNB23" s="3431"/>
      <c r="CNC23" s="3431"/>
      <c r="CND23" s="3431"/>
      <c r="CNE23" s="3431"/>
      <c r="CNF23" s="3431"/>
      <c r="CNG23" s="3431"/>
      <c r="CNH23" s="3431"/>
      <c r="CNI23" s="3431"/>
      <c r="CNJ23" s="3431"/>
      <c r="CNK23" s="3431"/>
      <c r="CNL23" s="3431"/>
      <c r="CNM23" s="3431"/>
      <c r="CNN23" s="3431"/>
      <c r="CNO23" s="3431"/>
      <c r="CNP23" s="3431"/>
      <c r="CNQ23" s="3431"/>
      <c r="CNR23" s="3431"/>
      <c r="CNS23" s="3431"/>
      <c r="CNT23" s="3431"/>
      <c r="CNU23" s="3431"/>
      <c r="CNV23" s="3431"/>
      <c r="CNW23" s="3431"/>
      <c r="CNX23" s="3431"/>
      <c r="CNY23" s="3431"/>
      <c r="CNZ23" s="3431"/>
      <c r="COA23" s="3431"/>
      <c r="COB23" s="3431"/>
      <c r="COC23" s="3431"/>
      <c r="COD23" s="3431"/>
      <c r="COE23" s="3431"/>
      <c r="COF23" s="3431"/>
      <c r="COG23" s="3431"/>
      <c r="COH23" s="3431"/>
      <c r="COI23" s="3431"/>
      <c r="COJ23" s="3431"/>
      <c r="COK23" s="3431"/>
      <c r="COL23" s="3431"/>
      <c r="COM23" s="3431"/>
      <c r="CON23" s="3431"/>
      <c r="COO23" s="3431"/>
      <c r="COP23" s="3431"/>
      <c r="COQ23" s="3431"/>
      <c r="COR23" s="3431"/>
      <c r="COS23" s="3431"/>
      <c r="COT23" s="3431"/>
      <c r="COU23" s="3431"/>
      <c r="COV23" s="3431"/>
      <c r="COW23" s="3431"/>
      <c r="COX23" s="3431"/>
      <c r="COY23" s="3431"/>
      <c r="COZ23" s="3431"/>
      <c r="CPA23" s="3431"/>
      <c r="CPB23" s="3431"/>
      <c r="CPC23" s="3431"/>
      <c r="CPD23" s="3431"/>
      <c r="CPE23" s="3431"/>
      <c r="CPF23" s="3431"/>
      <c r="CPG23" s="3431"/>
      <c r="CPH23" s="3431"/>
      <c r="CPI23" s="3431"/>
      <c r="CPJ23" s="3431"/>
      <c r="CPK23" s="3431"/>
      <c r="CPL23" s="3431"/>
      <c r="CPM23" s="3431"/>
      <c r="CPN23" s="3431"/>
      <c r="CPO23" s="3431"/>
      <c r="CPP23" s="3431"/>
      <c r="CPQ23" s="3431"/>
      <c r="CPR23" s="3431"/>
      <c r="CPS23" s="3431"/>
      <c r="CPT23" s="3431"/>
      <c r="CPU23" s="3431"/>
      <c r="CPV23" s="3431"/>
      <c r="CPW23" s="3431"/>
      <c r="CPX23" s="3431"/>
      <c r="CPY23" s="3431"/>
      <c r="CPZ23" s="3431"/>
      <c r="CQA23" s="3431"/>
      <c r="CQB23" s="3431"/>
      <c r="CQC23" s="3431"/>
      <c r="CQD23" s="3431"/>
      <c r="CQE23" s="3431"/>
      <c r="CQF23" s="3431"/>
      <c r="CQG23" s="3431"/>
      <c r="CQH23" s="3431"/>
      <c r="CQI23" s="3431"/>
      <c r="CQJ23" s="3431"/>
      <c r="CQK23" s="3431"/>
      <c r="CQL23" s="3431"/>
      <c r="CQM23" s="3431"/>
      <c r="CQN23" s="3431"/>
      <c r="CQO23" s="3431"/>
      <c r="CQP23" s="3431"/>
      <c r="CQQ23" s="3431"/>
      <c r="CQR23" s="3431"/>
      <c r="CQS23" s="3431"/>
      <c r="CQT23" s="3431"/>
      <c r="CQU23" s="3431"/>
      <c r="CQV23" s="3431"/>
      <c r="CQW23" s="3431"/>
      <c r="CQX23" s="3431"/>
      <c r="CQY23" s="3431"/>
      <c r="CQZ23" s="3431"/>
      <c r="CRA23" s="3431"/>
      <c r="CRB23" s="3431"/>
      <c r="CRC23" s="3431"/>
      <c r="CRD23" s="3431"/>
      <c r="CRE23" s="3431"/>
      <c r="CRF23" s="3431"/>
      <c r="CRG23" s="3431"/>
      <c r="CRH23" s="3431"/>
      <c r="CRI23" s="3431"/>
      <c r="CRJ23" s="3431"/>
      <c r="CRK23" s="3431"/>
      <c r="CRL23" s="3431"/>
      <c r="CRM23" s="3431"/>
      <c r="CRN23" s="3431"/>
      <c r="CRO23" s="3431"/>
      <c r="CRP23" s="3431"/>
      <c r="CRQ23" s="3431"/>
      <c r="CRR23" s="3431"/>
      <c r="CRS23" s="3431"/>
      <c r="CRT23" s="3431"/>
      <c r="CRU23" s="3431"/>
      <c r="CRV23" s="3431"/>
      <c r="CRW23" s="3431"/>
      <c r="CRX23" s="3431"/>
      <c r="CRY23" s="3431"/>
      <c r="CRZ23" s="3431"/>
      <c r="CSA23" s="3431"/>
      <c r="CSB23" s="3431"/>
      <c r="CSC23" s="3431"/>
      <c r="CSD23" s="3431"/>
      <c r="CSE23" s="3431"/>
      <c r="CSF23" s="3431"/>
      <c r="CSG23" s="3431"/>
      <c r="CSH23" s="3431"/>
      <c r="CSI23" s="3431"/>
      <c r="CSJ23" s="3431"/>
      <c r="CSK23" s="3431"/>
      <c r="CSL23" s="3431"/>
      <c r="CSM23" s="3431"/>
      <c r="CSN23" s="3431"/>
      <c r="CSO23" s="3431"/>
      <c r="CSP23" s="3431"/>
      <c r="CSQ23" s="3431"/>
      <c r="CSR23" s="3431"/>
      <c r="CSS23" s="3431"/>
      <c r="CST23" s="3431"/>
      <c r="CSU23" s="3431"/>
      <c r="CSV23" s="3431"/>
      <c r="CSW23" s="3431"/>
      <c r="CSX23" s="3431"/>
      <c r="CSY23" s="3431"/>
      <c r="CSZ23" s="3431"/>
      <c r="CTA23" s="3431"/>
      <c r="CTB23" s="3431"/>
      <c r="CTC23" s="3431"/>
      <c r="CTD23" s="3431"/>
      <c r="CTE23" s="3431"/>
      <c r="CTF23" s="3431"/>
      <c r="CTG23" s="3431"/>
      <c r="CTH23" s="3431"/>
      <c r="CTI23" s="3431"/>
      <c r="CTJ23" s="3431"/>
      <c r="CTK23" s="3431"/>
      <c r="CTL23" s="3431"/>
      <c r="CTM23" s="3431"/>
      <c r="CTN23" s="3431"/>
      <c r="CTO23" s="3431"/>
      <c r="CTP23" s="3431"/>
      <c r="CTQ23" s="3431"/>
      <c r="CTR23" s="3431"/>
      <c r="CTS23" s="3431"/>
      <c r="CTT23" s="3431"/>
      <c r="CTU23" s="3431"/>
      <c r="CTV23" s="3431"/>
      <c r="CTW23" s="3431"/>
      <c r="CTX23" s="3431"/>
      <c r="CTY23" s="3431"/>
      <c r="CTZ23" s="3431"/>
      <c r="CUA23" s="3431"/>
      <c r="CUB23" s="3431"/>
      <c r="CUC23" s="3431"/>
      <c r="CUD23" s="3431"/>
      <c r="CUE23" s="3431"/>
      <c r="CUF23" s="3431"/>
      <c r="CUG23" s="3431"/>
      <c r="CUH23" s="3431"/>
      <c r="CUI23" s="3431"/>
      <c r="CUJ23" s="3431"/>
      <c r="CUK23" s="3431"/>
      <c r="CUL23" s="3431"/>
      <c r="CUM23" s="3431"/>
      <c r="CUN23" s="3431"/>
      <c r="CUO23" s="3431"/>
      <c r="CUP23" s="3431"/>
      <c r="CUQ23" s="3431"/>
      <c r="CUR23" s="3431"/>
      <c r="CUS23" s="3431"/>
      <c r="CUT23" s="3431"/>
      <c r="CUU23" s="3431"/>
      <c r="CUV23" s="3431"/>
      <c r="CUW23" s="3431"/>
      <c r="CUX23" s="3431"/>
      <c r="CUY23" s="3431"/>
      <c r="CUZ23" s="3431"/>
      <c r="CVA23" s="3431"/>
      <c r="CVB23" s="3431"/>
      <c r="CVC23" s="3431"/>
      <c r="CVD23" s="3431"/>
      <c r="CVE23" s="3431"/>
      <c r="CVF23" s="3431"/>
      <c r="CVG23" s="3431"/>
      <c r="CVH23" s="3431"/>
      <c r="CVI23" s="3431"/>
      <c r="CVJ23" s="3431"/>
      <c r="CVK23" s="3431"/>
      <c r="CVL23" s="3431"/>
      <c r="CVM23" s="3431"/>
      <c r="CVN23" s="3431"/>
      <c r="CVO23" s="3431"/>
      <c r="CVP23" s="3431"/>
      <c r="CVQ23" s="3431"/>
      <c r="CVR23" s="3431"/>
      <c r="CVS23" s="3431"/>
      <c r="CVT23" s="3431"/>
      <c r="CVU23" s="3431"/>
      <c r="CVV23" s="3431"/>
      <c r="CVW23" s="3431"/>
      <c r="CVX23" s="3431"/>
      <c r="CVY23" s="3431"/>
      <c r="CVZ23" s="3431"/>
      <c r="CWA23" s="3431"/>
      <c r="CWB23" s="3431"/>
      <c r="CWC23" s="3431"/>
      <c r="CWD23" s="3431"/>
      <c r="CWE23" s="3431"/>
      <c r="CWF23" s="3431"/>
      <c r="CWG23" s="3431"/>
      <c r="CWH23" s="3431"/>
      <c r="CWI23" s="3431"/>
      <c r="CWJ23" s="3431"/>
      <c r="CWK23" s="3431"/>
      <c r="CWL23" s="3431"/>
      <c r="CWM23" s="3431"/>
      <c r="CWN23" s="3431"/>
      <c r="CWO23" s="3431"/>
      <c r="CWP23" s="3431"/>
      <c r="CWQ23" s="3431"/>
      <c r="CWR23" s="3431"/>
      <c r="CWS23" s="3431"/>
      <c r="CWT23" s="3431"/>
      <c r="CWU23" s="3431"/>
      <c r="CWV23" s="3431"/>
      <c r="CWW23" s="3431"/>
      <c r="CWX23" s="3431"/>
      <c r="CWY23" s="3431"/>
      <c r="CWZ23" s="3431"/>
      <c r="CXA23" s="3431"/>
      <c r="CXB23" s="3431"/>
      <c r="CXC23" s="3431"/>
      <c r="CXD23" s="3431"/>
      <c r="CXE23" s="3431"/>
      <c r="CXF23" s="3431"/>
      <c r="CXG23" s="3431"/>
      <c r="CXH23" s="3431"/>
      <c r="CXI23" s="3431"/>
      <c r="CXJ23" s="3431"/>
      <c r="CXK23" s="3431"/>
      <c r="CXL23" s="3431"/>
      <c r="CXM23" s="3431"/>
      <c r="CXN23" s="3431"/>
      <c r="CXO23" s="3431"/>
      <c r="CXP23" s="3431"/>
      <c r="CXQ23" s="3431"/>
      <c r="CXR23" s="3431"/>
      <c r="CXS23" s="3431"/>
      <c r="CXT23" s="3431"/>
      <c r="CXU23" s="3431"/>
      <c r="CXV23" s="3431"/>
      <c r="CXW23" s="3431"/>
      <c r="CXX23" s="3431"/>
      <c r="CXY23" s="3431"/>
      <c r="CXZ23" s="3431"/>
      <c r="CYA23" s="3431"/>
      <c r="CYB23" s="3431"/>
      <c r="CYC23" s="3431"/>
      <c r="CYD23" s="3431"/>
      <c r="CYE23" s="3431"/>
      <c r="CYF23" s="3431"/>
      <c r="CYG23" s="3431"/>
      <c r="CYH23" s="3431"/>
      <c r="CYI23" s="3431"/>
      <c r="CYJ23" s="3431"/>
      <c r="CYK23" s="3431"/>
      <c r="CYL23" s="3431"/>
      <c r="CYM23" s="3431"/>
      <c r="CYN23" s="3431"/>
      <c r="CYO23" s="3431"/>
      <c r="CYP23" s="3431"/>
      <c r="CYQ23" s="3431"/>
      <c r="CYR23" s="3431"/>
      <c r="CYS23" s="3431"/>
      <c r="CYT23" s="3431"/>
      <c r="CYU23" s="3431"/>
      <c r="CYV23" s="3431"/>
      <c r="CYW23" s="3431"/>
      <c r="CYX23" s="3431"/>
      <c r="CYY23" s="3431"/>
      <c r="CYZ23" s="3431"/>
      <c r="CZA23" s="3431"/>
      <c r="CZB23" s="3431"/>
      <c r="CZC23" s="3431"/>
      <c r="CZD23" s="3431"/>
      <c r="CZE23" s="3431"/>
      <c r="CZF23" s="3431"/>
      <c r="CZG23" s="3431"/>
      <c r="CZH23" s="3431"/>
      <c r="CZI23" s="3431"/>
      <c r="CZJ23" s="3431"/>
      <c r="CZK23" s="3431"/>
      <c r="CZL23" s="3431"/>
      <c r="CZM23" s="3431"/>
      <c r="CZN23" s="3431"/>
      <c r="CZO23" s="3431"/>
      <c r="CZP23" s="3431"/>
      <c r="CZQ23" s="3431"/>
      <c r="CZR23" s="3431"/>
      <c r="CZS23" s="3431"/>
      <c r="CZT23" s="3431"/>
      <c r="CZU23" s="3431"/>
      <c r="CZV23" s="3431"/>
      <c r="CZW23" s="3431"/>
      <c r="CZX23" s="3431"/>
      <c r="CZY23" s="3431"/>
      <c r="CZZ23" s="3431"/>
      <c r="DAA23" s="3431"/>
      <c r="DAB23" s="3431"/>
      <c r="DAC23" s="3431"/>
      <c r="DAD23" s="3431"/>
      <c r="DAE23" s="3431"/>
      <c r="DAF23" s="3431"/>
      <c r="DAG23" s="3431"/>
      <c r="DAH23" s="3431"/>
      <c r="DAI23" s="3431"/>
      <c r="DAJ23" s="3431"/>
      <c r="DAK23" s="3431"/>
      <c r="DAL23" s="3431"/>
      <c r="DAM23" s="3431"/>
      <c r="DAN23" s="3431"/>
      <c r="DAO23" s="3431"/>
      <c r="DAP23" s="3431"/>
      <c r="DAQ23" s="3431"/>
      <c r="DAR23" s="3431"/>
      <c r="DAS23" s="3431"/>
      <c r="DAT23" s="3431"/>
      <c r="DAU23" s="3431"/>
      <c r="DAV23" s="3431"/>
      <c r="DAW23" s="3431"/>
      <c r="DAX23" s="3431"/>
      <c r="DAY23" s="3431"/>
      <c r="DAZ23" s="3431"/>
      <c r="DBA23" s="3431"/>
      <c r="DBB23" s="3431"/>
      <c r="DBC23" s="3431"/>
      <c r="DBD23" s="3431"/>
      <c r="DBE23" s="3431"/>
      <c r="DBF23" s="3431"/>
      <c r="DBG23" s="3431"/>
      <c r="DBH23" s="3431"/>
      <c r="DBI23" s="3431"/>
      <c r="DBJ23" s="3431"/>
      <c r="DBK23" s="3431"/>
      <c r="DBL23" s="3431"/>
      <c r="DBM23" s="3431"/>
      <c r="DBN23" s="3431"/>
      <c r="DBO23" s="3431"/>
      <c r="DBP23" s="3431"/>
      <c r="DBQ23" s="3431"/>
      <c r="DBR23" s="3431"/>
      <c r="DBS23" s="3431"/>
      <c r="DBT23" s="3431"/>
      <c r="DBU23" s="3431"/>
      <c r="DBV23" s="3431"/>
      <c r="DBW23" s="3431"/>
      <c r="DBX23" s="3431"/>
      <c r="DBY23" s="3431"/>
      <c r="DBZ23" s="3431"/>
      <c r="DCA23" s="3431"/>
      <c r="DCB23" s="3431"/>
      <c r="DCC23" s="3431"/>
      <c r="DCD23" s="3431"/>
      <c r="DCE23" s="3431"/>
      <c r="DCF23" s="3431"/>
      <c r="DCG23" s="3431"/>
      <c r="DCH23" s="3431"/>
      <c r="DCI23" s="3431"/>
      <c r="DCJ23" s="3431"/>
      <c r="DCK23" s="3431"/>
      <c r="DCL23" s="3431"/>
      <c r="DCM23" s="3431"/>
      <c r="DCN23" s="3431"/>
      <c r="DCO23" s="3431"/>
      <c r="DCP23" s="3431"/>
      <c r="DCQ23" s="3431"/>
      <c r="DCR23" s="3431"/>
      <c r="DCS23" s="3431"/>
      <c r="DCT23" s="3431"/>
      <c r="DCU23" s="3431"/>
      <c r="DCV23" s="3431"/>
      <c r="DCW23" s="3431"/>
      <c r="DCX23" s="3431"/>
      <c r="DCY23" s="3431"/>
      <c r="DCZ23" s="3431"/>
      <c r="DDA23" s="3431"/>
      <c r="DDB23" s="3431"/>
      <c r="DDC23" s="3431"/>
      <c r="DDD23" s="3431"/>
      <c r="DDE23" s="3431"/>
      <c r="DDF23" s="3431"/>
      <c r="DDG23" s="3431"/>
      <c r="DDH23" s="3431"/>
      <c r="DDI23" s="3431"/>
      <c r="DDJ23" s="3431"/>
      <c r="DDK23" s="3431"/>
      <c r="DDL23" s="3431"/>
      <c r="DDM23" s="3431"/>
      <c r="DDN23" s="3431"/>
      <c r="DDO23" s="3431"/>
      <c r="DDP23" s="3431"/>
      <c r="DDQ23" s="3431"/>
      <c r="DDR23" s="3431"/>
      <c r="DDS23" s="3431"/>
      <c r="DDT23" s="3431"/>
      <c r="DDU23" s="3431"/>
      <c r="DDV23" s="3431"/>
      <c r="DDW23" s="3431"/>
      <c r="DDX23" s="3431"/>
      <c r="DDY23" s="3431"/>
      <c r="DDZ23" s="3431"/>
      <c r="DEA23" s="3431"/>
      <c r="DEB23" s="3431"/>
      <c r="DEC23" s="3431"/>
      <c r="DED23" s="3431"/>
      <c r="DEE23" s="3431"/>
      <c r="DEF23" s="3431"/>
      <c r="DEG23" s="3431"/>
      <c r="DEH23" s="3431"/>
      <c r="DEI23" s="3431"/>
      <c r="DEJ23" s="3431"/>
      <c r="DEK23" s="3431"/>
      <c r="DEL23" s="3431"/>
      <c r="DEM23" s="3431"/>
      <c r="DEN23" s="3431"/>
      <c r="DEO23" s="3431"/>
      <c r="DEP23" s="3431"/>
      <c r="DEQ23" s="3431"/>
      <c r="DER23" s="3431"/>
      <c r="DES23" s="3431"/>
      <c r="DET23" s="3431"/>
      <c r="DEU23" s="3431"/>
      <c r="DEV23" s="3431"/>
      <c r="DEW23" s="3431"/>
      <c r="DEX23" s="3431"/>
      <c r="DEY23" s="3431"/>
      <c r="DEZ23" s="3431"/>
      <c r="DFA23" s="3431"/>
      <c r="DFB23" s="3431"/>
      <c r="DFC23" s="3431"/>
      <c r="DFD23" s="3431"/>
      <c r="DFE23" s="3431"/>
      <c r="DFF23" s="3431"/>
      <c r="DFG23" s="3431"/>
      <c r="DFH23" s="3431"/>
      <c r="DFI23" s="3431"/>
      <c r="DFJ23" s="3431"/>
      <c r="DFK23" s="3431"/>
      <c r="DFL23" s="3431"/>
      <c r="DFM23" s="3431"/>
      <c r="DFN23" s="3431"/>
      <c r="DFO23" s="3431"/>
      <c r="DFP23" s="3431"/>
      <c r="DFQ23" s="3431"/>
      <c r="DFR23" s="3431"/>
      <c r="DFS23" s="3431"/>
      <c r="DFT23" s="3431"/>
      <c r="DFU23" s="3431"/>
      <c r="DFV23" s="3431"/>
      <c r="DFW23" s="3431"/>
      <c r="DFX23" s="3431"/>
      <c r="DFY23" s="3431"/>
      <c r="DFZ23" s="3431"/>
      <c r="DGA23" s="3431"/>
      <c r="DGB23" s="3431"/>
      <c r="DGC23" s="3431"/>
      <c r="DGD23" s="3431"/>
      <c r="DGE23" s="3431"/>
      <c r="DGF23" s="3431"/>
      <c r="DGG23" s="3431"/>
      <c r="DGH23" s="3431"/>
      <c r="DGI23" s="3431"/>
      <c r="DGJ23" s="3431"/>
      <c r="DGK23" s="3431"/>
      <c r="DGL23" s="3431"/>
      <c r="DGM23" s="3431"/>
      <c r="DGN23" s="3431"/>
      <c r="DGO23" s="3431"/>
      <c r="DGP23" s="3431"/>
      <c r="DGQ23" s="3431"/>
      <c r="DGR23" s="3431"/>
      <c r="DGS23" s="3431"/>
      <c r="DGT23" s="3431"/>
      <c r="DGU23" s="3431"/>
      <c r="DGV23" s="3431"/>
      <c r="DGW23" s="3431"/>
      <c r="DGX23" s="3431"/>
      <c r="DGY23" s="3431"/>
      <c r="DGZ23" s="3431"/>
      <c r="DHA23" s="3431"/>
      <c r="DHB23" s="3431"/>
      <c r="DHC23" s="3431"/>
      <c r="DHD23" s="3431"/>
      <c r="DHE23" s="3431"/>
      <c r="DHF23" s="3431"/>
      <c r="DHG23" s="3431"/>
      <c r="DHH23" s="3431"/>
      <c r="DHI23" s="3431"/>
      <c r="DHJ23" s="3431"/>
      <c r="DHK23" s="3431"/>
      <c r="DHL23" s="3431"/>
      <c r="DHM23" s="3431"/>
      <c r="DHN23" s="3431"/>
      <c r="DHO23" s="3431"/>
      <c r="DHP23" s="3431"/>
      <c r="DHQ23" s="3431"/>
      <c r="DHR23" s="3431"/>
      <c r="DHS23" s="3431"/>
      <c r="DHT23" s="3431"/>
      <c r="DHU23" s="3431"/>
      <c r="DHV23" s="3431"/>
      <c r="DHW23" s="3431"/>
      <c r="DHX23" s="3431"/>
      <c r="DHY23" s="3431"/>
      <c r="DHZ23" s="3431"/>
      <c r="DIA23" s="3431"/>
      <c r="DIB23" s="3431"/>
      <c r="DIC23" s="3431"/>
      <c r="DID23" s="3431"/>
      <c r="DIE23" s="3431"/>
      <c r="DIF23" s="3431"/>
      <c r="DIG23" s="3431"/>
      <c r="DIH23" s="3431"/>
      <c r="DII23" s="3431"/>
      <c r="DIJ23" s="3431"/>
      <c r="DIK23" s="3431"/>
      <c r="DIL23" s="3431"/>
      <c r="DIM23" s="3431"/>
      <c r="DIN23" s="3431"/>
      <c r="DIO23" s="3431"/>
      <c r="DIP23" s="3431"/>
      <c r="DIQ23" s="3431"/>
      <c r="DIR23" s="3431"/>
      <c r="DIS23" s="3431"/>
      <c r="DIT23" s="3431"/>
      <c r="DIU23" s="3431"/>
      <c r="DIV23" s="3431"/>
      <c r="DIW23" s="3431"/>
      <c r="DIX23" s="3431"/>
      <c r="DIY23" s="3431"/>
      <c r="DIZ23" s="3431"/>
      <c r="DJA23" s="3431"/>
      <c r="DJB23" s="3431"/>
      <c r="DJC23" s="3431"/>
      <c r="DJD23" s="3431"/>
      <c r="DJE23" s="3431"/>
      <c r="DJF23" s="3431"/>
      <c r="DJG23" s="3431"/>
      <c r="DJH23" s="3431"/>
      <c r="DJI23" s="3431"/>
      <c r="DJJ23" s="3431"/>
      <c r="DJK23" s="3431"/>
      <c r="DJL23" s="3431"/>
      <c r="DJM23" s="3431"/>
      <c r="DJN23" s="3431"/>
      <c r="DJO23" s="3431"/>
      <c r="DJP23" s="3431"/>
      <c r="DJQ23" s="3431"/>
      <c r="DJR23" s="3431"/>
      <c r="DJS23" s="3431"/>
      <c r="DJT23" s="3431"/>
      <c r="DJU23" s="3431"/>
      <c r="DJV23" s="3431"/>
      <c r="DJW23" s="3431"/>
      <c r="DJX23" s="3431"/>
      <c r="DJY23" s="3431"/>
      <c r="DJZ23" s="3431"/>
      <c r="DKA23" s="3431"/>
      <c r="DKB23" s="3431"/>
      <c r="DKC23" s="3431"/>
      <c r="DKD23" s="3431"/>
      <c r="DKE23" s="3431"/>
      <c r="DKF23" s="3431"/>
      <c r="DKG23" s="3431"/>
      <c r="DKH23" s="3431"/>
      <c r="DKI23" s="3431"/>
      <c r="DKJ23" s="3431"/>
      <c r="DKK23" s="3431"/>
      <c r="DKL23" s="3431"/>
      <c r="DKM23" s="3431"/>
      <c r="DKN23" s="3431"/>
      <c r="DKO23" s="3431"/>
      <c r="DKP23" s="3431"/>
      <c r="DKQ23" s="3431"/>
      <c r="DKR23" s="3431"/>
      <c r="DKS23" s="3431"/>
      <c r="DKT23" s="3431"/>
      <c r="DKU23" s="3431"/>
      <c r="DKV23" s="3431"/>
      <c r="DKW23" s="3431"/>
      <c r="DKX23" s="3431"/>
      <c r="DKY23" s="3431"/>
      <c r="DKZ23" s="3431"/>
      <c r="DLA23" s="3431"/>
      <c r="DLB23" s="3431"/>
      <c r="DLC23" s="3431"/>
      <c r="DLD23" s="3431"/>
      <c r="DLE23" s="3431"/>
      <c r="DLF23" s="3431"/>
      <c r="DLG23" s="3431"/>
      <c r="DLH23" s="3431"/>
      <c r="DLI23" s="3431"/>
      <c r="DLJ23" s="3431"/>
      <c r="DLK23" s="3431"/>
      <c r="DLL23" s="3431"/>
      <c r="DLM23" s="3431"/>
      <c r="DLN23" s="3431"/>
      <c r="DLO23" s="3431"/>
      <c r="DLP23" s="3431"/>
      <c r="DLQ23" s="3431"/>
      <c r="DLR23" s="3431"/>
      <c r="DLS23" s="3431"/>
      <c r="DLT23" s="3431"/>
      <c r="DLU23" s="3431"/>
      <c r="DLV23" s="3431"/>
      <c r="DLW23" s="3431"/>
      <c r="DLX23" s="3431"/>
      <c r="DLY23" s="3431"/>
      <c r="DLZ23" s="3431"/>
      <c r="DMA23" s="3431"/>
      <c r="DMB23" s="3431"/>
      <c r="DMC23" s="3431"/>
      <c r="DMD23" s="3431"/>
      <c r="DME23" s="3431"/>
      <c r="DMF23" s="3431"/>
      <c r="DMG23" s="3431"/>
      <c r="DMH23" s="3431"/>
      <c r="DMI23" s="3431"/>
      <c r="DMJ23" s="3431"/>
      <c r="DMK23" s="3431"/>
      <c r="DML23" s="3431"/>
      <c r="DMM23" s="3431"/>
      <c r="DMN23" s="3431"/>
      <c r="DMO23" s="3431"/>
      <c r="DMP23" s="3431"/>
      <c r="DMQ23" s="3431"/>
      <c r="DMR23" s="3431"/>
      <c r="DMS23" s="3431"/>
      <c r="DMT23" s="3431"/>
      <c r="DMU23" s="3431"/>
      <c r="DMV23" s="3431"/>
      <c r="DMW23" s="3431"/>
      <c r="DMX23" s="3431"/>
      <c r="DMY23" s="3431"/>
      <c r="DMZ23" s="3431"/>
      <c r="DNA23" s="3431"/>
      <c r="DNB23" s="3431"/>
      <c r="DNC23" s="3431"/>
      <c r="DND23" s="3431"/>
      <c r="DNE23" s="3431"/>
      <c r="DNF23" s="3431"/>
      <c r="DNG23" s="3431"/>
      <c r="DNH23" s="3431"/>
      <c r="DNI23" s="3431"/>
      <c r="DNJ23" s="3431"/>
      <c r="DNK23" s="3431"/>
      <c r="DNL23" s="3431"/>
      <c r="DNM23" s="3431"/>
      <c r="DNN23" s="3431"/>
      <c r="DNO23" s="3431"/>
      <c r="DNP23" s="3431"/>
      <c r="DNQ23" s="3431"/>
      <c r="DNR23" s="3431"/>
      <c r="DNS23" s="3431"/>
      <c r="DNT23" s="3431"/>
      <c r="DNU23" s="3431"/>
      <c r="DNV23" s="3431"/>
      <c r="DNW23" s="3431"/>
      <c r="DNX23" s="3431"/>
      <c r="DNY23" s="3431"/>
      <c r="DNZ23" s="3431"/>
      <c r="DOA23" s="3431"/>
      <c r="DOB23" s="3431"/>
      <c r="DOC23" s="3431"/>
      <c r="DOD23" s="3431"/>
      <c r="DOE23" s="3431"/>
      <c r="DOF23" s="3431"/>
      <c r="DOG23" s="3431"/>
      <c r="DOH23" s="3431"/>
      <c r="DOI23" s="3431"/>
      <c r="DOJ23" s="3431"/>
      <c r="DOK23" s="3431"/>
      <c r="DOL23" s="3431"/>
      <c r="DOM23" s="3431"/>
      <c r="DON23" s="3431"/>
      <c r="DOO23" s="3431"/>
      <c r="DOP23" s="3431"/>
      <c r="DOQ23" s="3431"/>
      <c r="DOR23" s="3431"/>
      <c r="DOS23" s="3431"/>
      <c r="DOT23" s="3431"/>
      <c r="DOU23" s="3431"/>
      <c r="DOV23" s="3431"/>
      <c r="DOW23" s="3431"/>
      <c r="DOX23" s="3431"/>
      <c r="DOY23" s="3431"/>
      <c r="DOZ23" s="3431"/>
      <c r="DPA23" s="3431"/>
      <c r="DPB23" s="3431"/>
      <c r="DPC23" s="3431"/>
      <c r="DPD23" s="3431"/>
      <c r="DPE23" s="3431"/>
      <c r="DPF23" s="3431"/>
      <c r="DPG23" s="3431"/>
      <c r="DPH23" s="3431"/>
      <c r="DPI23" s="3431"/>
      <c r="DPJ23" s="3431"/>
      <c r="DPK23" s="3431"/>
      <c r="DPL23" s="3431"/>
      <c r="DPM23" s="3431"/>
      <c r="DPN23" s="3431"/>
      <c r="DPO23" s="3431"/>
      <c r="DPP23" s="3431"/>
      <c r="DPQ23" s="3431"/>
      <c r="DPR23" s="3431"/>
      <c r="DPS23" s="3431"/>
      <c r="DPT23" s="3431"/>
      <c r="DPU23" s="3431"/>
      <c r="DPV23" s="3431"/>
      <c r="DPW23" s="3431"/>
      <c r="DPX23" s="3431"/>
      <c r="DPY23" s="3431"/>
      <c r="DPZ23" s="3431"/>
      <c r="DQA23" s="3431"/>
      <c r="DQB23" s="3431"/>
      <c r="DQC23" s="3431"/>
      <c r="DQD23" s="3431"/>
      <c r="DQE23" s="3431"/>
      <c r="DQF23" s="3431"/>
      <c r="DQG23" s="3431"/>
      <c r="DQH23" s="3431"/>
      <c r="DQI23" s="3431"/>
      <c r="DQJ23" s="3431"/>
      <c r="DQK23" s="3431"/>
      <c r="DQL23" s="3431"/>
      <c r="DQM23" s="3431"/>
      <c r="DQN23" s="3431"/>
      <c r="DQO23" s="3431"/>
      <c r="DQP23" s="3431"/>
      <c r="DQQ23" s="3431"/>
      <c r="DQR23" s="3431"/>
      <c r="DQS23" s="3431"/>
      <c r="DQT23" s="3431"/>
      <c r="DQU23" s="3431"/>
      <c r="DQV23" s="3431"/>
      <c r="DQW23" s="3431"/>
      <c r="DQX23" s="3431"/>
      <c r="DQY23" s="3431"/>
      <c r="DQZ23" s="3431"/>
      <c r="DRA23" s="3431"/>
      <c r="DRB23" s="3431"/>
      <c r="DRC23" s="3431"/>
      <c r="DRD23" s="3431"/>
      <c r="DRE23" s="3431"/>
      <c r="DRF23" s="3431"/>
      <c r="DRG23" s="3431"/>
      <c r="DRH23" s="3431"/>
      <c r="DRI23" s="3431"/>
      <c r="DRJ23" s="3431"/>
      <c r="DRK23" s="3431"/>
      <c r="DRL23" s="3431"/>
      <c r="DRM23" s="3431"/>
      <c r="DRN23" s="3431"/>
      <c r="DRO23" s="3431"/>
      <c r="DRP23" s="3431"/>
      <c r="DRQ23" s="3431"/>
      <c r="DRR23" s="3431"/>
      <c r="DRS23" s="3431"/>
      <c r="DRT23" s="3431"/>
      <c r="DRU23" s="3431"/>
      <c r="DRV23" s="3431"/>
      <c r="DRW23" s="3431"/>
      <c r="DRX23" s="3431"/>
      <c r="DRY23" s="3431"/>
      <c r="DRZ23" s="3431"/>
      <c r="DSA23" s="3431"/>
      <c r="DSB23" s="3431"/>
      <c r="DSC23" s="3431"/>
      <c r="DSD23" s="3431"/>
      <c r="DSE23" s="3431"/>
      <c r="DSF23" s="3431"/>
      <c r="DSG23" s="3431"/>
      <c r="DSH23" s="3431"/>
      <c r="DSI23" s="3431"/>
      <c r="DSJ23" s="3431"/>
      <c r="DSK23" s="3431"/>
      <c r="DSL23" s="3431"/>
      <c r="DSM23" s="3431"/>
      <c r="DSN23" s="3431"/>
      <c r="DSO23" s="3431"/>
      <c r="DSP23" s="3431"/>
      <c r="DSQ23" s="3431"/>
      <c r="DSR23" s="3431"/>
      <c r="DSS23" s="3431"/>
      <c r="DST23" s="3431"/>
      <c r="DSU23" s="3431"/>
      <c r="DSV23" s="3431"/>
      <c r="DSW23" s="3431"/>
      <c r="DSX23" s="3431"/>
      <c r="DSY23" s="3431"/>
      <c r="DSZ23" s="3431"/>
      <c r="DTA23" s="3431"/>
      <c r="DTB23" s="3431"/>
      <c r="DTC23" s="3431"/>
      <c r="DTD23" s="3431"/>
      <c r="DTE23" s="3431"/>
      <c r="DTF23" s="3431"/>
      <c r="DTG23" s="3431"/>
      <c r="DTH23" s="3431"/>
      <c r="DTI23" s="3431"/>
      <c r="DTJ23" s="3431"/>
      <c r="DTK23" s="3431"/>
      <c r="DTL23" s="3431"/>
      <c r="DTM23" s="3431"/>
      <c r="DTN23" s="3431"/>
      <c r="DTO23" s="3431"/>
      <c r="DTP23" s="3431"/>
      <c r="DTQ23" s="3431"/>
      <c r="DTR23" s="3431"/>
      <c r="DTS23" s="3431"/>
      <c r="DTT23" s="3431"/>
      <c r="DTU23" s="3431"/>
      <c r="DTV23" s="3431"/>
      <c r="DTW23" s="3431"/>
      <c r="DTX23" s="3431"/>
      <c r="DTY23" s="3431"/>
      <c r="DTZ23" s="3431"/>
      <c r="DUA23" s="3431"/>
      <c r="DUB23" s="3431"/>
      <c r="DUC23" s="3431"/>
      <c r="DUD23" s="3431"/>
      <c r="DUE23" s="3431"/>
      <c r="DUF23" s="3431"/>
      <c r="DUG23" s="3431"/>
      <c r="DUH23" s="3431"/>
      <c r="DUI23" s="3431"/>
      <c r="DUJ23" s="3431"/>
      <c r="DUK23" s="3431"/>
      <c r="DUL23" s="3431"/>
      <c r="DUM23" s="3431"/>
      <c r="DUN23" s="3431"/>
      <c r="DUO23" s="3431"/>
      <c r="DUP23" s="3431"/>
      <c r="DUQ23" s="3431"/>
      <c r="DUR23" s="3431"/>
      <c r="DUS23" s="3431"/>
      <c r="DUT23" s="3431"/>
      <c r="DUU23" s="3431"/>
      <c r="DUV23" s="3431"/>
      <c r="DUW23" s="3431"/>
      <c r="DUX23" s="3431"/>
      <c r="DUY23" s="3431"/>
      <c r="DUZ23" s="3431"/>
      <c r="DVA23" s="3431"/>
      <c r="DVB23" s="3431"/>
      <c r="DVC23" s="3431"/>
      <c r="DVD23" s="3431"/>
      <c r="DVE23" s="3431"/>
      <c r="DVF23" s="3431"/>
      <c r="DVG23" s="3431"/>
      <c r="DVH23" s="3431"/>
      <c r="DVI23" s="3431"/>
      <c r="DVJ23" s="3431"/>
      <c r="DVK23" s="3431"/>
      <c r="DVL23" s="3431"/>
      <c r="DVM23" s="3431"/>
      <c r="DVN23" s="3431"/>
      <c r="DVO23" s="3431"/>
      <c r="DVP23" s="3431"/>
      <c r="DVQ23" s="3431"/>
      <c r="DVR23" s="3431"/>
      <c r="DVS23" s="3431"/>
      <c r="DVT23" s="3431"/>
      <c r="DVU23" s="3431"/>
      <c r="DVV23" s="3431"/>
      <c r="DVW23" s="3431"/>
      <c r="DVX23" s="3431"/>
      <c r="DVY23" s="3431"/>
      <c r="DVZ23" s="3431"/>
      <c r="DWA23" s="3431"/>
      <c r="DWB23" s="3431"/>
      <c r="DWC23" s="3431"/>
      <c r="DWD23" s="3431"/>
      <c r="DWE23" s="3431"/>
      <c r="DWF23" s="3431"/>
      <c r="DWG23" s="3431"/>
      <c r="DWH23" s="3431"/>
      <c r="DWI23" s="3431"/>
      <c r="DWJ23" s="3431"/>
      <c r="DWK23" s="3431"/>
      <c r="DWL23" s="3431"/>
      <c r="DWM23" s="3431"/>
      <c r="DWN23" s="3431"/>
      <c r="DWO23" s="3431"/>
      <c r="DWP23" s="3431"/>
      <c r="DWQ23" s="3431"/>
      <c r="DWR23" s="3431"/>
      <c r="DWS23" s="3431"/>
      <c r="DWT23" s="3431"/>
      <c r="DWU23" s="3431"/>
      <c r="DWV23" s="3431"/>
      <c r="DWW23" s="3431"/>
      <c r="DWX23" s="3431"/>
      <c r="DWY23" s="3431"/>
      <c r="DWZ23" s="3431"/>
      <c r="DXA23" s="3431"/>
      <c r="DXB23" s="3431"/>
      <c r="DXC23" s="3431"/>
      <c r="DXD23" s="3431"/>
      <c r="DXE23" s="3431"/>
      <c r="DXF23" s="3431"/>
      <c r="DXG23" s="3431"/>
      <c r="DXH23" s="3431"/>
      <c r="DXI23" s="3431"/>
      <c r="DXJ23" s="3431"/>
      <c r="DXK23" s="3431"/>
      <c r="DXL23" s="3431"/>
      <c r="DXM23" s="3431"/>
      <c r="DXN23" s="3431"/>
      <c r="DXO23" s="3431"/>
      <c r="DXP23" s="3431"/>
      <c r="DXQ23" s="3431"/>
      <c r="DXR23" s="3431"/>
      <c r="DXS23" s="3431"/>
      <c r="DXT23" s="3431"/>
      <c r="DXU23" s="3431"/>
      <c r="DXV23" s="3431"/>
      <c r="DXW23" s="3431"/>
      <c r="DXX23" s="3431"/>
      <c r="DXY23" s="3431"/>
      <c r="DXZ23" s="3431"/>
      <c r="DYA23" s="3431"/>
      <c r="DYB23" s="3431"/>
      <c r="DYC23" s="3431"/>
      <c r="DYD23" s="3431"/>
      <c r="DYE23" s="3431"/>
      <c r="DYF23" s="3431"/>
      <c r="DYG23" s="3431"/>
      <c r="DYH23" s="3431"/>
      <c r="DYI23" s="3431"/>
      <c r="DYJ23" s="3431"/>
      <c r="DYK23" s="3431"/>
      <c r="DYL23" s="3431"/>
      <c r="DYM23" s="3431"/>
      <c r="DYN23" s="3431"/>
      <c r="DYO23" s="3431"/>
      <c r="DYP23" s="3431"/>
      <c r="DYQ23" s="3431"/>
      <c r="DYR23" s="3431"/>
      <c r="DYS23" s="3431"/>
      <c r="DYT23" s="3431"/>
      <c r="DYU23" s="3431"/>
      <c r="DYV23" s="3431"/>
      <c r="DYW23" s="3431"/>
      <c r="DYX23" s="3431"/>
      <c r="DYY23" s="3431"/>
      <c r="DYZ23" s="3431"/>
      <c r="DZA23" s="3431"/>
      <c r="DZB23" s="3431"/>
      <c r="DZC23" s="3431"/>
      <c r="DZD23" s="3431"/>
      <c r="DZE23" s="3431"/>
      <c r="DZF23" s="3431"/>
      <c r="DZG23" s="3431"/>
      <c r="DZH23" s="3431"/>
      <c r="DZI23" s="3431"/>
      <c r="DZJ23" s="3431"/>
      <c r="DZK23" s="3431"/>
      <c r="DZL23" s="3431"/>
      <c r="DZM23" s="3431"/>
      <c r="DZN23" s="3431"/>
      <c r="DZO23" s="3431"/>
      <c r="DZP23" s="3431"/>
      <c r="DZQ23" s="3431"/>
      <c r="DZR23" s="3431"/>
      <c r="DZS23" s="3431"/>
      <c r="DZT23" s="3431"/>
      <c r="DZU23" s="3431"/>
      <c r="DZV23" s="3431"/>
      <c r="DZW23" s="3431"/>
      <c r="DZX23" s="3431"/>
      <c r="DZY23" s="3431"/>
      <c r="DZZ23" s="3431"/>
      <c r="EAA23" s="3431"/>
      <c r="EAB23" s="3431"/>
      <c r="EAC23" s="3431"/>
      <c r="EAD23" s="3431"/>
      <c r="EAE23" s="3431"/>
      <c r="EAF23" s="3431"/>
      <c r="EAG23" s="3431"/>
      <c r="EAH23" s="3431"/>
      <c r="EAI23" s="3431"/>
      <c r="EAJ23" s="3431"/>
      <c r="EAK23" s="3431"/>
      <c r="EAL23" s="3431"/>
      <c r="EAM23" s="3431"/>
      <c r="EAN23" s="3431"/>
      <c r="EAO23" s="3431"/>
      <c r="EAP23" s="3431"/>
      <c r="EAQ23" s="3431"/>
      <c r="EAR23" s="3431"/>
      <c r="EAS23" s="3431"/>
      <c r="EAT23" s="3431"/>
      <c r="EAU23" s="3431"/>
      <c r="EAV23" s="3431"/>
      <c r="EAW23" s="3431"/>
      <c r="EAX23" s="3431"/>
      <c r="EAY23" s="3431"/>
      <c r="EAZ23" s="3431"/>
      <c r="EBA23" s="3431"/>
      <c r="EBB23" s="3431"/>
      <c r="EBC23" s="3431"/>
      <c r="EBD23" s="3431"/>
      <c r="EBE23" s="3431"/>
      <c r="EBF23" s="3431"/>
      <c r="EBG23" s="3431"/>
      <c r="EBH23" s="3431"/>
      <c r="EBI23" s="3431"/>
      <c r="EBJ23" s="3431"/>
      <c r="EBK23" s="3431"/>
      <c r="EBL23" s="3431"/>
      <c r="EBM23" s="3431"/>
      <c r="EBN23" s="3431"/>
      <c r="EBO23" s="3431"/>
      <c r="EBP23" s="3431"/>
      <c r="EBQ23" s="3431"/>
      <c r="EBR23" s="3431"/>
      <c r="EBS23" s="3431"/>
      <c r="EBT23" s="3431"/>
      <c r="EBU23" s="3431"/>
      <c r="EBV23" s="3431"/>
      <c r="EBW23" s="3431"/>
      <c r="EBX23" s="3431"/>
      <c r="EBY23" s="3431"/>
      <c r="EBZ23" s="3431"/>
      <c r="ECA23" s="3431"/>
      <c r="ECB23" s="3431"/>
      <c r="ECC23" s="3431"/>
      <c r="ECD23" s="3431"/>
      <c r="ECE23" s="3431"/>
      <c r="ECF23" s="3431"/>
      <c r="ECG23" s="3431"/>
      <c r="ECH23" s="3431"/>
      <c r="ECI23" s="3431"/>
      <c r="ECJ23" s="3431"/>
      <c r="ECK23" s="3431"/>
      <c r="ECL23" s="3431"/>
      <c r="ECM23" s="3431"/>
      <c r="ECN23" s="3431"/>
      <c r="ECO23" s="3431"/>
      <c r="ECP23" s="3431"/>
      <c r="ECQ23" s="3431"/>
      <c r="ECR23" s="3431"/>
      <c r="ECS23" s="3431"/>
      <c r="ECT23" s="3431"/>
      <c r="ECU23" s="3431"/>
      <c r="ECV23" s="3431"/>
      <c r="ECW23" s="3431"/>
      <c r="ECX23" s="3431"/>
      <c r="ECY23" s="3431"/>
      <c r="ECZ23" s="3431"/>
      <c r="EDA23" s="3431"/>
      <c r="EDB23" s="3431"/>
      <c r="EDC23" s="3431"/>
      <c r="EDD23" s="3431"/>
      <c r="EDE23" s="3431"/>
      <c r="EDF23" s="3431"/>
      <c r="EDG23" s="3431"/>
      <c r="EDH23" s="3431"/>
      <c r="EDI23" s="3431"/>
      <c r="EDJ23" s="3431"/>
      <c r="EDK23" s="3431"/>
      <c r="EDL23" s="3431"/>
      <c r="EDM23" s="3431"/>
      <c r="EDN23" s="3431"/>
      <c r="EDO23" s="3431"/>
      <c r="EDP23" s="3431"/>
      <c r="EDQ23" s="3431"/>
      <c r="EDR23" s="3431"/>
      <c r="EDS23" s="3431"/>
      <c r="EDT23" s="3431"/>
      <c r="EDU23" s="3431"/>
      <c r="EDV23" s="3431"/>
      <c r="EDW23" s="3431"/>
      <c r="EDX23" s="3431"/>
      <c r="EDY23" s="3431"/>
      <c r="EDZ23" s="3431"/>
      <c r="EEA23" s="3431"/>
      <c r="EEB23" s="3431"/>
      <c r="EEC23" s="3431"/>
      <c r="EED23" s="3431"/>
      <c r="EEE23" s="3431"/>
      <c r="EEF23" s="3431"/>
      <c r="EEG23" s="3431"/>
      <c r="EEH23" s="3431"/>
      <c r="EEI23" s="3431"/>
      <c r="EEJ23" s="3431"/>
      <c r="EEK23" s="3431"/>
      <c r="EEL23" s="3431"/>
      <c r="EEM23" s="3431"/>
      <c r="EEN23" s="3431"/>
      <c r="EEO23" s="3431"/>
      <c r="EEP23" s="3431"/>
      <c r="EEQ23" s="3431"/>
      <c r="EER23" s="3431"/>
      <c r="EES23" s="3431"/>
      <c r="EET23" s="3431"/>
      <c r="EEU23" s="3431"/>
      <c r="EEV23" s="3431"/>
      <c r="EEW23" s="3431"/>
      <c r="EEX23" s="3431"/>
      <c r="EEY23" s="3431"/>
      <c r="EEZ23" s="3431"/>
      <c r="EFA23" s="3431"/>
      <c r="EFB23" s="3431"/>
      <c r="EFC23" s="3431"/>
      <c r="EFD23" s="3431"/>
      <c r="EFE23" s="3431"/>
      <c r="EFF23" s="3431"/>
      <c r="EFG23" s="3431"/>
      <c r="EFH23" s="3431"/>
      <c r="EFI23" s="3431"/>
      <c r="EFJ23" s="3431"/>
      <c r="EFK23" s="3431"/>
      <c r="EFL23" s="3431"/>
      <c r="EFM23" s="3431"/>
      <c r="EFN23" s="3431"/>
      <c r="EFO23" s="3431"/>
      <c r="EFP23" s="3431"/>
      <c r="EFQ23" s="3431"/>
      <c r="EFR23" s="3431"/>
      <c r="EFS23" s="3431"/>
      <c r="EFT23" s="3431"/>
      <c r="EFU23" s="3431"/>
      <c r="EFV23" s="3431"/>
      <c r="EFW23" s="3431"/>
      <c r="EFX23" s="3431"/>
      <c r="EFY23" s="3431"/>
      <c r="EFZ23" s="3431"/>
      <c r="EGA23" s="3431"/>
      <c r="EGB23" s="3431"/>
      <c r="EGC23" s="3431"/>
      <c r="EGD23" s="3431"/>
      <c r="EGE23" s="3431"/>
      <c r="EGF23" s="3431"/>
      <c r="EGG23" s="3431"/>
      <c r="EGH23" s="3431"/>
      <c r="EGI23" s="3431"/>
      <c r="EGJ23" s="3431"/>
      <c r="EGK23" s="3431"/>
      <c r="EGL23" s="3431"/>
      <c r="EGM23" s="3431"/>
      <c r="EGN23" s="3431"/>
      <c r="EGO23" s="3431"/>
      <c r="EGP23" s="3431"/>
      <c r="EGQ23" s="3431"/>
      <c r="EGR23" s="3431"/>
      <c r="EGS23" s="3431"/>
      <c r="EGT23" s="3431"/>
      <c r="EGU23" s="3431"/>
      <c r="EGV23" s="3431"/>
      <c r="EGW23" s="3431"/>
      <c r="EGX23" s="3431"/>
      <c r="EGY23" s="3431"/>
      <c r="EGZ23" s="3431"/>
      <c r="EHA23" s="3431"/>
      <c r="EHB23" s="3431"/>
      <c r="EHC23" s="3431"/>
      <c r="EHD23" s="3431"/>
      <c r="EHE23" s="3431"/>
      <c r="EHF23" s="3431"/>
      <c r="EHG23" s="3431"/>
      <c r="EHH23" s="3431"/>
      <c r="EHI23" s="3431"/>
      <c r="EHJ23" s="3431"/>
      <c r="EHK23" s="3431"/>
      <c r="EHL23" s="3431"/>
      <c r="EHM23" s="3431"/>
      <c r="EHN23" s="3431"/>
      <c r="EHO23" s="3431"/>
      <c r="EHP23" s="3431"/>
      <c r="EHQ23" s="3431"/>
      <c r="EHR23" s="3431"/>
      <c r="EHS23" s="3431"/>
      <c r="EHT23" s="3431"/>
      <c r="EHU23" s="3431"/>
      <c r="EHV23" s="3431"/>
      <c r="EHW23" s="3431"/>
      <c r="EHX23" s="3431"/>
      <c r="EHY23" s="3431"/>
      <c r="EHZ23" s="3431"/>
      <c r="EIA23" s="3431"/>
      <c r="EIB23" s="3431"/>
      <c r="EIC23" s="3431"/>
      <c r="EID23" s="3431"/>
      <c r="EIE23" s="3431"/>
      <c r="EIF23" s="3431"/>
      <c r="EIG23" s="3431"/>
      <c r="EIH23" s="3431"/>
      <c r="EII23" s="3431"/>
      <c r="EIJ23" s="3431"/>
      <c r="EIK23" s="3431"/>
      <c r="EIL23" s="3431"/>
      <c r="EIM23" s="3431"/>
      <c r="EIN23" s="3431"/>
      <c r="EIO23" s="3431"/>
      <c r="EIP23" s="3431"/>
      <c r="EIQ23" s="3431"/>
      <c r="EIR23" s="3431"/>
      <c r="EIS23" s="3431"/>
      <c r="EIT23" s="3431"/>
      <c r="EIU23" s="3431"/>
      <c r="EIV23" s="3431"/>
      <c r="EIW23" s="3431"/>
      <c r="EIX23" s="3431"/>
      <c r="EIY23" s="3431"/>
      <c r="EIZ23" s="3431"/>
      <c r="EJA23" s="3431"/>
      <c r="EJB23" s="3431"/>
      <c r="EJC23" s="3431"/>
      <c r="EJD23" s="3431"/>
      <c r="EJE23" s="3431"/>
      <c r="EJF23" s="3431"/>
      <c r="EJG23" s="3431"/>
      <c r="EJH23" s="3431"/>
      <c r="EJI23" s="3431"/>
      <c r="EJJ23" s="3431"/>
      <c r="EJK23" s="3431"/>
      <c r="EJL23" s="3431"/>
      <c r="EJM23" s="3431"/>
      <c r="EJN23" s="3431"/>
      <c r="EJO23" s="3431"/>
      <c r="EJP23" s="3431"/>
      <c r="EJQ23" s="3431"/>
      <c r="EJR23" s="3431"/>
      <c r="EJS23" s="3431"/>
      <c r="EJT23" s="3431"/>
      <c r="EJU23" s="3431"/>
      <c r="EJV23" s="3431"/>
      <c r="EJW23" s="3431"/>
      <c r="EJX23" s="3431"/>
      <c r="EJY23" s="3431"/>
      <c r="EJZ23" s="3431"/>
      <c r="EKA23" s="3431"/>
      <c r="EKB23" s="3431"/>
      <c r="EKC23" s="3431"/>
      <c r="EKD23" s="3431"/>
      <c r="EKE23" s="3431"/>
      <c r="EKF23" s="3431"/>
      <c r="EKG23" s="3431"/>
      <c r="EKH23" s="3431"/>
      <c r="EKI23" s="3431"/>
      <c r="EKJ23" s="3431"/>
      <c r="EKK23" s="3431"/>
      <c r="EKL23" s="3431"/>
      <c r="EKM23" s="3431"/>
      <c r="EKN23" s="3431"/>
      <c r="EKO23" s="3431"/>
      <c r="EKP23" s="3431"/>
      <c r="EKQ23" s="3431"/>
      <c r="EKR23" s="3431"/>
      <c r="EKS23" s="3431"/>
      <c r="EKT23" s="3431"/>
      <c r="EKU23" s="3431"/>
      <c r="EKV23" s="3431"/>
      <c r="EKW23" s="3431"/>
      <c r="EKX23" s="3431"/>
      <c r="EKY23" s="3431"/>
      <c r="EKZ23" s="3431"/>
      <c r="ELA23" s="3431"/>
      <c r="ELB23" s="3431"/>
      <c r="ELC23" s="3431"/>
      <c r="ELD23" s="3431"/>
      <c r="ELE23" s="3431"/>
      <c r="ELF23" s="3431"/>
      <c r="ELG23" s="3431"/>
      <c r="ELH23" s="3431"/>
      <c r="ELI23" s="3431"/>
      <c r="ELJ23" s="3431"/>
      <c r="ELK23" s="3431"/>
      <c r="ELL23" s="3431"/>
      <c r="ELM23" s="3431"/>
      <c r="ELN23" s="3431"/>
      <c r="ELO23" s="3431"/>
      <c r="ELP23" s="3431"/>
      <c r="ELQ23" s="3431"/>
      <c r="ELR23" s="3431"/>
      <c r="ELS23" s="3431"/>
      <c r="ELT23" s="3431"/>
      <c r="ELU23" s="3431"/>
      <c r="ELV23" s="3431"/>
      <c r="ELW23" s="3431"/>
      <c r="ELX23" s="3431"/>
      <c r="ELY23" s="3431"/>
      <c r="ELZ23" s="3431"/>
      <c r="EMA23" s="3431"/>
      <c r="EMB23" s="3431"/>
      <c r="EMC23" s="3431"/>
      <c r="EMD23" s="3431"/>
      <c r="EME23" s="3431"/>
      <c r="EMF23" s="3431"/>
      <c r="EMG23" s="3431"/>
      <c r="EMH23" s="3431"/>
      <c r="EMI23" s="3431"/>
      <c r="EMJ23" s="3431"/>
      <c r="EMK23" s="3431"/>
      <c r="EML23" s="3431"/>
      <c r="EMM23" s="3431"/>
      <c r="EMN23" s="3431"/>
      <c r="EMO23" s="3431"/>
      <c r="EMP23" s="3431"/>
      <c r="EMQ23" s="3431"/>
      <c r="EMR23" s="3431"/>
      <c r="EMS23" s="3431"/>
      <c r="EMT23" s="3431"/>
      <c r="EMU23" s="3431"/>
      <c r="EMV23" s="3431"/>
      <c r="EMW23" s="3431"/>
      <c r="EMX23" s="3431"/>
      <c r="EMY23" s="3431"/>
      <c r="EMZ23" s="3431"/>
      <c r="ENA23" s="3431"/>
      <c r="ENB23" s="3431"/>
      <c r="ENC23" s="3431"/>
      <c r="END23" s="3431"/>
      <c r="ENE23" s="3431"/>
      <c r="ENF23" s="3431"/>
      <c r="ENG23" s="3431"/>
      <c r="ENH23" s="3431"/>
      <c r="ENI23" s="3431"/>
      <c r="ENJ23" s="3431"/>
      <c r="ENK23" s="3431"/>
      <c r="ENL23" s="3431"/>
      <c r="ENM23" s="3431"/>
      <c r="ENN23" s="3431"/>
      <c r="ENO23" s="3431"/>
      <c r="ENP23" s="3431"/>
      <c r="ENQ23" s="3431"/>
      <c r="ENR23" s="3431"/>
      <c r="ENS23" s="3431"/>
      <c r="ENT23" s="3431"/>
      <c r="ENU23" s="3431"/>
      <c r="ENV23" s="3431"/>
      <c r="ENW23" s="3431"/>
      <c r="ENX23" s="3431"/>
      <c r="ENY23" s="3431"/>
      <c r="ENZ23" s="3431"/>
      <c r="EOA23" s="3431"/>
      <c r="EOB23" s="3431"/>
      <c r="EOC23" s="3431"/>
      <c r="EOD23" s="3431"/>
      <c r="EOE23" s="3431"/>
      <c r="EOF23" s="3431"/>
      <c r="EOG23" s="3431"/>
      <c r="EOH23" s="3431"/>
      <c r="EOI23" s="3431"/>
      <c r="EOJ23" s="3431"/>
      <c r="EOK23" s="3431"/>
      <c r="EOL23" s="3431"/>
      <c r="EOM23" s="3431"/>
      <c r="EON23" s="3431"/>
      <c r="EOO23" s="3431"/>
      <c r="EOP23" s="3431"/>
      <c r="EOQ23" s="3431"/>
      <c r="EOR23" s="3431"/>
      <c r="EOS23" s="3431"/>
      <c r="EOT23" s="3431"/>
      <c r="EOU23" s="3431"/>
      <c r="EOV23" s="3431"/>
      <c r="EOW23" s="3431"/>
      <c r="EOX23" s="3431"/>
      <c r="EOY23" s="3431"/>
      <c r="EOZ23" s="3431"/>
      <c r="EPA23" s="3431"/>
      <c r="EPB23" s="3431"/>
      <c r="EPC23" s="3431"/>
      <c r="EPD23" s="3431"/>
      <c r="EPE23" s="3431"/>
      <c r="EPF23" s="3431"/>
      <c r="EPG23" s="3431"/>
      <c r="EPH23" s="3431"/>
      <c r="EPI23" s="3431"/>
      <c r="EPJ23" s="3431"/>
      <c r="EPK23" s="3431"/>
      <c r="EPL23" s="3431"/>
      <c r="EPM23" s="3431"/>
      <c r="EPN23" s="3431"/>
      <c r="EPO23" s="3431"/>
      <c r="EPP23" s="3431"/>
      <c r="EPQ23" s="3431"/>
      <c r="EPR23" s="3431"/>
      <c r="EPS23" s="3431"/>
      <c r="EPT23" s="3431"/>
      <c r="EPU23" s="3431"/>
      <c r="EPV23" s="3431"/>
      <c r="EPW23" s="3431"/>
      <c r="EPX23" s="3431"/>
      <c r="EPY23" s="3431"/>
      <c r="EPZ23" s="3431"/>
      <c r="EQA23" s="3431"/>
      <c r="EQB23" s="3431"/>
      <c r="EQC23" s="3431"/>
      <c r="EQD23" s="3431"/>
      <c r="EQE23" s="3431"/>
      <c r="EQF23" s="3431"/>
      <c r="EQG23" s="3431"/>
      <c r="EQH23" s="3431"/>
      <c r="EQI23" s="3431"/>
      <c r="EQJ23" s="3431"/>
      <c r="EQK23" s="3431"/>
      <c r="EQL23" s="3431"/>
      <c r="EQM23" s="3431"/>
      <c r="EQN23" s="3431"/>
      <c r="EQO23" s="3431"/>
      <c r="EQP23" s="3431"/>
      <c r="EQQ23" s="3431"/>
      <c r="EQR23" s="3431"/>
      <c r="EQS23" s="3431"/>
      <c r="EQT23" s="3431"/>
      <c r="EQU23" s="3431"/>
      <c r="EQV23" s="3431"/>
      <c r="EQW23" s="3431"/>
      <c r="EQX23" s="3431"/>
      <c r="EQY23" s="3431"/>
      <c r="EQZ23" s="3431"/>
      <c r="ERA23" s="3431"/>
      <c r="ERB23" s="3431"/>
      <c r="ERC23" s="3431"/>
      <c r="ERD23" s="3431"/>
      <c r="ERE23" s="3431"/>
      <c r="ERF23" s="3431"/>
      <c r="ERG23" s="3431"/>
      <c r="ERH23" s="3431"/>
      <c r="ERI23" s="3431"/>
      <c r="ERJ23" s="3431"/>
      <c r="ERK23" s="3431"/>
      <c r="ERL23" s="3431"/>
      <c r="ERM23" s="3431"/>
      <c r="ERN23" s="3431"/>
      <c r="ERO23" s="3431"/>
      <c r="ERP23" s="3431"/>
      <c r="ERQ23" s="3431"/>
      <c r="ERR23" s="3431"/>
      <c r="ERS23" s="3431"/>
      <c r="ERT23" s="3431"/>
      <c r="ERU23" s="3431"/>
      <c r="ERV23" s="3431"/>
      <c r="ERW23" s="3431"/>
      <c r="ERX23" s="3431"/>
      <c r="ERY23" s="3431"/>
      <c r="ERZ23" s="3431"/>
      <c r="ESA23" s="3431"/>
      <c r="ESB23" s="3431"/>
      <c r="ESC23" s="3431"/>
      <c r="ESD23" s="3431"/>
      <c r="ESE23" s="3431"/>
      <c r="ESF23" s="3431"/>
      <c r="ESG23" s="3431"/>
      <c r="ESH23" s="3431"/>
      <c r="ESI23" s="3431"/>
      <c r="ESJ23" s="3431"/>
      <c r="ESK23" s="3431"/>
      <c r="ESL23" s="3431"/>
      <c r="ESM23" s="3431"/>
      <c r="ESN23" s="3431"/>
      <c r="ESO23" s="3431"/>
      <c r="ESP23" s="3431"/>
      <c r="ESQ23" s="3431"/>
      <c r="ESR23" s="3431"/>
      <c r="ESS23" s="3431"/>
      <c r="EST23" s="3431"/>
      <c r="ESU23" s="3431"/>
      <c r="ESV23" s="3431"/>
      <c r="ESW23" s="3431"/>
      <c r="ESX23" s="3431"/>
      <c r="ESY23" s="3431"/>
      <c r="ESZ23" s="3431"/>
      <c r="ETA23" s="3431"/>
      <c r="ETB23" s="3431"/>
      <c r="ETC23" s="3431"/>
      <c r="ETD23" s="3431"/>
      <c r="ETE23" s="3431"/>
      <c r="ETF23" s="3431"/>
      <c r="ETG23" s="3431"/>
      <c r="ETH23" s="3431"/>
      <c r="ETI23" s="3431"/>
      <c r="ETJ23" s="3431"/>
      <c r="ETK23" s="3431"/>
      <c r="ETL23" s="3431"/>
      <c r="ETM23" s="3431"/>
      <c r="ETN23" s="3431"/>
      <c r="ETO23" s="3431"/>
      <c r="ETP23" s="3431"/>
      <c r="ETQ23" s="3431"/>
      <c r="ETR23" s="3431"/>
      <c r="ETS23" s="3431"/>
      <c r="ETT23" s="3431"/>
      <c r="ETU23" s="3431"/>
      <c r="ETV23" s="3431"/>
      <c r="ETW23" s="3431"/>
      <c r="ETX23" s="3431"/>
      <c r="ETY23" s="3431"/>
      <c r="ETZ23" s="3431"/>
      <c r="EUA23" s="3431"/>
      <c r="EUB23" s="3431"/>
      <c r="EUC23" s="3431"/>
      <c r="EUD23" s="3431"/>
      <c r="EUE23" s="3431"/>
      <c r="EUF23" s="3431"/>
      <c r="EUG23" s="3431"/>
      <c r="EUH23" s="3431"/>
      <c r="EUI23" s="3431"/>
      <c r="EUJ23" s="3431"/>
      <c r="EUK23" s="3431"/>
      <c r="EUL23" s="3431"/>
      <c r="EUM23" s="3431"/>
      <c r="EUN23" s="3431"/>
      <c r="EUO23" s="3431"/>
      <c r="EUP23" s="3431"/>
      <c r="EUQ23" s="3431"/>
      <c r="EUR23" s="3431"/>
      <c r="EUS23" s="3431"/>
      <c r="EUT23" s="3431"/>
      <c r="EUU23" s="3431"/>
      <c r="EUV23" s="3431"/>
      <c r="EUW23" s="3431"/>
      <c r="EUX23" s="3431"/>
      <c r="EUY23" s="3431"/>
      <c r="EUZ23" s="3431"/>
      <c r="EVA23" s="3431"/>
      <c r="EVB23" s="3431"/>
      <c r="EVC23" s="3431"/>
      <c r="EVD23" s="3431"/>
      <c r="EVE23" s="3431"/>
      <c r="EVF23" s="3431"/>
      <c r="EVG23" s="3431"/>
      <c r="EVH23" s="3431"/>
      <c r="EVI23" s="3431"/>
      <c r="EVJ23" s="3431"/>
      <c r="EVK23" s="3431"/>
      <c r="EVL23" s="3431"/>
      <c r="EVM23" s="3431"/>
      <c r="EVN23" s="3431"/>
      <c r="EVO23" s="3431"/>
      <c r="EVP23" s="3431"/>
      <c r="EVQ23" s="3431"/>
      <c r="EVR23" s="3431"/>
      <c r="EVS23" s="3431"/>
      <c r="EVT23" s="3431"/>
      <c r="EVU23" s="3431"/>
      <c r="EVV23" s="3431"/>
      <c r="EVW23" s="3431"/>
      <c r="EVX23" s="3431"/>
      <c r="EVY23" s="3431"/>
      <c r="EVZ23" s="3431"/>
      <c r="EWA23" s="3431"/>
      <c r="EWB23" s="3431"/>
      <c r="EWC23" s="3431"/>
      <c r="EWD23" s="3431"/>
      <c r="EWE23" s="3431"/>
      <c r="EWF23" s="3431"/>
      <c r="EWG23" s="3431"/>
      <c r="EWH23" s="3431"/>
      <c r="EWI23" s="3431"/>
      <c r="EWJ23" s="3431"/>
      <c r="EWK23" s="3431"/>
      <c r="EWL23" s="3431"/>
      <c r="EWM23" s="3431"/>
      <c r="EWN23" s="3431"/>
      <c r="EWO23" s="3431"/>
      <c r="EWP23" s="3431"/>
      <c r="EWQ23" s="3431"/>
      <c r="EWR23" s="3431"/>
      <c r="EWS23" s="3431"/>
      <c r="EWT23" s="3431"/>
      <c r="EWU23" s="3431"/>
      <c r="EWV23" s="3431"/>
      <c r="EWW23" s="3431"/>
      <c r="EWX23" s="3431"/>
      <c r="EWY23" s="3431"/>
      <c r="EWZ23" s="3431"/>
      <c r="EXA23" s="3431"/>
      <c r="EXB23" s="3431"/>
      <c r="EXC23" s="3431"/>
      <c r="EXD23" s="3431"/>
      <c r="EXE23" s="3431"/>
      <c r="EXF23" s="3431"/>
      <c r="EXG23" s="3431"/>
      <c r="EXH23" s="3431"/>
      <c r="EXI23" s="3431"/>
      <c r="EXJ23" s="3431"/>
      <c r="EXK23" s="3431"/>
      <c r="EXL23" s="3431"/>
      <c r="EXM23" s="3431"/>
      <c r="EXN23" s="3431"/>
      <c r="EXO23" s="3431"/>
      <c r="EXP23" s="3431"/>
      <c r="EXQ23" s="3431"/>
      <c r="EXR23" s="3431"/>
      <c r="EXS23" s="3431"/>
      <c r="EXT23" s="3431"/>
      <c r="EXU23" s="3431"/>
      <c r="EXV23" s="3431"/>
      <c r="EXW23" s="3431"/>
      <c r="EXX23" s="3431"/>
      <c r="EXY23" s="3431"/>
      <c r="EXZ23" s="3431"/>
      <c r="EYA23" s="3431"/>
      <c r="EYB23" s="3431"/>
      <c r="EYC23" s="3431"/>
      <c r="EYD23" s="3431"/>
      <c r="EYE23" s="3431"/>
      <c r="EYF23" s="3431"/>
      <c r="EYG23" s="3431"/>
      <c r="EYH23" s="3431"/>
      <c r="EYI23" s="3431"/>
      <c r="EYJ23" s="3431"/>
      <c r="EYK23" s="3431"/>
      <c r="EYL23" s="3431"/>
      <c r="EYM23" s="3431"/>
      <c r="EYN23" s="3431"/>
      <c r="EYO23" s="3431"/>
      <c r="EYP23" s="3431"/>
      <c r="EYQ23" s="3431"/>
      <c r="EYR23" s="3431"/>
      <c r="EYS23" s="3431"/>
      <c r="EYT23" s="3431"/>
      <c r="EYU23" s="3431"/>
      <c r="EYV23" s="3431"/>
      <c r="EYW23" s="3431"/>
      <c r="EYX23" s="3431"/>
      <c r="EYY23" s="3431"/>
      <c r="EYZ23" s="3431"/>
      <c r="EZA23" s="3431"/>
      <c r="EZB23" s="3431"/>
      <c r="EZC23" s="3431"/>
      <c r="EZD23" s="3431"/>
      <c r="EZE23" s="3431"/>
      <c r="EZF23" s="3431"/>
      <c r="EZG23" s="3431"/>
      <c r="EZH23" s="3431"/>
      <c r="EZI23" s="3431"/>
      <c r="EZJ23" s="3431"/>
      <c r="EZK23" s="3431"/>
      <c r="EZL23" s="3431"/>
      <c r="EZM23" s="3431"/>
      <c r="EZN23" s="3431"/>
      <c r="EZO23" s="3431"/>
      <c r="EZP23" s="3431"/>
      <c r="EZQ23" s="3431"/>
      <c r="EZR23" s="3431"/>
      <c r="EZS23" s="3431"/>
      <c r="EZT23" s="3431"/>
      <c r="EZU23" s="3431"/>
      <c r="EZV23" s="3431"/>
      <c r="EZW23" s="3431"/>
      <c r="EZX23" s="3431"/>
      <c r="EZY23" s="3431"/>
      <c r="EZZ23" s="3431"/>
      <c r="FAA23" s="3431"/>
      <c r="FAB23" s="3431"/>
      <c r="FAC23" s="3431"/>
      <c r="FAD23" s="3431"/>
      <c r="FAE23" s="3431"/>
      <c r="FAF23" s="3431"/>
      <c r="FAG23" s="3431"/>
      <c r="FAH23" s="3431"/>
      <c r="FAI23" s="3431"/>
      <c r="FAJ23" s="3431"/>
      <c r="FAK23" s="3431"/>
      <c r="FAL23" s="3431"/>
      <c r="FAM23" s="3431"/>
      <c r="FAN23" s="3431"/>
      <c r="FAO23" s="3431"/>
      <c r="FAP23" s="3431"/>
      <c r="FAQ23" s="3431"/>
      <c r="FAR23" s="3431"/>
      <c r="FAS23" s="3431"/>
      <c r="FAT23" s="3431"/>
      <c r="FAU23" s="3431"/>
      <c r="FAV23" s="3431"/>
      <c r="FAW23" s="3431"/>
      <c r="FAX23" s="3431"/>
      <c r="FAY23" s="3431"/>
      <c r="FAZ23" s="3431"/>
      <c r="FBA23" s="3431"/>
      <c r="FBB23" s="3431"/>
      <c r="FBC23" s="3431"/>
      <c r="FBD23" s="3431"/>
      <c r="FBE23" s="3431"/>
      <c r="FBF23" s="3431"/>
      <c r="FBG23" s="3431"/>
      <c r="FBH23" s="3431"/>
      <c r="FBI23" s="3431"/>
      <c r="FBJ23" s="3431"/>
      <c r="FBK23" s="3431"/>
      <c r="FBL23" s="3431"/>
      <c r="FBM23" s="3431"/>
      <c r="FBN23" s="3431"/>
      <c r="FBO23" s="3431"/>
      <c r="FBP23" s="3431"/>
      <c r="FBQ23" s="3431"/>
      <c r="FBR23" s="3431"/>
      <c r="FBS23" s="3431"/>
      <c r="FBT23" s="3431"/>
      <c r="FBU23" s="3431"/>
      <c r="FBV23" s="3431"/>
      <c r="FBW23" s="3431"/>
      <c r="FBX23" s="3431"/>
      <c r="FBY23" s="3431"/>
      <c r="FBZ23" s="3431"/>
      <c r="FCA23" s="3431"/>
      <c r="FCB23" s="3431"/>
      <c r="FCC23" s="3431"/>
      <c r="FCD23" s="3431"/>
      <c r="FCE23" s="3431"/>
      <c r="FCF23" s="3431"/>
      <c r="FCG23" s="3431"/>
      <c r="FCH23" s="3431"/>
      <c r="FCI23" s="3431"/>
      <c r="FCJ23" s="3431"/>
      <c r="FCK23" s="3431"/>
      <c r="FCL23" s="3431"/>
      <c r="FCM23" s="3431"/>
      <c r="FCN23" s="3431"/>
      <c r="FCO23" s="3431"/>
      <c r="FCP23" s="3431"/>
      <c r="FCQ23" s="3431"/>
      <c r="FCR23" s="3431"/>
      <c r="FCS23" s="3431"/>
      <c r="FCT23" s="3431"/>
      <c r="FCU23" s="3431"/>
      <c r="FCV23" s="3431"/>
      <c r="FCW23" s="3431"/>
      <c r="FCX23" s="3431"/>
      <c r="FCY23" s="3431"/>
      <c r="FCZ23" s="3431"/>
      <c r="FDA23" s="3431"/>
      <c r="FDB23" s="3431"/>
      <c r="FDC23" s="3431"/>
      <c r="FDD23" s="3431"/>
      <c r="FDE23" s="3431"/>
      <c r="FDF23" s="3431"/>
      <c r="FDG23" s="3431"/>
      <c r="FDH23" s="3431"/>
      <c r="FDI23" s="3431"/>
      <c r="FDJ23" s="3431"/>
      <c r="FDK23" s="3431"/>
      <c r="FDL23" s="3431"/>
      <c r="FDM23" s="3431"/>
      <c r="FDN23" s="3431"/>
      <c r="FDO23" s="3431"/>
      <c r="FDP23" s="3431"/>
      <c r="FDQ23" s="3431"/>
      <c r="FDR23" s="3431"/>
      <c r="FDS23" s="3431"/>
      <c r="FDT23" s="3431"/>
      <c r="FDU23" s="3431"/>
      <c r="FDV23" s="3431"/>
      <c r="FDW23" s="3431"/>
      <c r="FDX23" s="3431"/>
      <c r="FDY23" s="3431"/>
      <c r="FDZ23" s="3431"/>
      <c r="FEA23" s="3431"/>
      <c r="FEB23" s="3431"/>
      <c r="FEC23" s="3431"/>
      <c r="FED23" s="3431"/>
      <c r="FEE23" s="3431"/>
      <c r="FEF23" s="3431"/>
      <c r="FEG23" s="3431"/>
      <c r="FEH23" s="3431"/>
      <c r="FEI23" s="3431"/>
      <c r="FEJ23" s="3431"/>
      <c r="FEK23" s="3431"/>
      <c r="FEL23" s="3431"/>
      <c r="FEM23" s="3431"/>
      <c r="FEN23" s="3431"/>
      <c r="FEO23" s="3431"/>
      <c r="FEP23" s="3431"/>
      <c r="FEQ23" s="3431"/>
      <c r="FER23" s="3431"/>
      <c r="FES23" s="3431"/>
      <c r="FET23" s="3431"/>
      <c r="FEU23" s="3431"/>
      <c r="FEV23" s="3431"/>
      <c r="FEW23" s="3431"/>
      <c r="FEX23" s="3431"/>
      <c r="FEY23" s="3431"/>
      <c r="FEZ23" s="3431"/>
      <c r="FFA23" s="3431"/>
      <c r="FFB23" s="3431"/>
      <c r="FFC23" s="3431"/>
      <c r="FFD23" s="3431"/>
      <c r="FFE23" s="3431"/>
      <c r="FFF23" s="3431"/>
      <c r="FFG23" s="3431"/>
      <c r="FFH23" s="3431"/>
      <c r="FFI23" s="3431"/>
      <c r="FFJ23" s="3431"/>
      <c r="FFK23" s="3431"/>
      <c r="FFL23" s="3431"/>
      <c r="FFM23" s="3431"/>
      <c r="FFN23" s="3431"/>
      <c r="FFO23" s="3431"/>
      <c r="FFP23" s="3431"/>
      <c r="FFQ23" s="3431"/>
      <c r="FFR23" s="3431"/>
      <c r="FFS23" s="3431"/>
      <c r="FFT23" s="3431"/>
      <c r="FFU23" s="3431"/>
      <c r="FFV23" s="3431"/>
      <c r="FFW23" s="3431"/>
      <c r="FFX23" s="3431"/>
      <c r="FFY23" s="3431"/>
      <c r="FFZ23" s="3431"/>
      <c r="FGA23" s="3431"/>
      <c r="FGB23" s="3431"/>
      <c r="FGC23" s="3431"/>
      <c r="FGD23" s="3431"/>
      <c r="FGE23" s="3431"/>
      <c r="FGF23" s="3431"/>
      <c r="FGG23" s="3431"/>
      <c r="FGH23" s="3431"/>
      <c r="FGI23" s="3431"/>
      <c r="FGJ23" s="3431"/>
      <c r="FGK23" s="3431"/>
      <c r="FGL23" s="3431"/>
      <c r="FGM23" s="3431"/>
      <c r="FGN23" s="3431"/>
      <c r="FGO23" s="3431"/>
      <c r="FGP23" s="3431"/>
      <c r="FGQ23" s="3431"/>
      <c r="FGR23" s="3431"/>
      <c r="FGS23" s="3431"/>
      <c r="FGT23" s="3431"/>
      <c r="FGU23" s="3431"/>
      <c r="FGV23" s="3431"/>
      <c r="FGW23" s="3431"/>
      <c r="FGX23" s="3431"/>
      <c r="FGY23" s="3431"/>
      <c r="FGZ23" s="3431"/>
      <c r="FHA23" s="3431"/>
      <c r="FHB23" s="3431"/>
      <c r="FHC23" s="3431"/>
      <c r="FHD23" s="3431"/>
      <c r="FHE23" s="3431"/>
      <c r="FHF23" s="3431"/>
      <c r="FHG23" s="3431"/>
      <c r="FHH23" s="3431"/>
      <c r="FHI23" s="3431"/>
      <c r="FHJ23" s="3431"/>
      <c r="FHK23" s="3431"/>
      <c r="FHL23" s="3431"/>
      <c r="FHM23" s="3431"/>
      <c r="FHN23" s="3431"/>
      <c r="FHO23" s="3431"/>
      <c r="FHP23" s="3431"/>
      <c r="FHQ23" s="3431"/>
      <c r="FHR23" s="3431"/>
      <c r="FHS23" s="3431"/>
      <c r="FHT23" s="3431"/>
      <c r="FHU23" s="3431"/>
      <c r="FHV23" s="3431"/>
      <c r="FHW23" s="3431"/>
      <c r="FHX23" s="3431"/>
      <c r="FHY23" s="3431"/>
      <c r="FHZ23" s="3431"/>
      <c r="FIA23" s="3431"/>
      <c r="FIB23" s="3431"/>
      <c r="FIC23" s="3431"/>
      <c r="FID23" s="3431"/>
      <c r="FIE23" s="3431"/>
      <c r="FIF23" s="3431"/>
      <c r="FIG23" s="3431"/>
      <c r="FIH23" s="3431"/>
      <c r="FII23" s="3431"/>
      <c r="FIJ23" s="3431"/>
      <c r="FIK23" s="3431"/>
      <c r="FIL23" s="3431"/>
      <c r="FIM23" s="3431"/>
      <c r="FIN23" s="3431"/>
      <c r="FIO23" s="3431"/>
      <c r="FIP23" s="3431"/>
      <c r="FIQ23" s="3431"/>
      <c r="FIR23" s="3431"/>
      <c r="FIS23" s="3431"/>
      <c r="FIT23" s="3431"/>
      <c r="FIU23" s="3431"/>
      <c r="FIV23" s="3431"/>
      <c r="FIW23" s="3431"/>
      <c r="FIX23" s="3431"/>
      <c r="FIY23" s="3431"/>
      <c r="FIZ23" s="3431"/>
      <c r="FJA23" s="3431"/>
      <c r="FJB23" s="3431"/>
      <c r="FJC23" s="3431"/>
      <c r="FJD23" s="3431"/>
      <c r="FJE23" s="3431"/>
      <c r="FJF23" s="3431"/>
      <c r="FJG23" s="3431"/>
      <c r="FJH23" s="3431"/>
      <c r="FJI23" s="3431"/>
      <c r="FJJ23" s="3431"/>
      <c r="FJK23" s="3431"/>
      <c r="FJL23" s="3431"/>
      <c r="FJM23" s="3431"/>
      <c r="FJN23" s="3431"/>
      <c r="FJO23" s="3431"/>
      <c r="FJP23" s="3431"/>
      <c r="FJQ23" s="3431"/>
      <c r="FJR23" s="3431"/>
      <c r="FJS23" s="3431"/>
      <c r="FJT23" s="3431"/>
      <c r="FJU23" s="3431"/>
      <c r="FJV23" s="3431"/>
      <c r="FJW23" s="3431"/>
      <c r="FJX23" s="3431"/>
      <c r="FJY23" s="3431"/>
      <c r="FJZ23" s="3431"/>
      <c r="FKA23" s="3431"/>
      <c r="FKB23" s="3431"/>
      <c r="FKC23" s="3431"/>
      <c r="FKD23" s="3431"/>
      <c r="FKE23" s="3431"/>
      <c r="FKF23" s="3431"/>
      <c r="FKG23" s="3431"/>
      <c r="FKH23" s="3431"/>
      <c r="FKI23" s="3431"/>
      <c r="FKJ23" s="3431"/>
      <c r="FKK23" s="3431"/>
      <c r="FKL23" s="3431"/>
      <c r="FKM23" s="3431"/>
      <c r="FKN23" s="3431"/>
      <c r="FKO23" s="3431"/>
      <c r="FKP23" s="3431"/>
      <c r="FKQ23" s="3431"/>
      <c r="FKR23" s="3431"/>
      <c r="FKS23" s="3431"/>
      <c r="FKT23" s="3431"/>
      <c r="FKU23" s="3431"/>
      <c r="FKV23" s="3431"/>
      <c r="FKW23" s="3431"/>
      <c r="FKX23" s="3431"/>
      <c r="FKY23" s="3431"/>
      <c r="FKZ23" s="3431"/>
      <c r="FLA23" s="3431"/>
      <c r="FLB23" s="3431"/>
      <c r="FLC23" s="3431"/>
      <c r="FLD23" s="3431"/>
      <c r="FLE23" s="3431"/>
      <c r="FLF23" s="3431"/>
      <c r="FLG23" s="3431"/>
      <c r="FLH23" s="3431"/>
      <c r="FLI23" s="3431"/>
      <c r="FLJ23" s="3431"/>
      <c r="FLK23" s="3431"/>
      <c r="FLL23" s="3431"/>
      <c r="FLM23" s="3431"/>
      <c r="FLN23" s="3431"/>
      <c r="FLO23" s="3431"/>
      <c r="FLP23" s="3431"/>
      <c r="FLQ23" s="3431"/>
      <c r="FLR23" s="3431"/>
      <c r="FLS23" s="3431"/>
      <c r="FLT23" s="3431"/>
      <c r="FLU23" s="3431"/>
      <c r="FLV23" s="3431"/>
      <c r="FLW23" s="3431"/>
      <c r="FLX23" s="3431"/>
      <c r="FLY23" s="3431"/>
      <c r="FLZ23" s="3431"/>
      <c r="FMA23" s="3431"/>
      <c r="FMB23" s="3431"/>
      <c r="FMC23" s="3431"/>
      <c r="FMD23" s="3431"/>
      <c r="FME23" s="3431"/>
      <c r="FMF23" s="3431"/>
      <c r="FMG23" s="3431"/>
      <c r="FMH23" s="3431"/>
      <c r="FMI23" s="3431"/>
      <c r="FMJ23" s="3431"/>
      <c r="FMK23" s="3431"/>
      <c r="FML23" s="3431"/>
      <c r="FMM23" s="3431"/>
      <c r="FMN23" s="3431"/>
      <c r="FMO23" s="3431"/>
      <c r="FMP23" s="3431"/>
      <c r="FMQ23" s="3431"/>
      <c r="FMR23" s="3431"/>
      <c r="FMS23" s="3431"/>
      <c r="FMT23" s="3431"/>
      <c r="FMU23" s="3431"/>
      <c r="FMV23" s="3431"/>
      <c r="FMW23" s="3431"/>
      <c r="FMX23" s="3431"/>
      <c r="FMY23" s="3431"/>
      <c r="FMZ23" s="3431"/>
      <c r="FNA23" s="3431"/>
      <c r="FNB23" s="3431"/>
      <c r="FNC23" s="3431"/>
      <c r="FND23" s="3431"/>
      <c r="FNE23" s="3431"/>
      <c r="FNF23" s="3431"/>
      <c r="FNG23" s="3431"/>
      <c r="FNH23" s="3431"/>
      <c r="FNI23" s="3431"/>
      <c r="FNJ23" s="3431"/>
      <c r="FNK23" s="3431"/>
      <c r="FNL23" s="3431"/>
      <c r="FNM23" s="3431"/>
      <c r="FNN23" s="3431"/>
      <c r="FNO23" s="3431"/>
      <c r="FNP23" s="3431"/>
      <c r="FNQ23" s="3431"/>
      <c r="FNR23" s="3431"/>
      <c r="FNS23" s="3431"/>
      <c r="FNT23" s="3431"/>
      <c r="FNU23" s="3431"/>
      <c r="FNV23" s="3431"/>
      <c r="FNW23" s="3431"/>
      <c r="FNX23" s="3431"/>
      <c r="FNY23" s="3431"/>
      <c r="FNZ23" s="3431"/>
      <c r="FOA23" s="3431"/>
      <c r="FOB23" s="3431"/>
      <c r="FOC23" s="3431"/>
      <c r="FOD23" s="3431"/>
      <c r="FOE23" s="3431"/>
      <c r="FOF23" s="3431"/>
      <c r="FOG23" s="3431"/>
      <c r="FOH23" s="3431"/>
      <c r="FOI23" s="3431"/>
      <c r="FOJ23" s="3431"/>
      <c r="FOK23" s="3431"/>
      <c r="FOL23" s="3431"/>
      <c r="FOM23" s="3431"/>
      <c r="FON23" s="3431"/>
      <c r="FOO23" s="3431"/>
      <c r="FOP23" s="3431"/>
      <c r="FOQ23" s="3431"/>
      <c r="FOR23" s="3431"/>
      <c r="FOS23" s="3431"/>
      <c r="FOT23" s="3431"/>
      <c r="FOU23" s="3431"/>
      <c r="FOV23" s="3431"/>
      <c r="FOW23" s="3431"/>
      <c r="FOX23" s="3431"/>
      <c r="FOY23" s="3431"/>
      <c r="FOZ23" s="3431"/>
      <c r="FPA23" s="3431"/>
      <c r="FPB23" s="3431"/>
      <c r="FPC23" s="3431"/>
      <c r="FPD23" s="3431"/>
      <c r="FPE23" s="3431"/>
      <c r="FPF23" s="3431"/>
      <c r="FPG23" s="3431"/>
      <c r="FPH23" s="3431"/>
      <c r="FPI23" s="3431"/>
      <c r="FPJ23" s="3431"/>
      <c r="FPK23" s="3431"/>
      <c r="FPL23" s="3431"/>
      <c r="FPM23" s="3431"/>
      <c r="FPN23" s="3431"/>
      <c r="FPO23" s="3431"/>
      <c r="FPP23" s="3431"/>
      <c r="FPQ23" s="3431"/>
      <c r="FPR23" s="3431"/>
      <c r="FPS23" s="3431"/>
      <c r="FPT23" s="3431"/>
      <c r="FPU23" s="3431"/>
      <c r="FPV23" s="3431"/>
      <c r="FPW23" s="3431"/>
      <c r="FPX23" s="3431"/>
      <c r="FPY23" s="3431"/>
      <c r="FPZ23" s="3431"/>
      <c r="FQA23" s="3431"/>
      <c r="FQB23" s="3431"/>
      <c r="FQC23" s="3431"/>
      <c r="FQD23" s="3431"/>
      <c r="FQE23" s="3431"/>
      <c r="FQF23" s="3431"/>
      <c r="FQG23" s="3431"/>
      <c r="FQH23" s="3431"/>
      <c r="FQI23" s="3431"/>
      <c r="FQJ23" s="3431"/>
      <c r="FQK23" s="3431"/>
      <c r="FQL23" s="3431"/>
      <c r="FQM23" s="3431"/>
      <c r="FQN23" s="3431"/>
      <c r="FQO23" s="3431"/>
      <c r="FQP23" s="3431"/>
      <c r="FQQ23" s="3431"/>
      <c r="FQR23" s="3431"/>
      <c r="FQS23" s="3431"/>
      <c r="FQT23" s="3431"/>
      <c r="FQU23" s="3431"/>
      <c r="FQV23" s="3431"/>
      <c r="FQW23" s="3431"/>
      <c r="FQX23" s="3431"/>
      <c r="FQY23" s="3431"/>
      <c r="FQZ23" s="3431"/>
      <c r="FRA23" s="3431"/>
      <c r="FRB23" s="3431"/>
      <c r="FRC23" s="3431"/>
      <c r="FRD23" s="3431"/>
      <c r="FRE23" s="3431"/>
      <c r="FRF23" s="3431"/>
      <c r="FRG23" s="3431"/>
      <c r="FRH23" s="3431"/>
      <c r="FRI23" s="3431"/>
      <c r="FRJ23" s="3431"/>
      <c r="FRK23" s="3431"/>
      <c r="FRL23" s="3431"/>
      <c r="FRM23" s="3431"/>
      <c r="FRN23" s="3431"/>
      <c r="FRO23" s="3431"/>
      <c r="FRP23" s="3431"/>
      <c r="FRQ23" s="3431"/>
      <c r="FRR23" s="3431"/>
      <c r="FRS23" s="3431"/>
      <c r="FRT23" s="3431"/>
      <c r="FRU23" s="3431"/>
      <c r="FRV23" s="3431"/>
      <c r="FRW23" s="3431"/>
      <c r="FRX23" s="3431"/>
      <c r="FRY23" s="3431"/>
      <c r="FRZ23" s="3431"/>
      <c r="FSA23" s="3431"/>
      <c r="FSB23" s="3431"/>
      <c r="FSC23" s="3431"/>
      <c r="FSD23" s="3431"/>
      <c r="FSE23" s="3431"/>
      <c r="FSF23" s="3431"/>
      <c r="FSG23" s="3431"/>
      <c r="FSH23" s="3431"/>
      <c r="FSI23" s="3431"/>
      <c r="FSJ23" s="3431"/>
      <c r="FSK23" s="3431"/>
      <c r="FSL23" s="3431"/>
      <c r="FSM23" s="3431"/>
      <c r="FSN23" s="3431"/>
      <c r="FSO23" s="3431"/>
      <c r="FSP23" s="3431"/>
      <c r="FSQ23" s="3431"/>
      <c r="FSR23" s="3431"/>
      <c r="FSS23" s="3431"/>
      <c r="FST23" s="3431"/>
      <c r="FSU23" s="3431"/>
      <c r="FSV23" s="3431"/>
      <c r="FSW23" s="3431"/>
      <c r="FSX23" s="3431"/>
      <c r="FSY23" s="3431"/>
      <c r="FSZ23" s="3431"/>
      <c r="FTA23" s="3431"/>
      <c r="FTB23" s="3431"/>
      <c r="FTC23" s="3431"/>
      <c r="FTD23" s="3431"/>
      <c r="FTE23" s="3431"/>
      <c r="FTF23" s="3431"/>
      <c r="FTG23" s="3431"/>
      <c r="FTH23" s="3431"/>
      <c r="FTI23" s="3431"/>
      <c r="FTJ23" s="3431"/>
      <c r="FTK23" s="3431"/>
      <c r="FTL23" s="3431"/>
      <c r="FTM23" s="3431"/>
      <c r="FTN23" s="3431"/>
      <c r="FTO23" s="3431"/>
      <c r="FTP23" s="3431"/>
      <c r="FTQ23" s="3431"/>
      <c r="FTR23" s="3431"/>
      <c r="FTS23" s="3431"/>
      <c r="FTT23" s="3431"/>
      <c r="FTU23" s="3431"/>
      <c r="FTV23" s="3431"/>
      <c r="FTW23" s="3431"/>
      <c r="FTX23" s="3431"/>
      <c r="FTY23" s="3431"/>
      <c r="FTZ23" s="3431"/>
      <c r="FUA23" s="3431"/>
      <c r="FUB23" s="3431"/>
      <c r="FUC23" s="3431"/>
      <c r="FUD23" s="3431"/>
      <c r="FUE23" s="3431"/>
      <c r="FUF23" s="3431"/>
      <c r="FUG23" s="3431"/>
      <c r="FUH23" s="3431"/>
      <c r="FUI23" s="3431"/>
      <c r="FUJ23" s="3431"/>
      <c r="FUK23" s="3431"/>
      <c r="FUL23" s="3431"/>
      <c r="FUM23" s="3431"/>
      <c r="FUN23" s="3431"/>
      <c r="FUO23" s="3431"/>
      <c r="FUP23" s="3431"/>
      <c r="FUQ23" s="3431"/>
      <c r="FUR23" s="3431"/>
      <c r="FUS23" s="3431"/>
      <c r="FUT23" s="3431"/>
      <c r="FUU23" s="3431"/>
      <c r="FUV23" s="3431"/>
      <c r="FUW23" s="3431"/>
      <c r="FUX23" s="3431"/>
      <c r="FUY23" s="3431"/>
      <c r="FUZ23" s="3431"/>
      <c r="FVA23" s="3431"/>
      <c r="FVB23" s="3431"/>
      <c r="FVC23" s="3431"/>
      <c r="FVD23" s="3431"/>
      <c r="FVE23" s="3431"/>
      <c r="FVF23" s="3431"/>
      <c r="FVG23" s="3431"/>
      <c r="FVH23" s="3431"/>
      <c r="FVI23" s="3431"/>
      <c r="FVJ23" s="3431"/>
      <c r="FVK23" s="3431"/>
      <c r="FVL23" s="3431"/>
      <c r="FVM23" s="3431"/>
      <c r="FVN23" s="3431"/>
      <c r="FVO23" s="3431"/>
      <c r="FVP23" s="3431"/>
      <c r="FVQ23" s="3431"/>
      <c r="FVR23" s="3431"/>
      <c r="FVS23" s="3431"/>
      <c r="FVT23" s="3431"/>
      <c r="FVU23" s="3431"/>
      <c r="FVV23" s="3431"/>
      <c r="FVW23" s="3431"/>
      <c r="FVX23" s="3431"/>
      <c r="FVY23" s="3431"/>
      <c r="FVZ23" s="3431"/>
      <c r="FWA23" s="3431"/>
      <c r="FWB23" s="3431"/>
      <c r="FWC23" s="3431"/>
      <c r="FWD23" s="3431"/>
      <c r="FWE23" s="3431"/>
      <c r="FWF23" s="3431"/>
      <c r="FWG23" s="3431"/>
      <c r="FWH23" s="3431"/>
      <c r="FWI23" s="3431"/>
      <c r="FWJ23" s="3431"/>
      <c r="FWK23" s="3431"/>
      <c r="FWL23" s="3431"/>
      <c r="FWM23" s="3431"/>
      <c r="FWN23" s="3431"/>
      <c r="FWO23" s="3431"/>
      <c r="FWP23" s="3431"/>
      <c r="FWQ23" s="3431"/>
      <c r="FWR23" s="3431"/>
      <c r="FWS23" s="3431"/>
      <c r="FWT23" s="3431"/>
      <c r="FWU23" s="3431"/>
      <c r="FWV23" s="3431"/>
      <c r="FWW23" s="3431"/>
      <c r="FWX23" s="3431"/>
      <c r="FWY23" s="3431"/>
      <c r="FWZ23" s="3431"/>
      <c r="FXA23" s="3431"/>
      <c r="FXB23" s="3431"/>
      <c r="FXC23" s="3431"/>
      <c r="FXD23" s="3431"/>
      <c r="FXE23" s="3431"/>
      <c r="FXF23" s="3431"/>
      <c r="FXG23" s="3431"/>
      <c r="FXH23" s="3431"/>
      <c r="FXI23" s="3431"/>
      <c r="FXJ23" s="3431"/>
      <c r="FXK23" s="3431"/>
      <c r="FXL23" s="3431"/>
      <c r="FXM23" s="3431"/>
      <c r="FXN23" s="3431"/>
      <c r="FXO23" s="3431"/>
      <c r="FXP23" s="3431"/>
      <c r="FXQ23" s="3431"/>
      <c r="FXR23" s="3431"/>
      <c r="FXS23" s="3431"/>
      <c r="FXT23" s="3431"/>
      <c r="FXU23" s="3431"/>
      <c r="FXV23" s="3431"/>
      <c r="FXW23" s="3431"/>
      <c r="FXX23" s="3431"/>
      <c r="FXY23" s="3431"/>
      <c r="FXZ23" s="3431"/>
      <c r="FYA23" s="3431"/>
      <c r="FYB23" s="3431"/>
      <c r="FYC23" s="3431"/>
      <c r="FYD23" s="3431"/>
      <c r="FYE23" s="3431"/>
      <c r="FYF23" s="3431"/>
      <c r="FYG23" s="3431"/>
      <c r="FYH23" s="3431"/>
      <c r="FYI23" s="3431"/>
      <c r="FYJ23" s="3431"/>
      <c r="FYK23" s="3431"/>
      <c r="FYL23" s="3431"/>
      <c r="FYM23" s="3431"/>
      <c r="FYN23" s="3431"/>
      <c r="FYO23" s="3431"/>
      <c r="FYP23" s="3431"/>
      <c r="FYQ23" s="3431"/>
      <c r="FYR23" s="3431"/>
      <c r="FYS23" s="3431"/>
      <c r="FYT23" s="3431"/>
      <c r="FYU23" s="3431"/>
      <c r="FYV23" s="3431"/>
      <c r="FYW23" s="3431"/>
      <c r="FYX23" s="3431"/>
      <c r="FYY23" s="3431"/>
      <c r="FYZ23" s="3431"/>
      <c r="FZA23" s="3431"/>
      <c r="FZB23" s="3431"/>
      <c r="FZC23" s="3431"/>
      <c r="FZD23" s="3431"/>
      <c r="FZE23" s="3431"/>
      <c r="FZF23" s="3431"/>
      <c r="FZG23" s="3431"/>
      <c r="FZH23" s="3431"/>
      <c r="FZI23" s="3431"/>
      <c r="FZJ23" s="3431"/>
      <c r="FZK23" s="3431"/>
      <c r="FZL23" s="3431"/>
      <c r="FZM23" s="3431"/>
      <c r="FZN23" s="3431"/>
      <c r="FZO23" s="3431"/>
      <c r="FZP23" s="3431"/>
      <c r="FZQ23" s="3431"/>
      <c r="FZR23" s="3431"/>
      <c r="FZS23" s="3431"/>
      <c r="FZT23" s="3431"/>
      <c r="FZU23" s="3431"/>
      <c r="FZV23" s="3431"/>
      <c r="FZW23" s="3431"/>
      <c r="FZX23" s="3431"/>
      <c r="FZY23" s="3431"/>
      <c r="FZZ23" s="3431"/>
      <c r="GAA23" s="3431"/>
      <c r="GAB23" s="3431"/>
      <c r="GAC23" s="3431"/>
      <c r="GAD23" s="3431"/>
      <c r="GAE23" s="3431"/>
      <c r="GAF23" s="3431"/>
      <c r="GAG23" s="3431"/>
      <c r="GAH23" s="3431"/>
      <c r="GAI23" s="3431"/>
      <c r="GAJ23" s="3431"/>
      <c r="GAK23" s="3431"/>
      <c r="GAL23" s="3431"/>
      <c r="GAM23" s="3431"/>
      <c r="GAN23" s="3431"/>
      <c r="GAO23" s="3431"/>
      <c r="GAP23" s="3431"/>
      <c r="GAQ23" s="3431"/>
      <c r="GAR23" s="3431"/>
      <c r="GAS23" s="3431"/>
      <c r="GAT23" s="3431"/>
      <c r="GAU23" s="3431"/>
      <c r="GAV23" s="3431"/>
      <c r="GAW23" s="3431"/>
      <c r="GAX23" s="3431"/>
      <c r="GAY23" s="3431"/>
      <c r="GAZ23" s="3431"/>
      <c r="GBA23" s="3431"/>
      <c r="GBB23" s="3431"/>
      <c r="GBC23" s="3431"/>
      <c r="GBD23" s="3431"/>
      <c r="GBE23" s="3431"/>
      <c r="GBF23" s="3431"/>
      <c r="GBG23" s="3431"/>
      <c r="GBH23" s="3431"/>
      <c r="GBI23" s="3431"/>
      <c r="GBJ23" s="3431"/>
      <c r="GBK23" s="3431"/>
      <c r="GBL23" s="3431"/>
      <c r="GBM23" s="3431"/>
      <c r="GBN23" s="3431"/>
      <c r="GBO23" s="3431"/>
      <c r="GBP23" s="3431"/>
      <c r="GBQ23" s="3431"/>
      <c r="GBR23" s="3431"/>
      <c r="GBS23" s="3431"/>
      <c r="GBT23" s="3431"/>
      <c r="GBU23" s="3431"/>
      <c r="GBV23" s="3431"/>
      <c r="GBW23" s="3431"/>
      <c r="GBX23" s="3431"/>
      <c r="GBY23" s="3431"/>
      <c r="GBZ23" s="3431"/>
      <c r="GCA23" s="3431"/>
      <c r="GCB23" s="3431"/>
      <c r="GCC23" s="3431"/>
      <c r="GCD23" s="3431"/>
      <c r="GCE23" s="3431"/>
      <c r="GCF23" s="3431"/>
      <c r="GCG23" s="3431"/>
      <c r="GCH23" s="3431"/>
      <c r="GCI23" s="3431"/>
      <c r="GCJ23" s="3431"/>
      <c r="GCK23" s="3431"/>
      <c r="GCL23" s="3431"/>
      <c r="GCM23" s="3431"/>
      <c r="GCN23" s="3431"/>
      <c r="GCO23" s="3431"/>
      <c r="GCP23" s="3431"/>
      <c r="GCQ23" s="3431"/>
      <c r="GCR23" s="3431"/>
      <c r="GCS23" s="3431"/>
      <c r="GCT23" s="3431"/>
      <c r="GCU23" s="3431"/>
      <c r="GCV23" s="3431"/>
      <c r="GCW23" s="3431"/>
      <c r="GCX23" s="3431"/>
      <c r="GCY23" s="3431"/>
      <c r="GCZ23" s="3431"/>
      <c r="GDA23" s="3431"/>
      <c r="GDB23" s="3431"/>
      <c r="GDC23" s="3431"/>
      <c r="GDD23" s="3431"/>
      <c r="GDE23" s="3431"/>
      <c r="GDF23" s="3431"/>
      <c r="GDG23" s="3431"/>
      <c r="GDH23" s="3431"/>
      <c r="GDI23" s="3431"/>
      <c r="GDJ23" s="3431"/>
      <c r="GDK23" s="3431"/>
      <c r="GDL23" s="3431"/>
      <c r="GDM23" s="3431"/>
      <c r="GDN23" s="3431"/>
      <c r="GDO23" s="3431"/>
      <c r="GDP23" s="3431"/>
      <c r="GDQ23" s="3431"/>
      <c r="GDR23" s="3431"/>
      <c r="GDS23" s="3431"/>
      <c r="GDT23" s="3431"/>
      <c r="GDU23" s="3431"/>
      <c r="GDV23" s="3431"/>
      <c r="GDW23" s="3431"/>
      <c r="GDX23" s="3431"/>
      <c r="GDY23" s="3431"/>
      <c r="GDZ23" s="3431"/>
      <c r="GEA23" s="3431"/>
      <c r="GEB23" s="3431"/>
      <c r="GEC23" s="3431"/>
      <c r="GED23" s="3431"/>
      <c r="GEE23" s="3431"/>
      <c r="GEF23" s="3431"/>
      <c r="GEG23" s="3431"/>
      <c r="GEH23" s="3431"/>
      <c r="GEI23" s="3431"/>
      <c r="GEJ23" s="3431"/>
      <c r="GEK23" s="3431"/>
      <c r="GEL23" s="3431"/>
      <c r="GEM23" s="3431"/>
      <c r="GEN23" s="3431"/>
      <c r="GEO23" s="3431"/>
      <c r="GEP23" s="3431"/>
      <c r="GEQ23" s="3431"/>
      <c r="GER23" s="3431"/>
      <c r="GES23" s="3431"/>
      <c r="GET23" s="3431"/>
      <c r="GEU23" s="3431"/>
      <c r="GEV23" s="3431"/>
      <c r="GEW23" s="3431"/>
      <c r="GEX23" s="3431"/>
      <c r="GEY23" s="3431"/>
      <c r="GEZ23" s="3431"/>
      <c r="GFA23" s="3431"/>
      <c r="GFB23" s="3431"/>
      <c r="GFC23" s="3431"/>
      <c r="GFD23" s="3431"/>
      <c r="GFE23" s="3431"/>
      <c r="GFF23" s="3431"/>
      <c r="GFG23" s="3431"/>
      <c r="GFH23" s="3431"/>
      <c r="GFI23" s="3431"/>
      <c r="GFJ23" s="3431"/>
      <c r="GFK23" s="3431"/>
      <c r="GFL23" s="3431"/>
      <c r="GFM23" s="3431"/>
      <c r="GFN23" s="3431"/>
      <c r="GFO23" s="3431"/>
      <c r="GFP23" s="3431"/>
      <c r="GFQ23" s="3431"/>
      <c r="GFR23" s="3431"/>
      <c r="GFS23" s="3431"/>
      <c r="GFT23" s="3431"/>
      <c r="GFU23" s="3431"/>
      <c r="GFV23" s="3431"/>
      <c r="GFW23" s="3431"/>
      <c r="GFX23" s="3431"/>
      <c r="GFY23" s="3431"/>
      <c r="GFZ23" s="3431"/>
      <c r="GGA23" s="3431"/>
      <c r="GGB23" s="3431"/>
      <c r="GGC23" s="3431"/>
      <c r="GGD23" s="3431"/>
      <c r="GGE23" s="3431"/>
      <c r="GGF23" s="3431"/>
      <c r="GGG23" s="3431"/>
      <c r="GGH23" s="3431"/>
      <c r="GGI23" s="3431"/>
      <c r="GGJ23" s="3431"/>
      <c r="GGK23" s="3431"/>
      <c r="GGL23" s="3431"/>
      <c r="GGM23" s="3431"/>
      <c r="GGN23" s="3431"/>
      <c r="GGO23" s="3431"/>
      <c r="GGP23" s="3431"/>
      <c r="GGQ23" s="3431"/>
      <c r="GGR23" s="3431"/>
      <c r="GGS23" s="3431"/>
      <c r="GGT23" s="3431"/>
      <c r="GGU23" s="3431"/>
      <c r="GGV23" s="3431"/>
      <c r="GGW23" s="3431"/>
      <c r="GGX23" s="3431"/>
      <c r="GGY23" s="3431"/>
      <c r="GGZ23" s="3431"/>
      <c r="GHA23" s="3431"/>
      <c r="GHB23" s="3431"/>
      <c r="GHC23" s="3431"/>
      <c r="GHD23" s="3431"/>
      <c r="GHE23" s="3431"/>
      <c r="GHF23" s="3431"/>
      <c r="GHG23" s="3431"/>
      <c r="GHH23" s="3431"/>
      <c r="GHI23" s="3431"/>
      <c r="GHJ23" s="3431"/>
      <c r="GHK23" s="3431"/>
      <c r="GHL23" s="3431"/>
      <c r="GHM23" s="3431"/>
      <c r="GHN23" s="3431"/>
      <c r="GHO23" s="3431"/>
      <c r="GHP23" s="3431"/>
      <c r="GHQ23" s="3431"/>
      <c r="GHR23" s="3431"/>
      <c r="GHS23" s="3431"/>
      <c r="GHT23" s="3431"/>
      <c r="GHU23" s="3431"/>
      <c r="GHV23" s="3431"/>
      <c r="GHW23" s="3431"/>
      <c r="GHX23" s="3431"/>
      <c r="GHY23" s="3431"/>
      <c r="GHZ23" s="3431"/>
      <c r="GIA23" s="3431"/>
      <c r="GIB23" s="3431"/>
      <c r="GIC23" s="3431"/>
      <c r="GID23" s="3431"/>
      <c r="GIE23" s="3431"/>
      <c r="GIF23" s="3431"/>
      <c r="GIG23" s="3431"/>
      <c r="GIH23" s="3431"/>
      <c r="GII23" s="3431"/>
      <c r="GIJ23" s="3431"/>
      <c r="GIK23" s="3431"/>
      <c r="GIL23" s="3431"/>
      <c r="GIM23" s="3431"/>
      <c r="GIN23" s="3431"/>
      <c r="GIO23" s="3431"/>
      <c r="GIP23" s="3431"/>
      <c r="GIQ23" s="3431"/>
      <c r="GIR23" s="3431"/>
      <c r="GIS23" s="3431"/>
      <c r="GIT23" s="3431"/>
      <c r="GIU23" s="3431"/>
      <c r="GIV23" s="3431"/>
      <c r="GIW23" s="3431"/>
      <c r="GIX23" s="3431"/>
      <c r="GIY23" s="3431"/>
      <c r="GIZ23" s="3431"/>
      <c r="GJA23" s="3431"/>
      <c r="GJB23" s="3431"/>
      <c r="GJC23" s="3431"/>
      <c r="GJD23" s="3431"/>
      <c r="GJE23" s="3431"/>
      <c r="GJF23" s="3431"/>
      <c r="GJG23" s="3431"/>
      <c r="GJH23" s="3431"/>
      <c r="GJI23" s="3431"/>
      <c r="GJJ23" s="3431"/>
      <c r="GJK23" s="3431"/>
      <c r="GJL23" s="3431"/>
      <c r="GJM23" s="3431"/>
      <c r="GJN23" s="3431"/>
      <c r="GJO23" s="3431"/>
      <c r="GJP23" s="3431"/>
      <c r="GJQ23" s="3431"/>
      <c r="GJR23" s="3431"/>
      <c r="GJS23" s="3431"/>
      <c r="GJT23" s="3431"/>
      <c r="GJU23" s="3431"/>
      <c r="GJV23" s="3431"/>
      <c r="GJW23" s="3431"/>
      <c r="GJX23" s="3431"/>
      <c r="GJY23" s="3431"/>
      <c r="GJZ23" s="3431"/>
      <c r="GKA23" s="3431"/>
      <c r="GKB23" s="3431"/>
      <c r="GKC23" s="3431"/>
      <c r="GKD23" s="3431"/>
      <c r="GKE23" s="3431"/>
      <c r="GKF23" s="3431"/>
      <c r="GKG23" s="3431"/>
      <c r="GKH23" s="3431"/>
      <c r="GKI23" s="3431"/>
      <c r="GKJ23" s="3431"/>
      <c r="GKK23" s="3431"/>
      <c r="GKL23" s="3431"/>
      <c r="GKM23" s="3431"/>
      <c r="GKN23" s="3431"/>
      <c r="GKO23" s="3431"/>
      <c r="GKP23" s="3431"/>
      <c r="GKQ23" s="3431"/>
      <c r="GKR23" s="3431"/>
      <c r="GKS23" s="3431"/>
      <c r="GKT23" s="3431"/>
      <c r="GKU23" s="3431"/>
      <c r="GKV23" s="3431"/>
      <c r="GKW23" s="3431"/>
      <c r="GKX23" s="3431"/>
      <c r="GKY23" s="3431"/>
      <c r="GKZ23" s="3431"/>
      <c r="GLA23" s="3431"/>
      <c r="GLB23" s="3431"/>
      <c r="GLC23" s="3431"/>
      <c r="GLD23" s="3431"/>
      <c r="GLE23" s="3431"/>
      <c r="GLF23" s="3431"/>
      <c r="GLG23" s="3431"/>
      <c r="GLH23" s="3431"/>
      <c r="GLI23" s="3431"/>
      <c r="GLJ23" s="3431"/>
      <c r="GLK23" s="3431"/>
      <c r="GLL23" s="3431"/>
      <c r="GLM23" s="3431"/>
      <c r="GLN23" s="3431"/>
      <c r="GLO23" s="3431"/>
      <c r="GLP23" s="3431"/>
      <c r="GLQ23" s="3431"/>
      <c r="GLR23" s="3431"/>
      <c r="GLS23" s="3431"/>
      <c r="GLT23" s="3431"/>
      <c r="GLU23" s="3431"/>
      <c r="GLV23" s="3431"/>
      <c r="GLW23" s="3431"/>
      <c r="GLX23" s="3431"/>
      <c r="GLY23" s="3431"/>
      <c r="GLZ23" s="3431"/>
      <c r="GMA23" s="3431"/>
      <c r="GMB23" s="3431"/>
      <c r="GMC23" s="3431"/>
      <c r="GMD23" s="3431"/>
      <c r="GME23" s="3431"/>
      <c r="GMF23" s="3431"/>
      <c r="GMG23" s="3431"/>
      <c r="GMH23" s="3431"/>
      <c r="GMI23" s="3431"/>
      <c r="GMJ23" s="3431"/>
      <c r="GMK23" s="3431"/>
      <c r="GML23" s="3431"/>
      <c r="GMM23" s="3431"/>
      <c r="GMN23" s="3431"/>
      <c r="GMO23" s="3431"/>
      <c r="GMP23" s="3431"/>
      <c r="GMQ23" s="3431"/>
      <c r="GMR23" s="3431"/>
      <c r="GMS23" s="3431"/>
      <c r="GMT23" s="3431"/>
      <c r="GMU23" s="3431"/>
      <c r="GMV23" s="3431"/>
      <c r="GMW23" s="3431"/>
      <c r="GMX23" s="3431"/>
      <c r="GMY23" s="3431"/>
      <c r="GMZ23" s="3431"/>
      <c r="GNA23" s="3431"/>
      <c r="GNB23" s="3431"/>
      <c r="GNC23" s="3431"/>
      <c r="GND23" s="3431"/>
      <c r="GNE23" s="3431"/>
      <c r="GNF23" s="3431"/>
      <c r="GNG23" s="3431"/>
      <c r="GNH23" s="3431"/>
      <c r="GNI23" s="3431"/>
      <c r="GNJ23" s="3431"/>
      <c r="GNK23" s="3431"/>
      <c r="GNL23" s="3431"/>
      <c r="GNM23" s="3431"/>
      <c r="GNN23" s="3431"/>
      <c r="GNO23" s="3431"/>
      <c r="GNP23" s="3431"/>
      <c r="GNQ23" s="3431"/>
      <c r="GNR23" s="3431"/>
      <c r="GNS23" s="3431"/>
      <c r="GNT23" s="3431"/>
      <c r="GNU23" s="3431"/>
      <c r="GNV23" s="3431"/>
      <c r="GNW23" s="3431"/>
      <c r="GNX23" s="3431"/>
      <c r="GNY23" s="3431"/>
      <c r="GNZ23" s="3431"/>
      <c r="GOA23" s="3431"/>
      <c r="GOB23" s="3431"/>
      <c r="GOC23" s="3431"/>
      <c r="GOD23" s="3431"/>
      <c r="GOE23" s="3431"/>
      <c r="GOF23" s="3431"/>
      <c r="GOG23" s="3431"/>
      <c r="GOH23" s="3431"/>
      <c r="GOI23" s="3431"/>
      <c r="GOJ23" s="3431"/>
      <c r="GOK23" s="3431"/>
      <c r="GOL23" s="3431"/>
      <c r="GOM23" s="3431"/>
      <c r="GON23" s="3431"/>
      <c r="GOO23" s="3431"/>
      <c r="GOP23" s="3431"/>
      <c r="GOQ23" s="3431"/>
      <c r="GOR23" s="3431"/>
      <c r="GOS23" s="3431"/>
      <c r="GOT23" s="3431"/>
      <c r="GOU23" s="3431"/>
      <c r="GOV23" s="3431"/>
      <c r="GOW23" s="3431"/>
      <c r="GOX23" s="3431"/>
      <c r="GOY23" s="3431"/>
      <c r="GOZ23" s="3431"/>
      <c r="GPA23" s="3431"/>
      <c r="GPB23" s="3431"/>
      <c r="GPC23" s="3431"/>
      <c r="GPD23" s="3431"/>
      <c r="GPE23" s="3431"/>
      <c r="GPF23" s="3431"/>
      <c r="GPG23" s="3431"/>
      <c r="GPH23" s="3431"/>
      <c r="GPI23" s="3431"/>
      <c r="GPJ23" s="3431"/>
      <c r="GPK23" s="3431"/>
      <c r="GPL23" s="3431"/>
      <c r="GPM23" s="3431"/>
      <c r="GPN23" s="3431"/>
      <c r="GPO23" s="3431"/>
      <c r="GPP23" s="3431"/>
      <c r="GPQ23" s="3431"/>
      <c r="GPR23" s="3431"/>
      <c r="GPS23" s="3431"/>
      <c r="GPT23" s="3431"/>
      <c r="GPU23" s="3431"/>
      <c r="GPV23" s="3431"/>
      <c r="GPW23" s="3431"/>
      <c r="GPX23" s="3431"/>
      <c r="GPY23" s="3431"/>
      <c r="GPZ23" s="3431"/>
      <c r="GQA23" s="3431"/>
      <c r="GQB23" s="3431"/>
      <c r="GQC23" s="3431"/>
      <c r="GQD23" s="3431"/>
      <c r="GQE23" s="3431"/>
      <c r="GQF23" s="3431"/>
      <c r="GQG23" s="3431"/>
      <c r="GQH23" s="3431"/>
      <c r="GQI23" s="3431"/>
      <c r="GQJ23" s="3431"/>
      <c r="GQK23" s="3431"/>
      <c r="GQL23" s="3431"/>
      <c r="GQM23" s="3431"/>
      <c r="GQN23" s="3431"/>
      <c r="GQO23" s="3431"/>
      <c r="GQP23" s="3431"/>
      <c r="GQQ23" s="3431"/>
      <c r="GQR23" s="3431"/>
      <c r="GQS23" s="3431"/>
      <c r="GQT23" s="3431"/>
      <c r="GQU23" s="3431"/>
      <c r="GQV23" s="3431"/>
      <c r="GQW23" s="3431"/>
      <c r="GQX23" s="3431"/>
      <c r="GQY23" s="3431"/>
      <c r="GQZ23" s="3431"/>
      <c r="GRA23" s="3431"/>
      <c r="GRB23" s="3431"/>
      <c r="GRC23" s="3431"/>
      <c r="GRD23" s="3431"/>
      <c r="GRE23" s="3431"/>
      <c r="GRF23" s="3431"/>
      <c r="GRG23" s="3431"/>
      <c r="GRH23" s="3431"/>
      <c r="GRI23" s="3431"/>
      <c r="GRJ23" s="3431"/>
      <c r="GRK23" s="3431"/>
      <c r="GRL23" s="3431"/>
      <c r="GRM23" s="3431"/>
      <c r="GRN23" s="3431"/>
      <c r="GRO23" s="3431"/>
      <c r="GRP23" s="3431"/>
      <c r="GRQ23" s="3431"/>
      <c r="GRR23" s="3431"/>
      <c r="GRS23" s="3431"/>
      <c r="GRT23" s="3431"/>
      <c r="GRU23" s="3431"/>
      <c r="GRV23" s="3431"/>
      <c r="GRW23" s="3431"/>
      <c r="GRX23" s="3431"/>
      <c r="GRY23" s="3431"/>
      <c r="GRZ23" s="3431"/>
      <c r="GSA23" s="3431"/>
      <c r="GSB23" s="3431"/>
      <c r="GSC23" s="3431"/>
      <c r="GSD23" s="3431"/>
      <c r="GSE23" s="3431"/>
      <c r="GSF23" s="3431"/>
      <c r="GSG23" s="3431"/>
      <c r="GSH23" s="3431"/>
      <c r="GSI23" s="3431"/>
      <c r="GSJ23" s="3431"/>
      <c r="GSK23" s="3431"/>
      <c r="GSL23" s="3431"/>
      <c r="GSM23" s="3431"/>
      <c r="GSN23" s="3431"/>
      <c r="GSO23" s="3431"/>
      <c r="GSP23" s="3431"/>
      <c r="GSQ23" s="3431"/>
      <c r="GSR23" s="3431"/>
      <c r="GSS23" s="3431"/>
      <c r="GST23" s="3431"/>
      <c r="GSU23" s="3431"/>
      <c r="GSV23" s="3431"/>
      <c r="GSW23" s="3431"/>
      <c r="GSX23" s="3431"/>
      <c r="GSY23" s="3431"/>
      <c r="GSZ23" s="3431"/>
      <c r="GTA23" s="3431"/>
      <c r="GTB23" s="3431"/>
      <c r="GTC23" s="3431"/>
      <c r="GTD23" s="3431"/>
      <c r="GTE23" s="3431"/>
      <c r="GTF23" s="3431"/>
      <c r="GTG23" s="3431"/>
      <c r="GTH23" s="3431"/>
      <c r="GTI23" s="3431"/>
      <c r="GTJ23" s="3431"/>
      <c r="GTK23" s="3431"/>
      <c r="GTL23" s="3431"/>
      <c r="GTM23" s="3431"/>
      <c r="GTN23" s="3431"/>
      <c r="GTO23" s="3431"/>
      <c r="GTP23" s="3431"/>
      <c r="GTQ23" s="3431"/>
      <c r="GTR23" s="3431"/>
      <c r="GTS23" s="3431"/>
      <c r="GTT23" s="3431"/>
      <c r="GTU23" s="3431"/>
      <c r="GTV23" s="3431"/>
      <c r="GTW23" s="3431"/>
      <c r="GTX23" s="3431"/>
      <c r="GTY23" s="3431"/>
      <c r="GTZ23" s="3431"/>
      <c r="GUA23" s="3431"/>
      <c r="GUB23" s="3431"/>
      <c r="GUC23" s="3431"/>
      <c r="GUD23" s="3431"/>
      <c r="GUE23" s="3431"/>
      <c r="GUF23" s="3431"/>
      <c r="GUG23" s="3431"/>
      <c r="GUH23" s="3431"/>
      <c r="GUI23" s="3431"/>
      <c r="GUJ23" s="3431"/>
      <c r="GUK23" s="3431"/>
      <c r="GUL23" s="3431"/>
      <c r="GUM23" s="3431"/>
      <c r="GUN23" s="3431"/>
      <c r="GUO23" s="3431"/>
      <c r="GUP23" s="3431"/>
      <c r="GUQ23" s="3431"/>
      <c r="GUR23" s="3431"/>
      <c r="GUS23" s="3431"/>
      <c r="GUT23" s="3431"/>
      <c r="GUU23" s="3431"/>
      <c r="GUV23" s="3431"/>
      <c r="GUW23" s="3431"/>
      <c r="GUX23" s="3431"/>
      <c r="GUY23" s="3431"/>
      <c r="GUZ23" s="3431"/>
      <c r="GVA23" s="3431"/>
      <c r="GVB23" s="3431"/>
      <c r="GVC23" s="3431"/>
      <c r="GVD23" s="3431"/>
      <c r="GVE23" s="3431"/>
      <c r="GVF23" s="3431"/>
      <c r="GVG23" s="3431"/>
      <c r="GVH23" s="3431"/>
      <c r="GVI23" s="3431"/>
      <c r="GVJ23" s="3431"/>
      <c r="GVK23" s="3431"/>
      <c r="GVL23" s="3431"/>
      <c r="GVM23" s="3431"/>
      <c r="GVN23" s="3431"/>
      <c r="GVO23" s="3431"/>
      <c r="GVP23" s="3431"/>
      <c r="GVQ23" s="3431"/>
      <c r="GVR23" s="3431"/>
      <c r="GVS23" s="3431"/>
      <c r="GVT23" s="3431"/>
      <c r="GVU23" s="3431"/>
      <c r="GVV23" s="3431"/>
      <c r="GVW23" s="3431"/>
      <c r="GVX23" s="3431"/>
      <c r="GVY23" s="3431"/>
      <c r="GVZ23" s="3431"/>
      <c r="GWA23" s="3431"/>
      <c r="GWB23" s="3431"/>
      <c r="GWC23" s="3431"/>
      <c r="GWD23" s="3431"/>
      <c r="GWE23" s="3431"/>
      <c r="GWF23" s="3431"/>
      <c r="GWG23" s="3431"/>
      <c r="GWH23" s="3431"/>
      <c r="GWI23" s="3431"/>
      <c r="GWJ23" s="3431"/>
      <c r="GWK23" s="3431"/>
      <c r="GWL23" s="3431"/>
      <c r="GWM23" s="3431"/>
      <c r="GWN23" s="3431"/>
      <c r="GWO23" s="3431"/>
      <c r="GWP23" s="3431"/>
      <c r="GWQ23" s="3431"/>
      <c r="GWR23" s="3431"/>
      <c r="GWS23" s="3431"/>
      <c r="GWT23" s="3431"/>
      <c r="GWU23" s="3431"/>
      <c r="GWV23" s="3431"/>
      <c r="GWW23" s="3431"/>
      <c r="GWX23" s="3431"/>
      <c r="GWY23" s="3431"/>
      <c r="GWZ23" s="3431"/>
      <c r="GXA23" s="3431"/>
      <c r="GXB23" s="3431"/>
      <c r="GXC23" s="3431"/>
      <c r="GXD23" s="3431"/>
      <c r="GXE23" s="3431"/>
      <c r="GXF23" s="3431"/>
      <c r="GXG23" s="3431"/>
      <c r="GXH23" s="3431"/>
      <c r="GXI23" s="3431"/>
      <c r="GXJ23" s="3431"/>
      <c r="GXK23" s="3431"/>
      <c r="GXL23" s="3431"/>
      <c r="GXM23" s="3431"/>
      <c r="GXN23" s="3431"/>
      <c r="GXO23" s="3431"/>
      <c r="GXP23" s="3431"/>
      <c r="GXQ23" s="3431"/>
      <c r="GXR23" s="3431"/>
      <c r="GXS23" s="3431"/>
      <c r="GXT23" s="3431"/>
      <c r="GXU23" s="3431"/>
      <c r="GXV23" s="3431"/>
      <c r="GXW23" s="3431"/>
      <c r="GXX23" s="3431"/>
      <c r="GXY23" s="3431"/>
      <c r="GXZ23" s="3431"/>
      <c r="GYA23" s="3431"/>
      <c r="GYB23" s="3431"/>
      <c r="GYC23" s="3431"/>
      <c r="GYD23" s="3431"/>
      <c r="GYE23" s="3431"/>
      <c r="GYF23" s="3431"/>
      <c r="GYG23" s="3431"/>
      <c r="GYH23" s="3431"/>
      <c r="GYI23" s="3431"/>
      <c r="GYJ23" s="3431"/>
      <c r="GYK23" s="3431"/>
      <c r="GYL23" s="3431"/>
      <c r="GYM23" s="3431"/>
      <c r="GYN23" s="3431"/>
      <c r="GYO23" s="3431"/>
      <c r="GYP23" s="3431"/>
      <c r="GYQ23" s="3431"/>
      <c r="GYR23" s="3431"/>
      <c r="GYS23" s="3431"/>
      <c r="GYT23" s="3431"/>
      <c r="GYU23" s="3431"/>
      <c r="GYV23" s="3431"/>
      <c r="GYW23" s="3431"/>
      <c r="GYX23" s="3431"/>
      <c r="GYY23" s="3431"/>
      <c r="GYZ23" s="3431"/>
      <c r="GZA23" s="3431"/>
      <c r="GZB23" s="3431"/>
      <c r="GZC23" s="3431"/>
      <c r="GZD23" s="3431"/>
      <c r="GZE23" s="3431"/>
      <c r="GZF23" s="3431"/>
      <c r="GZG23" s="3431"/>
      <c r="GZH23" s="3431"/>
      <c r="GZI23" s="3431"/>
      <c r="GZJ23" s="3431"/>
      <c r="GZK23" s="3431"/>
      <c r="GZL23" s="3431"/>
      <c r="GZM23" s="3431"/>
      <c r="GZN23" s="3431"/>
      <c r="GZO23" s="3431"/>
      <c r="GZP23" s="3431"/>
      <c r="GZQ23" s="3431"/>
      <c r="GZR23" s="3431"/>
      <c r="GZS23" s="3431"/>
      <c r="GZT23" s="3431"/>
      <c r="GZU23" s="3431"/>
      <c r="GZV23" s="3431"/>
      <c r="GZW23" s="3431"/>
      <c r="GZX23" s="3431"/>
      <c r="GZY23" s="3431"/>
      <c r="GZZ23" s="3431"/>
      <c r="HAA23" s="3431"/>
      <c r="HAB23" s="3431"/>
      <c r="HAC23" s="3431"/>
      <c r="HAD23" s="3431"/>
      <c r="HAE23" s="3431"/>
      <c r="HAF23" s="3431"/>
      <c r="HAG23" s="3431"/>
      <c r="HAH23" s="3431"/>
      <c r="HAI23" s="3431"/>
      <c r="HAJ23" s="3431"/>
      <c r="HAK23" s="3431"/>
      <c r="HAL23" s="3431"/>
      <c r="HAM23" s="3431"/>
      <c r="HAN23" s="3431"/>
      <c r="HAO23" s="3431"/>
      <c r="HAP23" s="3431"/>
      <c r="HAQ23" s="3431"/>
      <c r="HAR23" s="3431"/>
      <c r="HAS23" s="3431"/>
      <c r="HAT23" s="3431"/>
      <c r="HAU23" s="3431"/>
      <c r="HAV23" s="3431"/>
      <c r="HAW23" s="3431"/>
      <c r="HAX23" s="3431"/>
      <c r="HAY23" s="3431"/>
      <c r="HAZ23" s="3431"/>
      <c r="HBA23" s="3431"/>
      <c r="HBB23" s="3431"/>
      <c r="HBC23" s="3431"/>
      <c r="HBD23" s="3431"/>
      <c r="HBE23" s="3431"/>
      <c r="HBF23" s="3431"/>
      <c r="HBG23" s="3431"/>
      <c r="HBH23" s="3431"/>
      <c r="HBI23" s="3431"/>
      <c r="HBJ23" s="3431"/>
      <c r="HBK23" s="3431"/>
      <c r="HBL23" s="3431"/>
      <c r="HBM23" s="3431"/>
      <c r="HBN23" s="3431"/>
      <c r="HBO23" s="3431"/>
      <c r="HBP23" s="3431"/>
      <c r="HBQ23" s="3431"/>
      <c r="HBR23" s="3431"/>
      <c r="HBS23" s="3431"/>
      <c r="HBT23" s="3431"/>
      <c r="HBU23" s="3431"/>
      <c r="HBV23" s="3431"/>
      <c r="HBW23" s="3431"/>
      <c r="HBX23" s="3431"/>
      <c r="HBY23" s="3431"/>
      <c r="HBZ23" s="3431"/>
      <c r="HCA23" s="3431"/>
      <c r="HCB23" s="3431"/>
      <c r="HCC23" s="3431"/>
      <c r="HCD23" s="3431"/>
      <c r="HCE23" s="3431"/>
      <c r="HCF23" s="3431"/>
      <c r="HCG23" s="3431"/>
      <c r="HCH23" s="3431"/>
      <c r="HCI23" s="3431"/>
      <c r="HCJ23" s="3431"/>
      <c r="HCK23" s="3431"/>
      <c r="HCL23" s="3431"/>
      <c r="HCM23" s="3431"/>
      <c r="HCN23" s="3431"/>
      <c r="HCO23" s="3431"/>
      <c r="HCP23" s="3431"/>
      <c r="HCQ23" s="3431"/>
      <c r="HCR23" s="3431"/>
      <c r="HCS23" s="3431"/>
      <c r="HCT23" s="3431"/>
      <c r="HCU23" s="3431"/>
      <c r="HCV23" s="3431"/>
      <c r="HCW23" s="3431"/>
      <c r="HCX23" s="3431"/>
      <c r="HCY23" s="3431"/>
      <c r="HCZ23" s="3431"/>
      <c r="HDA23" s="3431"/>
      <c r="HDB23" s="3431"/>
      <c r="HDC23" s="3431"/>
      <c r="HDD23" s="3431"/>
      <c r="HDE23" s="3431"/>
      <c r="HDF23" s="3431"/>
      <c r="HDG23" s="3431"/>
      <c r="HDH23" s="3431"/>
      <c r="HDI23" s="3431"/>
      <c r="HDJ23" s="3431"/>
      <c r="HDK23" s="3431"/>
      <c r="HDL23" s="3431"/>
      <c r="HDM23" s="3431"/>
      <c r="HDN23" s="3431"/>
      <c r="HDO23" s="3431"/>
      <c r="HDP23" s="3431"/>
      <c r="HDQ23" s="3431"/>
      <c r="HDR23" s="3431"/>
      <c r="HDS23" s="3431"/>
      <c r="HDT23" s="3431"/>
      <c r="HDU23" s="3431"/>
      <c r="HDV23" s="3431"/>
      <c r="HDW23" s="3431"/>
      <c r="HDX23" s="3431"/>
      <c r="HDY23" s="3431"/>
      <c r="HDZ23" s="3431"/>
      <c r="HEA23" s="3431"/>
      <c r="HEB23" s="3431"/>
      <c r="HEC23" s="3431"/>
      <c r="HED23" s="3431"/>
      <c r="HEE23" s="3431"/>
      <c r="HEF23" s="3431"/>
      <c r="HEG23" s="3431"/>
      <c r="HEH23" s="3431"/>
      <c r="HEI23" s="3431"/>
      <c r="HEJ23" s="3431"/>
      <c r="HEK23" s="3431"/>
      <c r="HEL23" s="3431"/>
      <c r="HEM23" s="3431"/>
      <c r="HEN23" s="3431"/>
      <c r="HEO23" s="3431"/>
      <c r="HEP23" s="3431"/>
      <c r="HEQ23" s="3431"/>
      <c r="HER23" s="3431"/>
      <c r="HES23" s="3431"/>
      <c r="HET23" s="3431"/>
      <c r="HEU23" s="3431"/>
      <c r="HEV23" s="3431"/>
      <c r="HEW23" s="3431"/>
      <c r="HEX23" s="3431"/>
      <c r="HEY23" s="3431"/>
      <c r="HEZ23" s="3431"/>
      <c r="HFA23" s="3431"/>
      <c r="HFB23" s="3431"/>
      <c r="HFC23" s="3431"/>
      <c r="HFD23" s="3431"/>
      <c r="HFE23" s="3431"/>
      <c r="HFF23" s="3431"/>
      <c r="HFG23" s="3431"/>
      <c r="HFH23" s="3431"/>
      <c r="HFI23" s="3431"/>
      <c r="HFJ23" s="3431"/>
      <c r="HFK23" s="3431"/>
      <c r="HFL23" s="3431"/>
      <c r="HFM23" s="3431"/>
      <c r="HFN23" s="3431"/>
      <c r="HFO23" s="3431"/>
      <c r="HFP23" s="3431"/>
      <c r="HFQ23" s="3431"/>
      <c r="HFR23" s="3431"/>
      <c r="HFS23" s="3431"/>
      <c r="HFT23" s="3431"/>
      <c r="HFU23" s="3431"/>
      <c r="HFV23" s="3431"/>
      <c r="HFW23" s="3431"/>
      <c r="HFX23" s="3431"/>
      <c r="HFY23" s="3431"/>
      <c r="HFZ23" s="3431"/>
      <c r="HGA23" s="3431"/>
      <c r="HGB23" s="3431"/>
      <c r="HGC23" s="3431"/>
      <c r="HGD23" s="3431"/>
      <c r="HGE23" s="3431"/>
      <c r="HGF23" s="3431"/>
      <c r="HGG23" s="3431"/>
      <c r="HGH23" s="3431"/>
      <c r="HGI23" s="3431"/>
      <c r="HGJ23" s="3431"/>
      <c r="HGK23" s="3431"/>
      <c r="HGL23" s="3431"/>
      <c r="HGM23" s="3431"/>
      <c r="HGN23" s="3431"/>
      <c r="HGO23" s="3431"/>
      <c r="HGP23" s="3431"/>
      <c r="HGQ23" s="3431"/>
      <c r="HGR23" s="3431"/>
      <c r="HGS23" s="3431"/>
      <c r="HGT23" s="3431"/>
      <c r="HGU23" s="3431"/>
      <c r="HGV23" s="3431"/>
      <c r="HGW23" s="3431"/>
      <c r="HGX23" s="3431"/>
      <c r="HGY23" s="3431"/>
      <c r="HGZ23" s="3431"/>
      <c r="HHA23" s="3431"/>
      <c r="HHB23" s="3431"/>
      <c r="HHC23" s="3431"/>
      <c r="HHD23" s="3431"/>
      <c r="HHE23" s="3431"/>
      <c r="HHF23" s="3431"/>
      <c r="HHG23" s="3431"/>
      <c r="HHH23" s="3431"/>
      <c r="HHI23" s="3431"/>
      <c r="HHJ23" s="3431"/>
      <c r="HHK23" s="3431"/>
      <c r="HHL23" s="3431"/>
      <c r="HHM23" s="3431"/>
      <c r="HHN23" s="3431"/>
      <c r="HHO23" s="3431"/>
      <c r="HHP23" s="3431"/>
      <c r="HHQ23" s="3431"/>
      <c r="HHR23" s="3431"/>
      <c r="HHS23" s="3431"/>
      <c r="HHT23" s="3431"/>
      <c r="HHU23" s="3431"/>
      <c r="HHV23" s="3431"/>
      <c r="HHW23" s="3431"/>
      <c r="HHX23" s="3431"/>
      <c r="HHY23" s="3431"/>
      <c r="HHZ23" s="3431"/>
      <c r="HIA23" s="3431"/>
      <c r="HIB23" s="3431"/>
      <c r="HIC23" s="3431"/>
      <c r="HID23" s="3431"/>
      <c r="HIE23" s="3431"/>
      <c r="HIF23" s="3431"/>
      <c r="HIG23" s="3431"/>
      <c r="HIH23" s="3431"/>
      <c r="HII23" s="3431"/>
      <c r="HIJ23" s="3431"/>
      <c r="HIK23" s="3431"/>
      <c r="HIL23" s="3431"/>
      <c r="HIM23" s="3431"/>
      <c r="HIN23" s="3431"/>
      <c r="HIO23" s="3431"/>
      <c r="HIP23" s="3431"/>
      <c r="HIQ23" s="3431"/>
      <c r="HIR23" s="3431"/>
      <c r="HIS23" s="3431"/>
      <c r="HIT23" s="3431"/>
      <c r="HIU23" s="3431"/>
      <c r="HIV23" s="3431"/>
      <c r="HIW23" s="3431"/>
      <c r="HIX23" s="3431"/>
      <c r="HIY23" s="3431"/>
      <c r="HIZ23" s="3431"/>
      <c r="HJA23" s="3431"/>
      <c r="HJB23" s="3431"/>
      <c r="HJC23" s="3431"/>
      <c r="HJD23" s="3431"/>
      <c r="HJE23" s="3431"/>
      <c r="HJF23" s="3431"/>
      <c r="HJG23" s="3431"/>
      <c r="HJH23" s="3431"/>
      <c r="HJI23" s="3431"/>
      <c r="HJJ23" s="3431"/>
      <c r="HJK23" s="3431"/>
      <c r="HJL23" s="3431"/>
      <c r="HJM23" s="3431"/>
      <c r="HJN23" s="3431"/>
      <c r="HJO23" s="3431"/>
      <c r="HJP23" s="3431"/>
      <c r="HJQ23" s="3431"/>
      <c r="HJR23" s="3431"/>
      <c r="HJS23" s="3431"/>
      <c r="HJT23" s="3431"/>
      <c r="HJU23" s="3431"/>
      <c r="HJV23" s="3431"/>
      <c r="HJW23" s="3431"/>
      <c r="HJX23" s="3431"/>
      <c r="HJY23" s="3431"/>
      <c r="HJZ23" s="3431"/>
      <c r="HKA23" s="3431"/>
      <c r="HKB23" s="3431"/>
      <c r="HKC23" s="3431"/>
      <c r="HKD23" s="3431"/>
      <c r="HKE23" s="3431"/>
      <c r="HKF23" s="3431"/>
      <c r="HKG23" s="3431"/>
      <c r="HKH23" s="3431"/>
      <c r="HKI23" s="3431"/>
      <c r="HKJ23" s="3431"/>
      <c r="HKK23" s="3431"/>
      <c r="HKL23" s="3431"/>
      <c r="HKM23" s="3431"/>
      <c r="HKN23" s="3431"/>
      <c r="HKO23" s="3431"/>
      <c r="HKP23" s="3431"/>
      <c r="HKQ23" s="3431"/>
      <c r="HKR23" s="3431"/>
      <c r="HKS23" s="3431"/>
      <c r="HKT23" s="3431"/>
      <c r="HKU23" s="3431"/>
      <c r="HKV23" s="3431"/>
      <c r="HKW23" s="3431"/>
      <c r="HKX23" s="3431"/>
      <c r="HKY23" s="3431"/>
      <c r="HKZ23" s="3431"/>
      <c r="HLA23" s="3431"/>
      <c r="HLB23" s="3431"/>
      <c r="HLC23" s="3431"/>
      <c r="HLD23" s="3431"/>
      <c r="HLE23" s="3431"/>
      <c r="HLF23" s="3431"/>
      <c r="HLG23" s="3431"/>
      <c r="HLH23" s="3431"/>
      <c r="HLI23" s="3431"/>
      <c r="HLJ23" s="3431"/>
      <c r="HLK23" s="3431"/>
      <c r="HLL23" s="3431"/>
      <c r="HLM23" s="3431"/>
      <c r="HLN23" s="3431"/>
      <c r="HLO23" s="3431"/>
      <c r="HLP23" s="3431"/>
      <c r="HLQ23" s="3431"/>
      <c r="HLR23" s="3431"/>
      <c r="HLS23" s="3431"/>
      <c r="HLT23" s="3431"/>
      <c r="HLU23" s="3431"/>
      <c r="HLV23" s="3431"/>
      <c r="HLW23" s="3431"/>
      <c r="HLX23" s="3431"/>
      <c r="HLY23" s="3431"/>
      <c r="HLZ23" s="3431"/>
      <c r="HMA23" s="3431"/>
      <c r="HMB23" s="3431"/>
      <c r="HMC23" s="3431"/>
      <c r="HMD23" s="3431"/>
      <c r="HME23" s="3431"/>
      <c r="HMF23" s="3431"/>
      <c r="HMG23" s="3431"/>
      <c r="HMH23" s="3431"/>
      <c r="HMI23" s="3431"/>
      <c r="HMJ23" s="3431"/>
      <c r="HMK23" s="3431"/>
      <c r="HML23" s="3431"/>
      <c r="HMM23" s="3431"/>
      <c r="HMN23" s="3431"/>
      <c r="HMO23" s="3431"/>
      <c r="HMP23" s="3431"/>
      <c r="HMQ23" s="3431"/>
      <c r="HMR23" s="3431"/>
      <c r="HMS23" s="3431"/>
      <c r="HMT23" s="3431"/>
      <c r="HMU23" s="3431"/>
      <c r="HMV23" s="3431"/>
      <c r="HMW23" s="3431"/>
      <c r="HMX23" s="3431"/>
      <c r="HMY23" s="3431"/>
      <c r="HMZ23" s="3431"/>
      <c r="HNA23" s="3431"/>
      <c r="HNB23" s="3431"/>
      <c r="HNC23" s="3431"/>
      <c r="HND23" s="3431"/>
      <c r="HNE23" s="3431"/>
      <c r="HNF23" s="3431"/>
      <c r="HNG23" s="3431"/>
      <c r="HNH23" s="3431"/>
      <c r="HNI23" s="3431"/>
      <c r="HNJ23" s="3431"/>
      <c r="HNK23" s="3431"/>
      <c r="HNL23" s="3431"/>
      <c r="HNM23" s="3431"/>
      <c r="HNN23" s="3431"/>
      <c r="HNO23" s="3431"/>
      <c r="HNP23" s="3431"/>
      <c r="HNQ23" s="3431"/>
      <c r="HNR23" s="3431"/>
      <c r="HNS23" s="3431"/>
      <c r="HNT23" s="3431"/>
      <c r="HNU23" s="3431"/>
      <c r="HNV23" s="3431"/>
      <c r="HNW23" s="3431"/>
      <c r="HNX23" s="3431"/>
      <c r="HNY23" s="3431"/>
      <c r="HNZ23" s="3431"/>
      <c r="HOA23" s="3431"/>
      <c r="HOB23" s="3431"/>
      <c r="HOC23" s="3431"/>
      <c r="HOD23" s="3431"/>
      <c r="HOE23" s="3431"/>
      <c r="HOF23" s="3431"/>
      <c r="HOG23" s="3431"/>
      <c r="HOH23" s="3431"/>
      <c r="HOI23" s="3431"/>
      <c r="HOJ23" s="3431"/>
      <c r="HOK23" s="3431"/>
      <c r="HOL23" s="3431"/>
      <c r="HOM23" s="3431"/>
      <c r="HON23" s="3431"/>
      <c r="HOO23" s="3431"/>
      <c r="HOP23" s="3431"/>
      <c r="HOQ23" s="3431"/>
      <c r="HOR23" s="3431"/>
      <c r="HOS23" s="3431"/>
      <c r="HOT23" s="3431"/>
      <c r="HOU23" s="3431"/>
      <c r="HOV23" s="3431"/>
      <c r="HOW23" s="3431"/>
      <c r="HOX23" s="3431"/>
      <c r="HOY23" s="3431"/>
      <c r="HOZ23" s="3431"/>
      <c r="HPA23" s="3431"/>
      <c r="HPB23" s="3431"/>
      <c r="HPC23" s="3431"/>
      <c r="HPD23" s="3431"/>
      <c r="HPE23" s="3431"/>
      <c r="HPF23" s="3431"/>
      <c r="HPG23" s="3431"/>
      <c r="HPH23" s="3431"/>
      <c r="HPI23" s="3431"/>
      <c r="HPJ23" s="3431"/>
      <c r="HPK23" s="3431"/>
      <c r="HPL23" s="3431"/>
      <c r="HPM23" s="3431"/>
      <c r="HPN23" s="3431"/>
      <c r="HPO23" s="3431"/>
      <c r="HPP23" s="3431"/>
      <c r="HPQ23" s="3431"/>
      <c r="HPR23" s="3431"/>
      <c r="HPS23" s="3431"/>
      <c r="HPT23" s="3431"/>
      <c r="HPU23" s="3431"/>
      <c r="HPV23" s="3431"/>
      <c r="HPW23" s="3431"/>
      <c r="HPX23" s="3431"/>
      <c r="HPY23" s="3431"/>
      <c r="HPZ23" s="3431"/>
      <c r="HQA23" s="3431"/>
      <c r="HQB23" s="3431"/>
      <c r="HQC23" s="3431"/>
      <c r="HQD23" s="3431"/>
      <c r="HQE23" s="3431"/>
      <c r="HQF23" s="3431"/>
      <c r="HQG23" s="3431"/>
      <c r="HQH23" s="3431"/>
      <c r="HQI23" s="3431"/>
      <c r="HQJ23" s="3431"/>
      <c r="HQK23" s="3431"/>
      <c r="HQL23" s="3431"/>
      <c r="HQM23" s="3431"/>
      <c r="HQN23" s="3431"/>
      <c r="HQO23" s="3431"/>
      <c r="HQP23" s="3431"/>
      <c r="HQQ23" s="3431"/>
      <c r="HQR23" s="3431"/>
      <c r="HQS23" s="3431"/>
      <c r="HQT23" s="3431"/>
      <c r="HQU23" s="3431"/>
      <c r="HQV23" s="3431"/>
      <c r="HQW23" s="3431"/>
      <c r="HQX23" s="3431"/>
      <c r="HQY23" s="3431"/>
      <c r="HQZ23" s="3431"/>
      <c r="HRA23" s="3431"/>
      <c r="HRB23" s="3431"/>
      <c r="HRC23" s="3431"/>
      <c r="HRD23" s="3431"/>
      <c r="HRE23" s="3431"/>
      <c r="HRF23" s="3431"/>
      <c r="HRG23" s="3431"/>
      <c r="HRH23" s="3431"/>
      <c r="HRI23" s="3431"/>
      <c r="HRJ23" s="3431"/>
      <c r="HRK23" s="3431"/>
      <c r="HRL23" s="3431"/>
      <c r="HRM23" s="3431"/>
      <c r="HRN23" s="3431"/>
      <c r="HRO23" s="3431"/>
      <c r="HRP23" s="3431"/>
      <c r="HRQ23" s="3431"/>
      <c r="HRR23" s="3431"/>
      <c r="HRS23" s="3431"/>
      <c r="HRT23" s="3431"/>
      <c r="HRU23" s="3431"/>
      <c r="HRV23" s="3431"/>
      <c r="HRW23" s="3431"/>
      <c r="HRX23" s="3431"/>
      <c r="HRY23" s="3431"/>
      <c r="HRZ23" s="3431"/>
      <c r="HSA23" s="3431"/>
      <c r="HSB23" s="3431"/>
      <c r="HSC23" s="3431"/>
      <c r="HSD23" s="3431"/>
      <c r="HSE23" s="3431"/>
      <c r="HSF23" s="3431"/>
      <c r="HSG23" s="3431"/>
      <c r="HSH23" s="3431"/>
      <c r="HSI23" s="3431"/>
      <c r="HSJ23" s="3431"/>
      <c r="HSK23" s="3431"/>
      <c r="HSL23" s="3431"/>
      <c r="HSM23" s="3431"/>
      <c r="HSN23" s="3431"/>
      <c r="HSO23" s="3431"/>
      <c r="HSP23" s="3431"/>
      <c r="HSQ23" s="3431"/>
      <c r="HSR23" s="3431"/>
      <c r="HSS23" s="3431"/>
      <c r="HST23" s="3431"/>
      <c r="HSU23" s="3431"/>
      <c r="HSV23" s="3431"/>
      <c r="HSW23" s="3431"/>
      <c r="HSX23" s="3431"/>
      <c r="HSY23" s="3431"/>
      <c r="HSZ23" s="3431"/>
      <c r="HTA23" s="3431"/>
      <c r="HTB23" s="3431"/>
      <c r="HTC23" s="3431"/>
      <c r="HTD23" s="3431"/>
      <c r="HTE23" s="3431"/>
      <c r="HTF23" s="3431"/>
      <c r="HTG23" s="3431"/>
      <c r="HTH23" s="3431"/>
      <c r="HTI23" s="3431"/>
      <c r="HTJ23" s="3431"/>
      <c r="HTK23" s="3431"/>
      <c r="HTL23" s="3431"/>
      <c r="HTM23" s="3431"/>
      <c r="HTN23" s="3431"/>
      <c r="HTO23" s="3431"/>
      <c r="HTP23" s="3431"/>
      <c r="HTQ23" s="3431"/>
      <c r="HTR23" s="3431"/>
      <c r="HTS23" s="3431"/>
      <c r="HTT23" s="3431"/>
      <c r="HTU23" s="3431"/>
      <c r="HTV23" s="3431"/>
      <c r="HTW23" s="3431"/>
      <c r="HTX23" s="3431"/>
      <c r="HTY23" s="3431"/>
      <c r="HTZ23" s="3431"/>
      <c r="HUA23" s="3431"/>
      <c r="HUB23" s="3431"/>
      <c r="HUC23" s="3431"/>
      <c r="HUD23" s="3431"/>
      <c r="HUE23" s="3431"/>
      <c r="HUF23" s="3431"/>
      <c r="HUG23" s="3431"/>
      <c r="HUH23" s="3431"/>
      <c r="HUI23" s="3431"/>
      <c r="HUJ23" s="3431"/>
      <c r="HUK23" s="3431"/>
      <c r="HUL23" s="3431"/>
      <c r="HUM23" s="3431"/>
      <c r="HUN23" s="3431"/>
      <c r="HUO23" s="3431"/>
      <c r="HUP23" s="3431"/>
      <c r="HUQ23" s="3431"/>
      <c r="HUR23" s="3431"/>
      <c r="HUS23" s="3431"/>
      <c r="HUT23" s="3431"/>
      <c r="HUU23" s="3431"/>
      <c r="HUV23" s="3431"/>
      <c r="HUW23" s="3431"/>
      <c r="HUX23" s="3431"/>
      <c r="HUY23" s="3431"/>
      <c r="HUZ23" s="3431"/>
      <c r="HVA23" s="3431"/>
      <c r="HVB23" s="3431"/>
      <c r="HVC23" s="3431"/>
      <c r="HVD23" s="3431"/>
      <c r="HVE23" s="3431"/>
      <c r="HVF23" s="3431"/>
      <c r="HVG23" s="3431"/>
      <c r="HVH23" s="3431"/>
      <c r="HVI23" s="3431"/>
      <c r="HVJ23" s="3431"/>
      <c r="HVK23" s="3431"/>
      <c r="HVL23" s="3431"/>
      <c r="HVM23" s="3431"/>
      <c r="HVN23" s="3431"/>
      <c r="HVO23" s="3431"/>
      <c r="HVP23" s="3431"/>
      <c r="HVQ23" s="3431"/>
      <c r="HVR23" s="3431"/>
      <c r="HVS23" s="3431"/>
      <c r="HVT23" s="3431"/>
      <c r="HVU23" s="3431"/>
      <c r="HVV23" s="3431"/>
      <c r="HVW23" s="3431"/>
      <c r="HVX23" s="3431"/>
      <c r="HVY23" s="3431"/>
      <c r="HVZ23" s="3431"/>
      <c r="HWA23" s="3431"/>
      <c r="HWB23" s="3431"/>
      <c r="HWC23" s="3431"/>
      <c r="HWD23" s="3431"/>
      <c r="HWE23" s="3431"/>
      <c r="HWF23" s="3431"/>
      <c r="HWG23" s="3431"/>
      <c r="HWH23" s="3431"/>
      <c r="HWI23" s="3431"/>
      <c r="HWJ23" s="3431"/>
      <c r="HWK23" s="3431"/>
      <c r="HWL23" s="3431"/>
      <c r="HWM23" s="3431"/>
      <c r="HWN23" s="3431"/>
      <c r="HWO23" s="3431"/>
      <c r="HWP23" s="3431"/>
      <c r="HWQ23" s="3431"/>
      <c r="HWR23" s="3431"/>
      <c r="HWS23" s="3431"/>
      <c r="HWT23" s="3431"/>
      <c r="HWU23" s="3431"/>
      <c r="HWV23" s="3431"/>
      <c r="HWW23" s="3431"/>
      <c r="HWX23" s="3431"/>
      <c r="HWY23" s="3431"/>
      <c r="HWZ23" s="3431"/>
      <c r="HXA23" s="3431"/>
      <c r="HXB23" s="3431"/>
      <c r="HXC23" s="3431"/>
      <c r="HXD23" s="3431"/>
      <c r="HXE23" s="3431"/>
      <c r="HXF23" s="3431"/>
      <c r="HXG23" s="3431"/>
      <c r="HXH23" s="3431"/>
      <c r="HXI23" s="3431"/>
      <c r="HXJ23" s="3431"/>
      <c r="HXK23" s="3431"/>
      <c r="HXL23" s="3431"/>
      <c r="HXM23" s="3431"/>
      <c r="HXN23" s="3431"/>
      <c r="HXO23" s="3431"/>
      <c r="HXP23" s="3431"/>
      <c r="HXQ23" s="3431"/>
      <c r="HXR23" s="3431"/>
      <c r="HXS23" s="3431"/>
      <c r="HXT23" s="3431"/>
      <c r="HXU23" s="3431"/>
      <c r="HXV23" s="3431"/>
      <c r="HXW23" s="3431"/>
      <c r="HXX23" s="3431"/>
      <c r="HXY23" s="3431"/>
      <c r="HXZ23" s="3431"/>
      <c r="HYA23" s="3431"/>
      <c r="HYB23" s="3431"/>
      <c r="HYC23" s="3431"/>
      <c r="HYD23" s="3431"/>
      <c r="HYE23" s="3431"/>
      <c r="HYF23" s="3431"/>
      <c r="HYG23" s="3431"/>
      <c r="HYH23" s="3431"/>
      <c r="HYI23" s="3431"/>
      <c r="HYJ23" s="3431"/>
      <c r="HYK23" s="3431"/>
      <c r="HYL23" s="3431"/>
      <c r="HYM23" s="3431"/>
      <c r="HYN23" s="3431"/>
      <c r="HYO23" s="3431"/>
      <c r="HYP23" s="3431"/>
      <c r="HYQ23" s="3431"/>
      <c r="HYR23" s="3431"/>
      <c r="HYS23" s="3431"/>
      <c r="HYT23" s="3431"/>
      <c r="HYU23" s="3431"/>
      <c r="HYV23" s="3431"/>
      <c r="HYW23" s="3431"/>
      <c r="HYX23" s="3431"/>
      <c r="HYY23" s="3431"/>
      <c r="HYZ23" s="3431"/>
      <c r="HZA23" s="3431"/>
      <c r="HZB23" s="3431"/>
      <c r="HZC23" s="3431"/>
      <c r="HZD23" s="3431"/>
      <c r="HZE23" s="3431"/>
      <c r="HZF23" s="3431"/>
      <c r="HZG23" s="3431"/>
      <c r="HZH23" s="3431"/>
      <c r="HZI23" s="3431"/>
      <c r="HZJ23" s="3431"/>
      <c r="HZK23" s="3431"/>
      <c r="HZL23" s="3431"/>
      <c r="HZM23" s="3431"/>
      <c r="HZN23" s="3431"/>
      <c r="HZO23" s="3431"/>
      <c r="HZP23" s="3431"/>
      <c r="HZQ23" s="3431"/>
      <c r="HZR23" s="3431"/>
      <c r="HZS23" s="3431"/>
      <c r="HZT23" s="3431"/>
      <c r="HZU23" s="3431"/>
      <c r="HZV23" s="3431"/>
      <c r="HZW23" s="3431"/>
      <c r="HZX23" s="3431"/>
      <c r="HZY23" s="3431"/>
      <c r="HZZ23" s="3431"/>
      <c r="IAA23" s="3431"/>
      <c r="IAB23" s="3431"/>
      <c r="IAC23" s="3431"/>
      <c r="IAD23" s="3431"/>
      <c r="IAE23" s="3431"/>
      <c r="IAF23" s="3431"/>
      <c r="IAG23" s="3431"/>
      <c r="IAH23" s="3431"/>
      <c r="IAI23" s="3431"/>
      <c r="IAJ23" s="3431"/>
      <c r="IAK23" s="3431"/>
      <c r="IAL23" s="3431"/>
      <c r="IAM23" s="3431"/>
      <c r="IAN23" s="3431"/>
      <c r="IAO23" s="3431"/>
      <c r="IAP23" s="3431"/>
      <c r="IAQ23" s="3431"/>
      <c r="IAR23" s="3431"/>
      <c r="IAS23" s="3431"/>
      <c r="IAT23" s="3431"/>
      <c r="IAU23" s="3431"/>
      <c r="IAV23" s="3431"/>
      <c r="IAW23" s="3431"/>
      <c r="IAX23" s="3431"/>
      <c r="IAY23" s="3431"/>
      <c r="IAZ23" s="3431"/>
      <c r="IBA23" s="3431"/>
      <c r="IBB23" s="3431"/>
      <c r="IBC23" s="3431"/>
      <c r="IBD23" s="3431"/>
      <c r="IBE23" s="3431"/>
      <c r="IBF23" s="3431"/>
      <c r="IBG23" s="3431"/>
      <c r="IBH23" s="3431"/>
      <c r="IBI23" s="3431"/>
      <c r="IBJ23" s="3431"/>
      <c r="IBK23" s="3431"/>
      <c r="IBL23" s="3431"/>
      <c r="IBM23" s="3431"/>
      <c r="IBN23" s="3431"/>
      <c r="IBO23" s="3431"/>
      <c r="IBP23" s="3431"/>
      <c r="IBQ23" s="3431"/>
      <c r="IBR23" s="3431"/>
      <c r="IBS23" s="3431"/>
      <c r="IBT23" s="3431"/>
      <c r="IBU23" s="3431"/>
      <c r="IBV23" s="3431"/>
      <c r="IBW23" s="3431"/>
      <c r="IBX23" s="3431"/>
      <c r="IBY23" s="3431"/>
      <c r="IBZ23" s="3431"/>
      <c r="ICA23" s="3431"/>
      <c r="ICB23" s="3431"/>
      <c r="ICC23" s="3431"/>
      <c r="ICD23" s="3431"/>
      <c r="ICE23" s="3431"/>
      <c r="ICF23" s="3431"/>
      <c r="ICG23" s="3431"/>
      <c r="ICH23" s="3431"/>
      <c r="ICI23" s="3431"/>
      <c r="ICJ23" s="3431"/>
      <c r="ICK23" s="3431"/>
      <c r="ICL23" s="3431"/>
      <c r="ICM23" s="3431"/>
      <c r="ICN23" s="3431"/>
      <c r="ICO23" s="3431"/>
      <c r="ICP23" s="3431"/>
      <c r="ICQ23" s="3431"/>
      <c r="ICR23" s="3431"/>
      <c r="ICS23" s="3431"/>
      <c r="ICT23" s="3431"/>
      <c r="ICU23" s="3431"/>
      <c r="ICV23" s="3431"/>
      <c r="ICW23" s="3431"/>
      <c r="ICX23" s="3431"/>
      <c r="ICY23" s="3431"/>
      <c r="ICZ23" s="3431"/>
      <c r="IDA23" s="3431"/>
      <c r="IDB23" s="3431"/>
      <c r="IDC23" s="3431"/>
      <c r="IDD23" s="3431"/>
      <c r="IDE23" s="3431"/>
      <c r="IDF23" s="3431"/>
      <c r="IDG23" s="3431"/>
      <c r="IDH23" s="3431"/>
      <c r="IDI23" s="3431"/>
      <c r="IDJ23" s="3431"/>
      <c r="IDK23" s="3431"/>
      <c r="IDL23" s="3431"/>
      <c r="IDM23" s="3431"/>
      <c r="IDN23" s="3431"/>
      <c r="IDO23" s="3431"/>
      <c r="IDP23" s="3431"/>
      <c r="IDQ23" s="3431"/>
      <c r="IDR23" s="3431"/>
      <c r="IDS23" s="3431"/>
      <c r="IDT23" s="3431"/>
      <c r="IDU23" s="3431"/>
      <c r="IDV23" s="3431"/>
      <c r="IDW23" s="3431"/>
      <c r="IDX23" s="3431"/>
      <c r="IDY23" s="3431"/>
      <c r="IDZ23" s="3431"/>
      <c r="IEA23" s="3431"/>
      <c r="IEB23" s="3431"/>
      <c r="IEC23" s="3431"/>
      <c r="IED23" s="3431"/>
      <c r="IEE23" s="3431"/>
      <c r="IEF23" s="3431"/>
      <c r="IEG23" s="3431"/>
      <c r="IEH23" s="3431"/>
      <c r="IEI23" s="3431"/>
      <c r="IEJ23" s="3431"/>
      <c r="IEK23" s="3431"/>
      <c r="IEL23" s="3431"/>
      <c r="IEM23" s="3431"/>
      <c r="IEN23" s="3431"/>
      <c r="IEO23" s="3431"/>
      <c r="IEP23" s="3431"/>
      <c r="IEQ23" s="3431"/>
      <c r="IER23" s="3431"/>
      <c r="IES23" s="3431"/>
      <c r="IET23" s="3431"/>
      <c r="IEU23" s="3431"/>
      <c r="IEV23" s="3431"/>
      <c r="IEW23" s="3431"/>
      <c r="IEX23" s="3431"/>
      <c r="IEY23" s="3431"/>
      <c r="IEZ23" s="3431"/>
      <c r="IFA23" s="3431"/>
      <c r="IFB23" s="3431"/>
      <c r="IFC23" s="3431"/>
      <c r="IFD23" s="3431"/>
      <c r="IFE23" s="3431"/>
      <c r="IFF23" s="3431"/>
      <c r="IFG23" s="3431"/>
      <c r="IFH23" s="3431"/>
      <c r="IFI23" s="3431"/>
      <c r="IFJ23" s="3431"/>
      <c r="IFK23" s="3431"/>
      <c r="IFL23" s="3431"/>
      <c r="IFM23" s="3431"/>
      <c r="IFN23" s="3431"/>
      <c r="IFO23" s="3431"/>
      <c r="IFP23" s="3431"/>
      <c r="IFQ23" s="3431"/>
      <c r="IFR23" s="3431"/>
      <c r="IFS23" s="3431"/>
      <c r="IFT23" s="3431"/>
      <c r="IFU23" s="3431"/>
      <c r="IFV23" s="3431"/>
      <c r="IFW23" s="3431"/>
      <c r="IFX23" s="3431"/>
      <c r="IFY23" s="3431"/>
      <c r="IFZ23" s="3431"/>
      <c r="IGA23" s="3431"/>
      <c r="IGB23" s="3431"/>
      <c r="IGC23" s="3431"/>
      <c r="IGD23" s="3431"/>
      <c r="IGE23" s="3431"/>
      <c r="IGF23" s="3431"/>
      <c r="IGG23" s="3431"/>
      <c r="IGH23" s="3431"/>
      <c r="IGI23" s="3431"/>
      <c r="IGJ23" s="3431"/>
      <c r="IGK23" s="3431"/>
      <c r="IGL23" s="3431"/>
      <c r="IGM23" s="3431"/>
      <c r="IGN23" s="3431"/>
      <c r="IGO23" s="3431"/>
      <c r="IGP23" s="3431"/>
      <c r="IGQ23" s="3431"/>
      <c r="IGR23" s="3431"/>
      <c r="IGS23" s="3431"/>
      <c r="IGT23" s="3431"/>
      <c r="IGU23" s="3431"/>
      <c r="IGV23" s="3431"/>
      <c r="IGW23" s="3431"/>
      <c r="IGX23" s="3431"/>
      <c r="IGY23" s="3431"/>
      <c r="IGZ23" s="3431"/>
      <c r="IHA23" s="3431"/>
      <c r="IHB23" s="3431"/>
      <c r="IHC23" s="3431"/>
      <c r="IHD23" s="3431"/>
      <c r="IHE23" s="3431"/>
      <c r="IHF23" s="3431"/>
      <c r="IHG23" s="3431"/>
      <c r="IHH23" s="3431"/>
      <c r="IHI23" s="3431"/>
      <c r="IHJ23" s="3431"/>
      <c r="IHK23" s="3431"/>
      <c r="IHL23" s="3431"/>
      <c r="IHM23" s="3431"/>
      <c r="IHN23" s="3431"/>
      <c r="IHO23" s="3431"/>
      <c r="IHP23" s="3431"/>
      <c r="IHQ23" s="3431"/>
      <c r="IHR23" s="3431"/>
      <c r="IHS23" s="3431"/>
      <c r="IHT23" s="3431"/>
      <c r="IHU23" s="3431"/>
      <c r="IHV23" s="3431"/>
      <c r="IHW23" s="3431"/>
      <c r="IHX23" s="3431"/>
      <c r="IHY23" s="3431"/>
      <c r="IHZ23" s="3431"/>
      <c r="IIA23" s="3431"/>
      <c r="IIB23" s="3431"/>
      <c r="IIC23" s="3431"/>
      <c r="IID23" s="3431"/>
      <c r="IIE23" s="3431"/>
      <c r="IIF23" s="3431"/>
      <c r="IIG23" s="3431"/>
      <c r="IIH23" s="3431"/>
      <c r="III23" s="3431"/>
      <c r="IIJ23" s="3431"/>
      <c r="IIK23" s="3431"/>
      <c r="IIL23" s="3431"/>
      <c r="IIM23" s="3431"/>
      <c r="IIN23" s="3431"/>
      <c r="IIO23" s="3431"/>
      <c r="IIP23" s="3431"/>
      <c r="IIQ23" s="3431"/>
      <c r="IIR23" s="3431"/>
      <c r="IIS23" s="3431"/>
      <c r="IIT23" s="3431"/>
      <c r="IIU23" s="3431"/>
      <c r="IIV23" s="3431"/>
      <c r="IIW23" s="3431"/>
      <c r="IIX23" s="3431"/>
      <c r="IIY23" s="3431"/>
      <c r="IIZ23" s="3431"/>
      <c r="IJA23" s="3431"/>
      <c r="IJB23" s="3431"/>
      <c r="IJC23" s="3431"/>
      <c r="IJD23" s="3431"/>
      <c r="IJE23" s="3431"/>
      <c r="IJF23" s="3431"/>
      <c r="IJG23" s="3431"/>
      <c r="IJH23" s="3431"/>
      <c r="IJI23" s="3431"/>
      <c r="IJJ23" s="3431"/>
      <c r="IJK23" s="3431"/>
      <c r="IJL23" s="3431"/>
      <c r="IJM23" s="3431"/>
      <c r="IJN23" s="3431"/>
      <c r="IJO23" s="3431"/>
      <c r="IJP23" s="3431"/>
      <c r="IJQ23" s="3431"/>
      <c r="IJR23" s="3431"/>
      <c r="IJS23" s="3431"/>
      <c r="IJT23" s="3431"/>
      <c r="IJU23" s="3431"/>
      <c r="IJV23" s="3431"/>
      <c r="IJW23" s="3431"/>
      <c r="IJX23" s="3431"/>
      <c r="IJY23" s="3431"/>
      <c r="IJZ23" s="3431"/>
      <c r="IKA23" s="3431"/>
      <c r="IKB23" s="3431"/>
      <c r="IKC23" s="3431"/>
      <c r="IKD23" s="3431"/>
      <c r="IKE23" s="3431"/>
      <c r="IKF23" s="3431"/>
      <c r="IKG23" s="3431"/>
      <c r="IKH23" s="3431"/>
      <c r="IKI23" s="3431"/>
      <c r="IKJ23" s="3431"/>
      <c r="IKK23" s="3431"/>
      <c r="IKL23" s="3431"/>
      <c r="IKM23" s="3431"/>
      <c r="IKN23" s="3431"/>
      <c r="IKO23" s="3431"/>
      <c r="IKP23" s="3431"/>
      <c r="IKQ23" s="3431"/>
      <c r="IKR23" s="3431"/>
      <c r="IKS23" s="3431"/>
      <c r="IKT23" s="3431"/>
      <c r="IKU23" s="3431"/>
      <c r="IKV23" s="3431"/>
      <c r="IKW23" s="3431"/>
      <c r="IKX23" s="3431"/>
      <c r="IKY23" s="3431"/>
      <c r="IKZ23" s="3431"/>
      <c r="ILA23" s="3431"/>
      <c r="ILB23" s="3431"/>
      <c r="ILC23" s="3431"/>
      <c r="ILD23" s="3431"/>
      <c r="ILE23" s="3431"/>
      <c r="ILF23" s="3431"/>
      <c r="ILG23" s="3431"/>
      <c r="ILH23" s="3431"/>
      <c r="ILI23" s="3431"/>
      <c r="ILJ23" s="3431"/>
      <c r="ILK23" s="3431"/>
      <c r="ILL23" s="3431"/>
      <c r="ILM23" s="3431"/>
      <c r="ILN23" s="3431"/>
      <c r="ILO23" s="3431"/>
      <c r="ILP23" s="3431"/>
      <c r="ILQ23" s="3431"/>
      <c r="ILR23" s="3431"/>
      <c r="ILS23" s="3431"/>
      <c r="ILT23" s="3431"/>
      <c r="ILU23" s="3431"/>
      <c r="ILV23" s="3431"/>
      <c r="ILW23" s="3431"/>
      <c r="ILX23" s="3431"/>
      <c r="ILY23" s="3431"/>
      <c r="ILZ23" s="3431"/>
      <c r="IMA23" s="3431"/>
      <c r="IMB23" s="3431"/>
      <c r="IMC23" s="3431"/>
      <c r="IMD23" s="3431"/>
      <c r="IME23" s="3431"/>
      <c r="IMF23" s="3431"/>
      <c r="IMG23" s="3431"/>
      <c r="IMH23" s="3431"/>
      <c r="IMI23" s="3431"/>
      <c r="IMJ23" s="3431"/>
      <c r="IMK23" s="3431"/>
      <c r="IML23" s="3431"/>
      <c r="IMM23" s="3431"/>
      <c r="IMN23" s="3431"/>
      <c r="IMO23" s="3431"/>
      <c r="IMP23" s="3431"/>
      <c r="IMQ23" s="3431"/>
      <c r="IMR23" s="3431"/>
      <c r="IMS23" s="3431"/>
      <c r="IMT23" s="3431"/>
      <c r="IMU23" s="3431"/>
      <c r="IMV23" s="3431"/>
      <c r="IMW23" s="3431"/>
      <c r="IMX23" s="3431"/>
      <c r="IMY23" s="3431"/>
      <c r="IMZ23" s="3431"/>
      <c r="INA23" s="3431"/>
      <c r="INB23" s="3431"/>
      <c r="INC23" s="3431"/>
      <c r="IND23" s="3431"/>
      <c r="INE23" s="3431"/>
      <c r="INF23" s="3431"/>
      <c r="ING23" s="3431"/>
      <c r="INH23" s="3431"/>
      <c r="INI23" s="3431"/>
      <c r="INJ23" s="3431"/>
      <c r="INK23" s="3431"/>
      <c r="INL23" s="3431"/>
      <c r="INM23" s="3431"/>
      <c r="INN23" s="3431"/>
      <c r="INO23" s="3431"/>
      <c r="INP23" s="3431"/>
      <c r="INQ23" s="3431"/>
      <c r="INR23" s="3431"/>
      <c r="INS23" s="3431"/>
      <c r="INT23" s="3431"/>
      <c r="INU23" s="3431"/>
      <c r="INV23" s="3431"/>
      <c r="INW23" s="3431"/>
      <c r="INX23" s="3431"/>
      <c r="INY23" s="3431"/>
      <c r="INZ23" s="3431"/>
      <c r="IOA23" s="3431"/>
      <c r="IOB23" s="3431"/>
      <c r="IOC23" s="3431"/>
      <c r="IOD23" s="3431"/>
      <c r="IOE23" s="3431"/>
      <c r="IOF23" s="3431"/>
      <c r="IOG23" s="3431"/>
      <c r="IOH23" s="3431"/>
      <c r="IOI23" s="3431"/>
      <c r="IOJ23" s="3431"/>
      <c r="IOK23" s="3431"/>
      <c r="IOL23" s="3431"/>
      <c r="IOM23" s="3431"/>
      <c r="ION23" s="3431"/>
      <c r="IOO23" s="3431"/>
      <c r="IOP23" s="3431"/>
      <c r="IOQ23" s="3431"/>
      <c r="IOR23" s="3431"/>
      <c r="IOS23" s="3431"/>
      <c r="IOT23" s="3431"/>
      <c r="IOU23" s="3431"/>
      <c r="IOV23" s="3431"/>
      <c r="IOW23" s="3431"/>
      <c r="IOX23" s="3431"/>
      <c r="IOY23" s="3431"/>
      <c r="IOZ23" s="3431"/>
      <c r="IPA23" s="3431"/>
      <c r="IPB23" s="3431"/>
      <c r="IPC23" s="3431"/>
      <c r="IPD23" s="3431"/>
      <c r="IPE23" s="3431"/>
      <c r="IPF23" s="3431"/>
      <c r="IPG23" s="3431"/>
      <c r="IPH23" s="3431"/>
      <c r="IPI23" s="3431"/>
      <c r="IPJ23" s="3431"/>
      <c r="IPK23" s="3431"/>
      <c r="IPL23" s="3431"/>
      <c r="IPM23" s="3431"/>
      <c r="IPN23" s="3431"/>
      <c r="IPO23" s="3431"/>
      <c r="IPP23" s="3431"/>
      <c r="IPQ23" s="3431"/>
      <c r="IPR23" s="3431"/>
      <c r="IPS23" s="3431"/>
      <c r="IPT23" s="3431"/>
      <c r="IPU23" s="3431"/>
      <c r="IPV23" s="3431"/>
      <c r="IPW23" s="3431"/>
      <c r="IPX23" s="3431"/>
      <c r="IPY23" s="3431"/>
      <c r="IPZ23" s="3431"/>
      <c r="IQA23" s="3431"/>
      <c r="IQB23" s="3431"/>
      <c r="IQC23" s="3431"/>
      <c r="IQD23" s="3431"/>
      <c r="IQE23" s="3431"/>
      <c r="IQF23" s="3431"/>
      <c r="IQG23" s="3431"/>
      <c r="IQH23" s="3431"/>
      <c r="IQI23" s="3431"/>
      <c r="IQJ23" s="3431"/>
      <c r="IQK23" s="3431"/>
      <c r="IQL23" s="3431"/>
      <c r="IQM23" s="3431"/>
      <c r="IQN23" s="3431"/>
      <c r="IQO23" s="3431"/>
      <c r="IQP23" s="3431"/>
      <c r="IQQ23" s="3431"/>
      <c r="IQR23" s="3431"/>
      <c r="IQS23" s="3431"/>
      <c r="IQT23" s="3431"/>
      <c r="IQU23" s="3431"/>
      <c r="IQV23" s="3431"/>
      <c r="IQW23" s="3431"/>
      <c r="IQX23" s="3431"/>
      <c r="IQY23" s="3431"/>
      <c r="IQZ23" s="3431"/>
      <c r="IRA23" s="3431"/>
      <c r="IRB23" s="3431"/>
      <c r="IRC23" s="3431"/>
      <c r="IRD23" s="3431"/>
      <c r="IRE23" s="3431"/>
      <c r="IRF23" s="3431"/>
      <c r="IRG23" s="3431"/>
      <c r="IRH23" s="3431"/>
      <c r="IRI23" s="3431"/>
      <c r="IRJ23" s="3431"/>
      <c r="IRK23" s="3431"/>
      <c r="IRL23" s="3431"/>
      <c r="IRM23" s="3431"/>
      <c r="IRN23" s="3431"/>
      <c r="IRO23" s="3431"/>
      <c r="IRP23" s="3431"/>
      <c r="IRQ23" s="3431"/>
      <c r="IRR23" s="3431"/>
      <c r="IRS23" s="3431"/>
      <c r="IRT23" s="3431"/>
      <c r="IRU23" s="3431"/>
      <c r="IRV23" s="3431"/>
      <c r="IRW23" s="3431"/>
      <c r="IRX23" s="3431"/>
      <c r="IRY23" s="3431"/>
      <c r="IRZ23" s="3431"/>
      <c r="ISA23" s="3431"/>
      <c r="ISB23" s="3431"/>
      <c r="ISC23" s="3431"/>
      <c r="ISD23" s="3431"/>
      <c r="ISE23" s="3431"/>
      <c r="ISF23" s="3431"/>
      <c r="ISG23" s="3431"/>
      <c r="ISH23" s="3431"/>
      <c r="ISI23" s="3431"/>
      <c r="ISJ23" s="3431"/>
      <c r="ISK23" s="3431"/>
      <c r="ISL23" s="3431"/>
      <c r="ISM23" s="3431"/>
      <c r="ISN23" s="3431"/>
      <c r="ISO23" s="3431"/>
      <c r="ISP23" s="3431"/>
      <c r="ISQ23" s="3431"/>
      <c r="ISR23" s="3431"/>
      <c r="ISS23" s="3431"/>
      <c r="IST23" s="3431"/>
      <c r="ISU23" s="3431"/>
      <c r="ISV23" s="3431"/>
      <c r="ISW23" s="3431"/>
      <c r="ISX23" s="3431"/>
      <c r="ISY23" s="3431"/>
      <c r="ISZ23" s="3431"/>
      <c r="ITA23" s="3431"/>
      <c r="ITB23" s="3431"/>
      <c r="ITC23" s="3431"/>
      <c r="ITD23" s="3431"/>
      <c r="ITE23" s="3431"/>
      <c r="ITF23" s="3431"/>
      <c r="ITG23" s="3431"/>
      <c r="ITH23" s="3431"/>
      <c r="ITI23" s="3431"/>
      <c r="ITJ23" s="3431"/>
      <c r="ITK23" s="3431"/>
      <c r="ITL23" s="3431"/>
      <c r="ITM23" s="3431"/>
      <c r="ITN23" s="3431"/>
      <c r="ITO23" s="3431"/>
      <c r="ITP23" s="3431"/>
      <c r="ITQ23" s="3431"/>
      <c r="ITR23" s="3431"/>
      <c r="ITS23" s="3431"/>
      <c r="ITT23" s="3431"/>
      <c r="ITU23" s="3431"/>
      <c r="ITV23" s="3431"/>
      <c r="ITW23" s="3431"/>
      <c r="ITX23" s="3431"/>
      <c r="ITY23" s="3431"/>
      <c r="ITZ23" s="3431"/>
      <c r="IUA23" s="3431"/>
      <c r="IUB23" s="3431"/>
      <c r="IUC23" s="3431"/>
      <c r="IUD23" s="3431"/>
      <c r="IUE23" s="3431"/>
      <c r="IUF23" s="3431"/>
      <c r="IUG23" s="3431"/>
      <c r="IUH23" s="3431"/>
      <c r="IUI23" s="3431"/>
      <c r="IUJ23" s="3431"/>
      <c r="IUK23" s="3431"/>
      <c r="IUL23" s="3431"/>
      <c r="IUM23" s="3431"/>
      <c r="IUN23" s="3431"/>
      <c r="IUO23" s="3431"/>
      <c r="IUP23" s="3431"/>
      <c r="IUQ23" s="3431"/>
      <c r="IUR23" s="3431"/>
      <c r="IUS23" s="3431"/>
      <c r="IUT23" s="3431"/>
      <c r="IUU23" s="3431"/>
      <c r="IUV23" s="3431"/>
      <c r="IUW23" s="3431"/>
      <c r="IUX23" s="3431"/>
      <c r="IUY23" s="3431"/>
      <c r="IUZ23" s="3431"/>
      <c r="IVA23" s="3431"/>
      <c r="IVB23" s="3431"/>
      <c r="IVC23" s="3431"/>
      <c r="IVD23" s="3431"/>
      <c r="IVE23" s="3431"/>
      <c r="IVF23" s="3431"/>
      <c r="IVG23" s="3431"/>
      <c r="IVH23" s="3431"/>
      <c r="IVI23" s="3431"/>
      <c r="IVJ23" s="3431"/>
      <c r="IVK23" s="3431"/>
      <c r="IVL23" s="3431"/>
      <c r="IVM23" s="3431"/>
      <c r="IVN23" s="3431"/>
      <c r="IVO23" s="3431"/>
      <c r="IVP23" s="3431"/>
      <c r="IVQ23" s="3431"/>
      <c r="IVR23" s="3431"/>
      <c r="IVS23" s="3431"/>
      <c r="IVT23" s="3431"/>
      <c r="IVU23" s="3431"/>
      <c r="IVV23" s="3431"/>
      <c r="IVW23" s="3431"/>
      <c r="IVX23" s="3431"/>
      <c r="IVY23" s="3431"/>
      <c r="IVZ23" s="3431"/>
      <c r="IWA23" s="3431"/>
      <c r="IWB23" s="3431"/>
      <c r="IWC23" s="3431"/>
      <c r="IWD23" s="3431"/>
      <c r="IWE23" s="3431"/>
      <c r="IWF23" s="3431"/>
      <c r="IWG23" s="3431"/>
      <c r="IWH23" s="3431"/>
      <c r="IWI23" s="3431"/>
      <c r="IWJ23" s="3431"/>
      <c r="IWK23" s="3431"/>
      <c r="IWL23" s="3431"/>
      <c r="IWM23" s="3431"/>
      <c r="IWN23" s="3431"/>
      <c r="IWO23" s="3431"/>
      <c r="IWP23" s="3431"/>
      <c r="IWQ23" s="3431"/>
      <c r="IWR23" s="3431"/>
      <c r="IWS23" s="3431"/>
      <c r="IWT23" s="3431"/>
      <c r="IWU23" s="3431"/>
      <c r="IWV23" s="3431"/>
      <c r="IWW23" s="3431"/>
      <c r="IWX23" s="3431"/>
      <c r="IWY23" s="3431"/>
      <c r="IWZ23" s="3431"/>
      <c r="IXA23" s="3431"/>
      <c r="IXB23" s="3431"/>
      <c r="IXC23" s="3431"/>
      <c r="IXD23" s="3431"/>
      <c r="IXE23" s="3431"/>
      <c r="IXF23" s="3431"/>
      <c r="IXG23" s="3431"/>
      <c r="IXH23" s="3431"/>
      <c r="IXI23" s="3431"/>
      <c r="IXJ23" s="3431"/>
      <c r="IXK23" s="3431"/>
      <c r="IXL23" s="3431"/>
      <c r="IXM23" s="3431"/>
      <c r="IXN23" s="3431"/>
      <c r="IXO23" s="3431"/>
      <c r="IXP23" s="3431"/>
      <c r="IXQ23" s="3431"/>
      <c r="IXR23" s="3431"/>
      <c r="IXS23" s="3431"/>
      <c r="IXT23" s="3431"/>
      <c r="IXU23" s="3431"/>
      <c r="IXV23" s="3431"/>
      <c r="IXW23" s="3431"/>
      <c r="IXX23" s="3431"/>
      <c r="IXY23" s="3431"/>
      <c r="IXZ23" s="3431"/>
      <c r="IYA23" s="3431"/>
      <c r="IYB23" s="3431"/>
      <c r="IYC23" s="3431"/>
      <c r="IYD23" s="3431"/>
      <c r="IYE23" s="3431"/>
      <c r="IYF23" s="3431"/>
      <c r="IYG23" s="3431"/>
      <c r="IYH23" s="3431"/>
      <c r="IYI23" s="3431"/>
      <c r="IYJ23" s="3431"/>
      <c r="IYK23" s="3431"/>
      <c r="IYL23" s="3431"/>
      <c r="IYM23" s="3431"/>
      <c r="IYN23" s="3431"/>
      <c r="IYO23" s="3431"/>
      <c r="IYP23" s="3431"/>
      <c r="IYQ23" s="3431"/>
      <c r="IYR23" s="3431"/>
      <c r="IYS23" s="3431"/>
      <c r="IYT23" s="3431"/>
      <c r="IYU23" s="3431"/>
      <c r="IYV23" s="3431"/>
      <c r="IYW23" s="3431"/>
      <c r="IYX23" s="3431"/>
      <c r="IYY23" s="3431"/>
      <c r="IYZ23" s="3431"/>
      <c r="IZA23" s="3431"/>
      <c r="IZB23" s="3431"/>
      <c r="IZC23" s="3431"/>
      <c r="IZD23" s="3431"/>
      <c r="IZE23" s="3431"/>
      <c r="IZF23" s="3431"/>
      <c r="IZG23" s="3431"/>
      <c r="IZH23" s="3431"/>
      <c r="IZI23" s="3431"/>
      <c r="IZJ23" s="3431"/>
      <c r="IZK23" s="3431"/>
      <c r="IZL23" s="3431"/>
      <c r="IZM23" s="3431"/>
      <c r="IZN23" s="3431"/>
      <c r="IZO23" s="3431"/>
      <c r="IZP23" s="3431"/>
      <c r="IZQ23" s="3431"/>
      <c r="IZR23" s="3431"/>
      <c r="IZS23" s="3431"/>
      <c r="IZT23" s="3431"/>
      <c r="IZU23" s="3431"/>
      <c r="IZV23" s="3431"/>
      <c r="IZW23" s="3431"/>
      <c r="IZX23" s="3431"/>
      <c r="IZY23" s="3431"/>
      <c r="IZZ23" s="3431"/>
      <c r="JAA23" s="3431"/>
      <c r="JAB23" s="3431"/>
      <c r="JAC23" s="3431"/>
      <c r="JAD23" s="3431"/>
      <c r="JAE23" s="3431"/>
      <c r="JAF23" s="3431"/>
      <c r="JAG23" s="3431"/>
      <c r="JAH23" s="3431"/>
      <c r="JAI23" s="3431"/>
      <c r="JAJ23" s="3431"/>
      <c r="JAK23" s="3431"/>
      <c r="JAL23" s="3431"/>
      <c r="JAM23" s="3431"/>
      <c r="JAN23" s="3431"/>
      <c r="JAO23" s="3431"/>
      <c r="JAP23" s="3431"/>
      <c r="JAQ23" s="3431"/>
      <c r="JAR23" s="3431"/>
      <c r="JAS23" s="3431"/>
      <c r="JAT23" s="3431"/>
      <c r="JAU23" s="3431"/>
      <c r="JAV23" s="3431"/>
      <c r="JAW23" s="3431"/>
      <c r="JAX23" s="3431"/>
      <c r="JAY23" s="3431"/>
      <c r="JAZ23" s="3431"/>
      <c r="JBA23" s="3431"/>
      <c r="JBB23" s="3431"/>
      <c r="JBC23" s="3431"/>
      <c r="JBD23" s="3431"/>
      <c r="JBE23" s="3431"/>
      <c r="JBF23" s="3431"/>
      <c r="JBG23" s="3431"/>
      <c r="JBH23" s="3431"/>
      <c r="JBI23" s="3431"/>
      <c r="JBJ23" s="3431"/>
      <c r="JBK23" s="3431"/>
      <c r="JBL23" s="3431"/>
      <c r="JBM23" s="3431"/>
      <c r="JBN23" s="3431"/>
      <c r="JBO23" s="3431"/>
      <c r="JBP23" s="3431"/>
      <c r="JBQ23" s="3431"/>
      <c r="JBR23" s="3431"/>
      <c r="JBS23" s="3431"/>
      <c r="JBT23" s="3431"/>
      <c r="JBU23" s="3431"/>
      <c r="JBV23" s="3431"/>
      <c r="JBW23" s="3431"/>
      <c r="JBX23" s="3431"/>
      <c r="JBY23" s="3431"/>
      <c r="JBZ23" s="3431"/>
      <c r="JCA23" s="3431"/>
      <c r="JCB23" s="3431"/>
      <c r="JCC23" s="3431"/>
      <c r="JCD23" s="3431"/>
      <c r="JCE23" s="3431"/>
      <c r="JCF23" s="3431"/>
      <c r="JCG23" s="3431"/>
      <c r="JCH23" s="3431"/>
      <c r="JCI23" s="3431"/>
      <c r="JCJ23" s="3431"/>
      <c r="JCK23" s="3431"/>
      <c r="JCL23" s="3431"/>
      <c r="JCM23" s="3431"/>
      <c r="JCN23" s="3431"/>
      <c r="JCO23" s="3431"/>
      <c r="JCP23" s="3431"/>
      <c r="JCQ23" s="3431"/>
      <c r="JCR23" s="3431"/>
      <c r="JCS23" s="3431"/>
      <c r="JCT23" s="3431"/>
      <c r="JCU23" s="3431"/>
      <c r="JCV23" s="3431"/>
      <c r="JCW23" s="3431"/>
      <c r="JCX23" s="3431"/>
      <c r="JCY23" s="3431"/>
      <c r="JCZ23" s="3431"/>
      <c r="JDA23" s="3431"/>
      <c r="JDB23" s="3431"/>
      <c r="JDC23" s="3431"/>
      <c r="JDD23" s="3431"/>
      <c r="JDE23" s="3431"/>
      <c r="JDF23" s="3431"/>
      <c r="JDG23" s="3431"/>
      <c r="JDH23" s="3431"/>
      <c r="JDI23" s="3431"/>
      <c r="JDJ23" s="3431"/>
      <c r="JDK23" s="3431"/>
      <c r="JDL23" s="3431"/>
      <c r="JDM23" s="3431"/>
      <c r="JDN23" s="3431"/>
      <c r="JDO23" s="3431"/>
      <c r="JDP23" s="3431"/>
      <c r="JDQ23" s="3431"/>
      <c r="JDR23" s="3431"/>
      <c r="JDS23" s="3431"/>
      <c r="JDT23" s="3431"/>
      <c r="JDU23" s="3431"/>
      <c r="JDV23" s="3431"/>
      <c r="JDW23" s="3431"/>
      <c r="JDX23" s="3431"/>
      <c r="JDY23" s="3431"/>
      <c r="JDZ23" s="3431"/>
      <c r="JEA23" s="3431"/>
      <c r="JEB23" s="3431"/>
      <c r="JEC23" s="3431"/>
      <c r="JED23" s="3431"/>
      <c r="JEE23" s="3431"/>
      <c r="JEF23" s="3431"/>
      <c r="JEG23" s="3431"/>
      <c r="JEH23" s="3431"/>
      <c r="JEI23" s="3431"/>
      <c r="JEJ23" s="3431"/>
      <c r="JEK23" s="3431"/>
      <c r="JEL23" s="3431"/>
      <c r="JEM23" s="3431"/>
      <c r="JEN23" s="3431"/>
      <c r="JEO23" s="3431"/>
      <c r="JEP23" s="3431"/>
      <c r="JEQ23" s="3431"/>
      <c r="JER23" s="3431"/>
      <c r="JES23" s="3431"/>
      <c r="JET23" s="3431"/>
      <c r="JEU23" s="3431"/>
      <c r="JEV23" s="3431"/>
      <c r="JEW23" s="3431"/>
      <c r="JEX23" s="3431"/>
      <c r="JEY23" s="3431"/>
      <c r="JEZ23" s="3431"/>
      <c r="JFA23" s="3431"/>
      <c r="JFB23" s="3431"/>
      <c r="JFC23" s="3431"/>
      <c r="JFD23" s="3431"/>
      <c r="JFE23" s="3431"/>
      <c r="JFF23" s="3431"/>
      <c r="JFG23" s="3431"/>
      <c r="JFH23" s="3431"/>
      <c r="JFI23" s="3431"/>
      <c r="JFJ23" s="3431"/>
      <c r="JFK23" s="3431"/>
      <c r="JFL23" s="3431"/>
      <c r="JFM23" s="3431"/>
      <c r="JFN23" s="3431"/>
      <c r="JFO23" s="3431"/>
      <c r="JFP23" s="3431"/>
      <c r="JFQ23" s="3431"/>
      <c r="JFR23" s="3431"/>
      <c r="JFS23" s="3431"/>
      <c r="JFT23" s="3431"/>
      <c r="JFU23" s="3431"/>
      <c r="JFV23" s="3431"/>
      <c r="JFW23" s="3431"/>
      <c r="JFX23" s="3431"/>
      <c r="JFY23" s="3431"/>
      <c r="JFZ23" s="3431"/>
      <c r="JGA23" s="3431"/>
      <c r="JGB23" s="3431"/>
      <c r="JGC23" s="3431"/>
      <c r="JGD23" s="3431"/>
      <c r="JGE23" s="3431"/>
      <c r="JGF23" s="3431"/>
      <c r="JGG23" s="3431"/>
      <c r="JGH23" s="3431"/>
      <c r="JGI23" s="3431"/>
      <c r="JGJ23" s="3431"/>
      <c r="JGK23" s="3431"/>
      <c r="JGL23" s="3431"/>
      <c r="JGM23" s="3431"/>
      <c r="JGN23" s="3431"/>
      <c r="JGO23" s="3431"/>
      <c r="JGP23" s="3431"/>
      <c r="JGQ23" s="3431"/>
      <c r="JGR23" s="3431"/>
      <c r="JGS23" s="3431"/>
      <c r="JGT23" s="3431"/>
      <c r="JGU23" s="3431"/>
      <c r="JGV23" s="3431"/>
      <c r="JGW23" s="3431"/>
      <c r="JGX23" s="3431"/>
      <c r="JGY23" s="3431"/>
      <c r="JGZ23" s="3431"/>
      <c r="JHA23" s="3431"/>
      <c r="JHB23" s="3431"/>
      <c r="JHC23" s="3431"/>
      <c r="JHD23" s="3431"/>
      <c r="JHE23" s="3431"/>
      <c r="JHF23" s="3431"/>
      <c r="JHG23" s="3431"/>
      <c r="JHH23" s="3431"/>
      <c r="JHI23" s="3431"/>
      <c r="JHJ23" s="3431"/>
      <c r="JHK23" s="3431"/>
      <c r="JHL23" s="3431"/>
      <c r="JHM23" s="3431"/>
      <c r="JHN23" s="3431"/>
      <c r="JHO23" s="3431"/>
      <c r="JHP23" s="3431"/>
      <c r="JHQ23" s="3431"/>
      <c r="JHR23" s="3431"/>
      <c r="JHS23" s="3431"/>
      <c r="JHT23" s="3431"/>
      <c r="JHU23" s="3431"/>
      <c r="JHV23" s="3431"/>
      <c r="JHW23" s="3431"/>
      <c r="JHX23" s="3431"/>
      <c r="JHY23" s="3431"/>
      <c r="JHZ23" s="3431"/>
      <c r="JIA23" s="3431"/>
      <c r="JIB23" s="3431"/>
      <c r="JIC23" s="3431"/>
      <c r="JID23" s="3431"/>
      <c r="JIE23" s="3431"/>
      <c r="JIF23" s="3431"/>
      <c r="JIG23" s="3431"/>
      <c r="JIH23" s="3431"/>
      <c r="JII23" s="3431"/>
      <c r="JIJ23" s="3431"/>
      <c r="JIK23" s="3431"/>
      <c r="JIL23" s="3431"/>
      <c r="JIM23" s="3431"/>
      <c r="JIN23" s="3431"/>
      <c r="JIO23" s="3431"/>
      <c r="JIP23" s="3431"/>
      <c r="JIQ23" s="3431"/>
      <c r="JIR23" s="3431"/>
      <c r="JIS23" s="3431"/>
      <c r="JIT23" s="3431"/>
      <c r="JIU23" s="3431"/>
      <c r="JIV23" s="3431"/>
      <c r="JIW23" s="3431"/>
      <c r="JIX23" s="3431"/>
      <c r="JIY23" s="3431"/>
      <c r="JIZ23" s="3431"/>
      <c r="JJA23" s="3431"/>
      <c r="JJB23" s="3431"/>
      <c r="JJC23" s="3431"/>
      <c r="JJD23" s="3431"/>
      <c r="JJE23" s="3431"/>
      <c r="JJF23" s="3431"/>
      <c r="JJG23" s="3431"/>
      <c r="JJH23" s="3431"/>
      <c r="JJI23" s="3431"/>
      <c r="JJJ23" s="3431"/>
      <c r="JJK23" s="3431"/>
      <c r="JJL23" s="3431"/>
      <c r="JJM23" s="3431"/>
      <c r="JJN23" s="3431"/>
      <c r="JJO23" s="3431"/>
      <c r="JJP23" s="3431"/>
      <c r="JJQ23" s="3431"/>
      <c r="JJR23" s="3431"/>
      <c r="JJS23" s="3431"/>
      <c r="JJT23" s="3431"/>
      <c r="JJU23" s="3431"/>
      <c r="JJV23" s="3431"/>
      <c r="JJW23" s="3431"/>
      <c r="JJX23" s="3431"/>
      <c r="JJY23" s="3431"/>
      <c r="JJZ23" s="3431"/>
      <c r="JKA23" s="3431"/>
      <c r="JKB23" s="3431"/>
      <c r="JKC23" s="3431"/>
      <c r="JKD23" s="3431"/>
      <c r="JKE23" s="3431"/>
      <c r="JKF23" s="3431"/>
      <c r="JKG23" s="3431"/>
      <c r="JKH23" s="3431"/>
      <c r="JKI23" s="3431"/>
      <c r="JKJ23" s="3431"/>
      <c r="JKK23" s="3431"/>
      <c r="JKL23" s="3431"/>
      <c r="JKM23" s="3431"/>
      <c r="JKN23" s="3431"/>
      <c r="JKO23" s="3431"/>
      <c r="JKP23" s="3431"/>
      <c r="JKQ23" s="3431"/>
      <c r="JKR23" s="3431"/>
      <c r="JKS23" s="3431"/>
      <c r="JKT23" s="3431"/>
      <c r="JKU23" s="3431"/>
      <c r="JKV23" s="3431"/>
      <c r="JKW23" s="3431"/>
      <c r="JKX23" s="3431"/>
      <c r="JKY23" s="3431"/>
      <c r="JKZ23" s="3431"/>
      <c r="JLA23" s="3431"/>
      <c r="JLB23" s="3431"/>
      <c r="JLC23" s="3431"/>
      <c r="JLD23" s="3431"/>
      <c r="JLE23" s="3431"/>
      <c r="JLF23" s="3431"/>
      <c r="JLG23" s="3431"/>
      <c r="JLH23" s="3431"/>
      <c r="JLI23" s="3431"/>
      <c r="JLJ23" s="3431"/>
      <c r="JLK23" s="3431"/>
      <c r="JLL23" s="3431"/>
      <c r="JLM23" s="3431"/>
      <c r="JLN23" s="3431"/>
      <c r="JLO23" s="3431"/>
      <c r="JLP23" s="3431"/>
      <c r="JLQ23" s="3431"/>
      <c r="JLR23" s="3431"/>
      <c r="JLS23" s="3431"/>
      <c r="JLT23" s="3431"/>
      <c r="JLU23" s="3431"/>
      <c r="JLV23" s="3431"/>
      <c r="JLW23" s="3431"/>
      <c r="JLX23" s="3431"/>
      <c r="JLY23" s="3431"/>
      <c r="JLZ23" s="3431"/>
      <c r="JMA23" s="3431"/>
      <c r="JMB23" s="3431"/>
      <c r="JMC23" s="3431"/>
      <c r="JMD23" s="3431"/>
      <c r="JME23" s="3431"/>
      <c r="JMF23" s="3431"/>
      <c r="JMG23" s="3431"/>
      <c r="JMH23" s="3431"/>
      <c r="JMI23" s="3431"/>
      <c r="JMJ23" s="3431"/>
      <c r="JMK23" s="3431"/>
      <c r="JML23" s="3431"/>
      <c r="JMM23" s="3431"/>
      <c r="JMN23" s="3431"/>
      <c r="JMO23" s="3431"/>
      <c r="JMP23" s="3431"/>
      <c r="JMQ23" s="3431"/>
      <c r="JMR23" s="3431"/>
      <c r="JMS23" s="3431"/>
      <c r="JMT23" s="3431"/>
      <c r="JMU23" s="3431"/>
      <c r="JMV23" s="3431"/>
      <c r="JMW23" s="3431"/>
      <c r="JMX23" s="3431"/>
      <c r="JMY23" s="3431"/>
      <c r="JMZ23" s="3431"/>
      <c r="JNA23" s="3431"/>
      <c r="JNB23" s="3431"/>
      <c r="JNC23" s="3431"/>
      <c r="JND23" s="3431"/>
      <c r="JNE23" s="3431"/>
      <c r="JNF23" s="3431"/>
      <c r="JNG23" s="3431"/>
      <c r="JNH23" s="3431"/>
      <c r="JNI23" s="3431"/>
      <c r="JNJ23" s="3431"/>
      <c r="JNK23" s="3431"/>
      <c r="JNL23" s="3431"/>
      <c r="JNM23" s="3431"/>
      <c r="JNN23" s="3431"/>
      <c r="JNO23" s="3431"/>
      <c r="JNP23" s="3431"/>
      <c r="JNQ23" s="3431"/>
      <c r="JNR23" s="3431"/>
      <c r="JNS23" s="3431"/>
      <c r="JNT23" s="3431"/>
      <c r="JNU23" s="3431"/>
      <c r="JNV23" s="3431"/>
      <c r="JNW23" s="3431"/>
      <c r="JNX23" s="3431"/>
      <c r="JNY23" s="3431"/>
      <c r="JNZ23" s="3431"/>
      <c r="JOA23" s="3431"/>
      <c r="JOB23" s="3431"/>
      <c r="JOC23" s="3431"/>
      <c r="JOD23" s="3431"/>
      <c r="JOE23" s="3431"/>
      <c r="JOF23" s="3431"/>
      <c r="JOG23" s="3431"/>
      <c r="JOH23" s="3431"/>
      <c r="JOI23" s="3431"/>
      <c r="JOJ23" s="3431"/>
      <c r="JOK23" s="3431"/>
      <c r="JOL23" s="3431"/>
      <c r="JOM23" s="3431"/>
      <c r="JON23" s="3431"/>
      <c r="JOO23" s="3431"/>
      <c r="JOP23" s="3431"/>
      <c r="JOQ23" s="3431"/>
      <c r="JOR23" s="3431"/>
      <c r="JOS23" s="3431"/>
      <c r="JOT23" s="3431"/>
      <c r="JOU23" s="3431"/>
      <c r="JOV23" s="3431"/>
      <c r="JOW23" s="3431"/>
      <c r="JOX23" s="3431"/>
      <c r="JOY23" s="3431"/>
      <c r="JOZ23" s="3431"/>
      <c r="JPA23" s="3431"/>
      <c r="JPB23" s="3431"/>
      <c r="JPC23" s="3431"/>
      <c r="JPD23" s="3431"/>
      <c r="JPE23" s="3431"/>
      <c r="JPF23" s="3431"/>
      <c r="JPG23" s="3431"/>
      <c r="JPH23" s="3431"/>
      <c r="JPI23" s="3431"/>
      <c r="JPJ23" s="3431"/>
      <c r="JPK23" s="3431"/>
      <c r="JPL23" s="3431"/>
      <c r="JPM23" s="3431"/>
      <c r="JPN23" s="3431"/>
      <c r="JPO23" s="3431"/>
      <c r="JPP23" s="3431"/>
      <c r="JPQ23" s="3431"/>
      <c r="JPR23" s="3431"/>
      <c r="JPS23" s="3431"/>
      <c r="JPT23" s="3431"/>
      <c r="JPU23" s="3431"/>
      <c r="JPV23" s="3431"/>
      <c r="JPW23" s="3431"/>
      <c r="JPX23" s="3431"/>
      <c r="JPY23" s="3431"/>
      <c r="JPZ23" s="3431"/>
      <c r="JQA23" s="3431"/>
      <c r="JQB23" s="3431"/>
      <c r="JQC23" s="3431"/>
      <c r="JQD23" s="3431"/>
      <c r="JQE23" s="3431"/>
      <c r="JQF23" s="3431"/>
      <c r="JQG23" s="3431"/>
      <c r="JQH23" s="3431"/>
      <c r="JQI23" s="3431"/>
      <c r="JQJ23" s="3431"/>
      <c r="JQK23" s="3431"/>
      <c r="JQL23" s="3431"/>
      <c r="JQM23" s="3431"/>
      <c r="JQN23" s="3431"/>
      <c r="JQO23" s="3431"/>
      <c r="JQP23" s="3431"/>
      <c r="JQQ23" s="3431"/>
      <c r="JQR23" s="3431"/>
      <c r="JQS23" s="3431"/>
      <c r="JQT23" s="3431"/>
      <c r="JQU23" s="3431"/>
      <c r="JQV23" s="3431"/>
      <c r="JQW23" s="3431"/>
      <c r="JQX23" s="3431"/>
      <c r="JQY23" s="3431"/>
      <c r="JQZ23" s="3431"/>
      <c r="JRA23" s="3431"/>
      <c r="JRB23" s="3431"/>
      <c r="JRC23" s="3431"/>
      <c r="JRD23" s="3431"/>
      <c r="JRE23" s="3431"/>
      <c r="JRF23" s="3431"/>
      <c r="JRG23" s="3431"/>
      <c r="JRH23" s="3431"/>
      <c r="JRI23" s="3431"/>
      <c r="JRJ23" s="3431"/>
      <c r="JRK23" s="3431"/>
      <c r="JRL23" s="3431"/>
      <c r="JRM23" s="3431"/>
      <c r="JRN23" s="3431"/>
      <c r="JRO23" s="3431"/>
      <c r="JRP23" s="3431"/>
      <c r="JRQ23" s="3431"/>
      <c r="JRR23" s="3431"/>
      <c r="JRS23" s="3431"/>
      <c r="JRT23" s="3431"/>
      <c r="JRU23" s="3431"/>
      <c r="JRV23" s="3431"/>
      <c r="JRW23" s="3431"/>
      <c r="JRX23" s="3431"/>
      <c r="JRY23" s="3431"/>
      <c r="JRZ23" s="3431"/>
      <c r="JSA23" s="3431"/>
      <c r="JSB23" s="3431"/>
      <c r="JSC23" s="3431"/>
      <c r="JSD23" s="3431"/>
      <c r="JSE23" s="3431"/>
      <c r="JSF23" s="3431"/>
      <c r="JSG23" s="3431"/>
      <c r="JSH23" s="3431"/>
      <c r="JSI23" s="3431"/>
      <c r="JSJ23" s="3431"/>
      <c r="JSK23" s="3431"/>
      <c r="JSL23" s="3431"/>
      <c r="JSM23" s="3431"/>
      <c r="JSN23" s="3431"/>
      <c r="JSO23" s="3431"/>
      <c r="JSP23" s="3431"/>
      <c r="JSQ23" s="3431"/>
      <c r="JSR23" s="3431"/>
      <c r="JSS23" s="3431"/>
      <c r="JST23" s="3431"/>
      <c r="JSU23" s="3431"/>
      <c r="JSV23" s="3431"/>
      <c r="JSW23" s="3431"/>
      <c r="JSX23" s="3431"/>
      <c r="JSY23" s="3431"/>
      <c r="JSZ23" s="3431"/>
      <c r="JTA23" s="3431"/>
      <c r="JTB23" s="3431"/>
      <c r="JTC23" s="3431"/>
      <c r="JTD23" s="3431"/>
      <c r="JTE23" s="3431"/>
      <c r="JTF23" s="3431"/>
      <c r="JTG23" s="3431"/>
      <c r="JTH23" s="3431"/>
      <c r="JTI23" s="3431"/>
      <c r="JTJ23" s="3431"/>
      <c r="JTK23" s="3431"/>
      <c r="JTL23" s="3431"/>
      <c r="JTM23" s="3431"/>
      <c r="JTN23" s="3431"/>
      <c r="JTO23" s="3431"/>
      <c r="JTP23" s="3431"/>
      <c r="JTQ23" s="3431"/>
      <c r="JTR23" s="3431"/>
      <c r="JTS23" s="3431"/>
      <c r="JTT23" s="3431"/>
      <c r="JTU23" s="3431"/>
      <c r="JTV23" s="3431"/>
      <c r="JTW23" s="3431"/>
      <c r="JTX23" s="3431"/>
      <c r="JTY23" s="3431"/>
      <c r="JTZ23" s="3431"/>
      <c r="JUA23" s="3431"/>
      <c r="JUB23" s="3431"/>
      <c r="JUC23" s="3431"/>
      <c r="JUD23" s="3431"/>
      <c r="JUE23" s="3431"/>
      <c r="JUF23" s="3431"/>
      <c r="JUG23" s="3431"/>
      <c r="JUH23" s="3431"/>
      <c r="JUI23" s="3431"/>
      <c r="JUJ23" s="3431"/>
      <c r="JUK23" s="3431"/>
      <c r="JUL23" s="3431"/>
      <c r="JUM23" s="3431"/>
      <c r="JUN23" s="3431"/>
      <c r="JUO23" s="3431"/>
      <c r="JUP23" s="3431"/>
      <c r="JUQ23" s="3431"/>
      <c r="JUR23" s="3431"/>
      <c r="JUS23" s="3431"/>
      <c r="JUT23" s="3431"/>
      <c r="JUU23" s="3431"/>
      <c r="JUV23" s="3431"/>
      <c r="JUW23" s="3431"/>
      <c r="JUX23" s="3431"/>
      <c r="JUY23" s="3431"/>
      <c r="JUZ23" s="3431"/>
      <c r="JVA23" s="3431"/>
      <c r="JVB23" s="3431"/>
      <c r="JVC23" s="3431"/>
      <c r="JVD23" s="3431"/>
      <c r="JVE23" s="3431"/>
      <c r="JVF23" s="3431"/>
      <c r="JVG23" s="3431"/>
      <c r="JVH23" s="3431"/>
      <c r="JVI23" s="3431"/>
      <c r="JVJ23" s="3431"/>
      <c r="JVK23" s="3431"/>
      <c r="JVL23" s="3431"/>
      <c r="JVM23" s="3431"/>
      <c r="JVN23" s="3431"/>
      <c r="JVO23" s="3431"/>
      <c r="JVP23" s="3431"/>
      <c r="JVQ23" s="3431"/>
      <c r="JVR23" s="3431"/>
      <c r="JVS23" s="3431"/>
      <c r="JVT23" s="3431"/>
      <c r="JVU23" s="3431"/>
      <c r="JVV23" s="3431"/>
      <c r="JVW23" s="3431"/>
      <c r="JVX23" s="3431"/>
      <c r="JVY23" s="3431"/>
      <c r="JVZ23" s="3431"/>
      <c r="JWA23" s="3431"/>
      <c r="JWB23" s="3431"/>
      <c r="JWC23" s="3431"/>
      <c r="JWD23" s="3431"/>
      <c r="JWE23" s="3431"/>
      <c r="JWF23" s="3431"/>
      <c r="JWG23" s="3431"/>
      <c r="JWH23" s="3431"/>
      <c r="JWI23" s="3431"/>
      <c r="JWJ23" s="3431"/>
      <c r="JWK23" s="3431"/>
      <c r="JWL23" s="3431"/>
      <c r="JWM23" s="3431"/>
      <c r="JWN23" s="3431"/>
      <c r="JWO23" s="3431"/>
      <c r="JWP23" s="3431"/>
      <c r="JWQ23" s="3431"/>
      <c r="JWR23" s="3431"/>
      <c r="JWS23" s="3431"/>
      <c r="JWT23" s="3431"/>
      <c r="JWU23" s="3431"/>
      <c r="JWV23" s="3431"/>
      <c r="JWW23" s="3431"/>
      <c r="JWX23" s="3431"/>
      <c r="JWY23" s="3431"/>
      <c r="JWZ23" s="3431"/>
      <c r="JXA23" s="3431"/>
      <c r="JXB23" s="3431"/>
      <c r="JXC23" s="3431"/>
      <c r="JXD23" s="3431"/>
      <c r="JXE23" s="3431"/>
      <c r="JXF23" s="3431"/>
      <c r="JXG23" s="3431"/>
      <c r="JXH23" s="3431"/>
      <c r="JXI23" s="3431"/>
      <c r="JXJ23" s="3431"/>
      <c r="JXK23" s="3431"/>
      <c r="JXL23" s="3431"/>
      <c r="JXM23" s="3431"/>
      <c r="JXN23" s="3431"/>
      <c r="JXO23" s="3431"/>
      <c r="JXP23" s="3431"/>
      <c r="JXQ23" s="3431"/>
      <c r="JXR23" s="3431"/>
      <c r="JXS23" s="3431"/>
      <c r="JXT23" s="3431"/>
      <c r="JXU23" s="3431"/>
      <c r="JXV23" s="3431"/>
      <c r="JXW23" s="3431"/>
      <c r="JXX23" s="3431"/>
      <c r="JXY23" s="3431"/>
      <c r="JXZ23" s="3431"/>
      <c r="JYA23" s="3431"/>
      <c r="JYB23" s="3431"/>
      <c r="JYC23" s="3431"/>
      <c r="JYD23" s="3431"/>
      <c r="JYE23" s="3431"/>
      <c r="JYF23" s="3431"/>
      <c r="JYG23" s="3431"/>
      <c r="JYH23" s="3431"/>
      <c r="JYI23" s="3431"/>
      <c r="JYJ23" s="3431"/>
      <c r="JYK23" s="3431"/>
      <c r="JYL23" s="3431"/>
      <c r="JYM23" s="3431"/>
      <c r="JYN23" s="3431"/>
      <c r="JYO23" s="3431"/>
      <c r="JYP23" s="3431"/>
      <c r="JYQ23" s="3431"/>
      <c r="JYR23" s="3431"/>
      <c r="JYS23" s="3431"/>
      <c r="JYT23" s="3431"/>
      <c r="JYU23" s="3431"/>
      <c r="JYV23" s="3431"/>
      <c r="JYW23" s="3431"/>
      <c r="JYX23" s="3431"/>
      <c r="JYY23" s="3431"/>
      <c r="JYZ23" s="3431"/>
      <c r="JZA23" s="3431"/>
      <c r="JZB23" s="3431"/>
      <c r="JZC23" s="3431"/>
      <c r="JZD23" s="3431"/>
      <c r="JZE23" s="3431"/>
      <c r="JZF23" s="3431"/>
      <c r="JZG23" s="3431"/>
      <c r="JZH23" s="3431"/>
      <c r="JZI23" s="3431"/>
      <c r="JZJ23" s="3431"/>
      <c r="JZK23" s="3431"/>
      <c r="JZL23" s="3431"/>
      <c r="JZM23" s="3431"/>
      <c r="JZN23" s="3431"/>
      <c r="JZO23" s="3431"/>
      <c r="JZP23" s="3431"/>
      <c r="JZQ23" s="3431"/>
      <c r="JZR23" s="3431"/>
      <c r="JZS23" s="3431"/>
      <c r="JZT23" s="3431"/>
      <c r="JZU23" s="3431"/>
      <c r="JZV23" s="3431"/>
      <c r="JZW23" s="3431"/>
      <c r="JZX23" s="3431"/>
      <c r="JZY23" s="3431"/>
      <c r="JZZ23" s="3431"/>
      <c r="KAA23" s="3431"/>
      <c r="KAB23" s="3431"/>
      <c r="KAC23" s="3431"/>
      <c r="KAD23" s="3431"/>
      <c r="KAE23" s="3431"/>
      <c r="KAF23" s="3431"/>
      <c r="KAG23" s="3431"/>
      <c r="KAH23" s="3431"/>
      <c r="KAI23" s="3431"/>
      <c r="KAJ23" s="3431"/>
      <c r="KAK23" s="3431"/>
      <c r="KAL23" s="3431"/>
      <c r="KAM23" s="3431"/>
      <c r="KAN23" s="3431"/>
      <c r="KAO23" s="3431"/>
      <c r="KAP23" s="3431"/>
      <c r="KAQ23" s="3431"/>
      <c r="KAR23" s="3431"/>
      <c r="KAS23" s="3431"/>
      <c r="KAT23" s="3431"/>
      <c r="KAU23" s="3431"/>
      <c r="KAV23" s="3431"/>
      <c r="KAW23" s="3431"/>
      <c r="KAX23" s="3431"/>
      <c r="KAY23" s="3431"/>
      <c r="KAZ23" s="3431"/>
      <c r="KBA23" s="3431"/>
      <c r="KBB23" s="3431"/>
      <c r="KBC23" s="3431"/>
      <c r="KBD23" s="3431"/>
      <c r="KBE23" s="3431"/>
      <c r="KBF23" s="3431"/>
      <c r="KBG23" s="3431"/>
      <c r="KBH23" s="3431"/>
      <c r="KBI23" s="3431"/>
      <c r="KBJ23" s="3431"/>
      <c r="KBK23" s="3431"/>
      <c r="KBL23" s="3431"/>
      <c r="KBM23" s="3431"/>
      <c r="KBN23" s="3431"/>
      <c r="KBO23" s="3431"/>
      <c r="KBP23" s="3431"/>
      <c r="KBQ23" s="3431"/>
      <c r="KBR23" s="3431"/>
      <c r="KBS23" s="3431"/>
      <c r="KBT23" s="3431"/>
      <c r="KBU23" s="3431"/>
      <c r="KBV23" s="3431"/>
      <c r="KBW23" s="3431"/>
      <c r="KBX23" s="3431"/>
      <c r="KBY23" s="3431"/>
      <c r="KBZ23" s="3431"/>
      <c r="KCA23" s="3431"/>
      <c r="KCB23" s="3431"/>
      <c r="KCC23" s="3431"/>
      <c r="KCD23" s="3431"/>
      <c r="KCE23" s="3431"/>
      <c r="KCF23" s="3431"/>
      <c r="KCG23" s="3431"/>
      <c r="KCH23" s="3431"/>
      <c r="KCI23" s="3431"/>
      <c r="KCJ23" s="3431"/>
      <c r="KCK23" s="3431"/>
      <c r="KCL23" s="3431"/>
      <c r="KCM23" s="3431"/>
      <c r="KCN23" s="3431"/>
      <c r="KCO23" s="3431"/>
      <c r="KCP23" s="3431"/>
      <c r="KCQ23" s="3431"/>
      <c r="KCR23" s="3431"/>
      <c r="KCS23" s="3431"/>
      <c r="KCT23" s="3431"/>
      <c r="KCU23" s="3431"/>
      <c r="KCV23" s="3431"/>
      <c r="KCW23" s="3431"/>
      <c r="KCX23" s="3431"/>
      <c r="KCY23" s="3431"/>
      <c r="KCZ23" s="3431"/>
      <c r="KDA23" s="3431"/>
      <c r="KDB23" s="3431"/>
      <c r="KDC23" s="3431"/>
      <c r="KDD23" s="3431"/>
      <c r="KDE23" s="3431"/>
      <c r="KDF23" s="3431"/>
      <c r="KDG23" s="3431"/>
      <c r="KDH23" s="3431"/>
      <c r="KDI23" s="3431"/>
      <c r="KDJ23" s="3431"/>
      <c r="KDK23" s="3431"/>
      <c r="KDL23" s="3431"/>
      <c r="KDM23" s="3431"/>
      <c r="KDN23" s="3431"/>
      <c r="KDO23" s="3431"/>
      <c r="KDP23" s="3431"/>
      <c r="KDQ23" s="3431"/>
      <c r="KDR23" s="3431"/>
      <c r="KDS23" s="3431"/>
      <c r="KDT23" s="3431"/>
      <c r="KDU23" s="3431"/>
      <c r="KDV23" s="3431"/>
      <c r="KDW23" s="3431"/>
      <c r="KDX23" s="3431"/>
      <c r="KDY23" s="3431"/>
      <c r="KDZ23" s="3431"/>
      <c r="KEA23" s="3431"/>
      <c r="KEB23" s="3431"/>
      <c r="KEC23" s="3431"/>
      <c r="KED23" s="3431"/>
      <c r="KEE23" s="3431"/>
      <c r="KEF23" s="3431"/>
      <c r="KEG23" s="3431"/>
      <c r="KEH23" s="3431"/>
      <c r="KEI23" s="3431"/>
      <c r="KEJ23" s="3431"/>
      <c r="KEK23" s="3431"/>
      <c r="KEL23" s="3431"/>
      <c r="KEM23" s="3431"/>
      <c r="KEN23" s="3431"/>
      <c r="KEO23" s="3431"/>
      <c r="KEP23" s="3431"/>
      <c r="KEQ23" s="3431"/>
      <c r="KER23" s="3431"/>
      <c r="KES23" s="3431"/>
      <c r="KET23" s="3431"/>
      <c r="KEU23" s="3431"/>
      <c r="KEV23" s="3431"/>
      <c r="KEW23" s="3431"/>
      <c r="KEX23" s="3431"/>
      <c r="KEY23" s="3431"/>
      <c r="KEZ23" s="3431"/>
      <c r="KFA23" s="3431"/>
      <c r="KFB23" s="3431"/>
      <c r="KFC23" s="3431"/>
      <c r="KFD23" s="3431"/>
      <c r="KFE23" s="3431"/>
      <c r="KFF23" s="3431"/>
      <c r="KFG23" s="3431"/>
      <c r="KFH23" s="3431"/>
      <c r="KFI23" s="3431"/>
      <c r="KFJ23" s="3431"/>
      <c r="KFK23" s="3431"/>
      <c r="KFL23" s="3431"/>
      <c r="KFM23" s="3431"/>
      <c r="KFN23" s="3431"/>
      <c r="KFO23" s="3431"/>
      <c r="KFP23" s="3431"/>
      <c r="KFQ23" s="3431"/>
      <c r="KFR23" s="3431"/>
      <c r="KFS23" s="3431"/>
      <c r="KFT23" s="3431"/>
      <c r="KFU23" s="3431"/>
      <c r="KFV23" s="3431"/>
      <c r="KFW23" s="3431"/>
      <c r="KFX23" s="3431"/>
      <c r="KFY23" s="3431"/>
      <c r="KFZ23" s="3431"/>
      <c r="KGA23" s="3431"/>
      <c r="KGB23" s="3431"/>
      <c r="KGC23" s="3431"/>
      <c r="KGD23" s="3431"/>
      <c r="KGE23" s="3431"/>
      <c r="KGF23" s="3431"/>
      <c r="KGG23" s="3431"/>
      <c r="KGH23" s="3431"/>
      <c r="KGI23" s="3431"/>
      <c r="KGJ23" s="3431"/>
      <c r="KGK23" s="3431"/>
      <c r="KGL23" s="3431"/>
      <c r="KGM23" s="3431"/>
      <c r="KGN23" s="3431"/>
      <c r="KGO23" s="3431"/>
      <c r="KGP23" s="3431"/>
      <c r="KGQ23" s="3431"/>
      <c r="KGR23" s="3431"/>
      <c r="KGS23" s="3431"/>
      <c r="KGT23" s="3431"/>
      <c r="KGU23" s="3431"/>
      <c r="KGV23" s="3431"/>
      <c r="KGW23" s="3431"/>
      <c r="KGX23" s="3431"/>
      <c r="KGY23" s="3431"/>
      <c r="KGZ23" s="3431"/>
      <c r="KHA23" s="3431"/>
      <c r="KHB23" s="3431"/>
      <c r="KHC23" s="3431"/>
      <c r="KHD23" s="3431"/>
      <c r="KHE23" s="3431"/>
      <c r="KHF23" s="3431"/>
      <c r="KHG23" s="3431"/>
      <c r="KHH23" s="3431"/>
      <c r="KHI23" s="3431"/>
      <c r="KHJ23" s="3431"/>
      <c r="KHK23" s="3431"/>
      <c r="KHL23" s="3431"/>
      <c r="KHM23" s="3431"/>
      <c r="KHN23" s="3431"/>
      <c r="KHO23" s="3431"/>
      <c r="KHP23" s="3431"/>
      <c r="KHQ23" s="3431"/>
      <c r="KHR23" s="3431"/>
      <c r="KHS23" s="3431"/>
      <c r="KHT23" s="3431"/>
      <c r="KHU23" s="3431"/>
      <c r="KHV23" s="3431"/>
      <c r="KHW23" s="3431"/>
      <c r="KHX23" s="3431"/>
      <c r="KHY23" s="3431"/>
      <c r="KHZ23" s="3431"/>
      <c r="KIA23" s="3431"/>
      <c r="KIB23" s="3431"/>
      <c r="KIC23" s="3431"/>
      <c r="KID23" s="3431"/>
      <c r="KIE23" s="3431"/>
      <c r="KIF23" s="3431"/>
      <c r="KIG23" s="3431"/>
      <c r="KIH23" s="3431"/>
      <c r="KII23" s="3431"/>
      <c r="KIJ23" s="3431"/>
      <c r="KIK23" s="3431"/>
      <c r="KIL23" s="3431"/>
      <c r="KIM23" s="3431"/>
      <c r="KIN23" s="3431"/>
      <c r="KIO23" s="3431"/>
      <c r="KIP23" s="3431"/>
      <c r="KIQ23" s="3431"/>
      <c r="KIR23" s="3431"/>
      <c r="KIS23" s="3431"/>
      <c r="KIT23" s="3431"/>
      <c r="KIU23" s="3431"/>
      <c r="KIV23" s="3431"/>
      <c r="KIW23" s="3431"/>
      <c r="KIX23" s="3431"/>
      <c r="KIY23" s="3431"/>
      <c r="KIZ23" s="3431"/>
      <c r="KJA23" s="3431"/>
      <c r="KJB23" s="3431"/>
      <c r="KJC23" s="3431"/>
      <c r="KJD23" s="3431"/>
      <c r="KJE23" s="3431"/>
      <c r="KJF23" s="3431"/>
      <c r="KJG23" s="3431"/>
      <c r="KJH23" s="3431"/>
      <c r="KJI23" s="3431"/>
      <c r="KJJ23" s="3431"/>
      <c r="KJK23" s="3431"/>
      <c r="KJL23" s="3431"/>
      <c r="KJM23" s="3431"/>
      <c r="KJN23" s="3431"/>
      <c r="KJO23" s="3431"/>
      <c r="KJP23" s="3431"/>
      <c r="KJQ23" s="3431"/>
      <c r="KJR23" s="3431"/>
      <c r="KJS23" s="3431"/>
      <c r="KJT23" s="3431"/>
      <c r="KJU23" s="3431"/>
      <c r="KJV23" s="3431"/>
      <c r="KJW23" s="3431"/>
      <c r="KJX23" s="3431"/>
      <c r="KJY23" s="3431"/>
      <c r="KJZ23" s="3431"/>
      <c r="KKA23" s="3431"/>
      <c r="KKB23" s="3431"/>
      <c r="KKC23" s="3431"/>
      <c r="KKD23" s="3431"/>
      <c r="KKE23" s="3431"/>
      <c r="KKF23" s="3431"/>
      <c r="KKG23" s="3431"/>
      <c r="KKH23" s="3431"/>
      <c r="KKI23" s="3431"/>
      <c r="KKJ23" s="3431"/>
      <c r="KKK23" s="3431"/>
      <c r="KKL23" s="3431"/>
      <c r="KKM23" s="3431"/>
      <c r="KKN23" s="3431"/>
      <c r="KKO23" s="3431"/>
      <c r="KKP23" s="3431"/>
      <c r="KKQ23" s="3431"/>
      <c r="KKR23" s="3431"/>
      <c r="KKS23" s="3431"/>
      <c r="KKT23" s="3431"/>
      <c r="KKU23" s="3431"/>
      <c r="KKV23" s="3431"/>
      <c r="KKW23" s="3431"/>
      <c r="KKX23" s="3431"/>
      <c r="KKY23" s="3431"/>
      <c r="KKZ23" s="3431"/>
      <c r="KLA23" s="3431"/>
      <c r="KLB23" s="3431"/>
      <c r="KLC23" s="3431"/>
      <c r="KLD23" s="3431"/>
      <c r="KLE23" s="3431"/>
      <c r="KLF23" s="3431"/>
      <c r="KLG23" s="3431"/>
      <c r="KLH23" s="3431"/>
      <c r="KLI23" s="3431"/>
      <c r="KLJ23" s="3431"/>
      <c r="KLK23" s="3431"/>
      <c r="KLL23" s="3431"/>
      <c r="KLM23" s="3431"/>
      <c r="KLN23" s="3431"/>
      <c r="KLO23" s="3431"/>
      <c r="KLP23" s="3431"/>
      <c r="KLQ23" s="3431"/>
      <c r="KLR23" s="3431"/>
      <c r="KLS23" s="3431"/>
      <c r="KLT23" s="3431"/>
      <c r="KLU23" s="3431"/>
      <c r="KLV23" s="3431"/>
      <c r="KLW23" s="3431"/>
      <c r="KLX23" s="3431"/>
      <c r="KLY23" s="3431"/>
      <c r="KLZ23" s="3431"/>
      <c r="KMA23" s="3431"/>
      <c r="KMB23" s="3431"/>
      <c r="KMC23" s="3431"/>
      <c r="KMD23" s="3431"/>
      <c r="KME23" s="3431"/>
      <c r="KMF23" s="3431"/>
      <c r="KMG23" s="3431"/>
      <c r="KMH23" s="3431"/>
      <c r="KMI23" s="3431"/>
      <c r="KMJ23" s="3431"/>
      <c r="KMK23" s="3431"/>
      <c r="KML23" s="3431"/>
      <c r="KMM23" s="3431"/>
      <c r="KMN23" s="3431"/>
      <c r="KMO23" s="3431"/>
      <c r="KMP23" s="3431"/>
      <c r="KMQ23" s="3431"/>
      <c r="KMR23" s="3431"/>
      <c r="KMS23" s="3431"/>
      <c r="KMT23" s="3431"/>
      <c r="KMU23" s="3431"/>
      <c r="KMV23" s="3431"/>
      <c r="KMW23" s="3431"/>
      <c r="KMX23" s="3431"/>
      <c r="KMY23" s="3431"/>
      <c r="KMZ23" s="3431"/>
      <c r="KNA23" s="3431"/>
      <c r="KNB23" s="3431"/>
      <c r="KNC23" s="3431"/>
      <c r="KND23" s="3431"/>
      <c r="KNE23" s="3431"/>
      <c r="KNF23" s="3431"/>
      <c r="KNG23" s="3431"/>
      <c r="KNH23" s="3431"/>
      <c r="KNI23" s="3431"/>
      <c r="KNJ23" s="3431"/>
      <c r="KNK23" s="3431"/>
      <c r="KNL23" s="3431"/>
      <c r="KNM23" s="3431"/>
      <c r="KNN23" s="3431"/>
      <c r="KNO23" s="3431"/>
      <c r="KNP23" s="3431"/>
      <c r="KNQ23" s="3431"/>
      <c r="KNR23" s="3431"/>
      <c r="KNS23" s="3431"/>
      <c r="KNT23" s="3431"/>
      <c r="KNU23" s="3431"/>
      <c r="KNV23" s="3431"/>
      <c r="KNW23" s="3431"/>
      <c r="KNX23" s="3431"/>
      <c r="KNY23" s="3431"/>
      <c r="KNZ23" s="3431"/>
      <c r="KOA23" s="3431"/>
      <c r="KOB23" s="3431"/>
      <c r="KOC23" s="3431"/>
      <c r="KOD23" s="3431"/>
      <c r="KOE23" s="3431"/>
      <c r="KOF23" s="3431"/>
      <c r="KOG23" s="3431"/>
      <c r="KOH23" s="3431"/>
      <c r="KOI23" s="3431"/>
      <c r="KOJ23" s="3431"/>
      <c r="KOK23" s="3431"/>
      <c r="KOL23" s="3431"/>
      <c r="KOM23" s="3431"/>
      <c r="KON23" s="3431"/>
      <c r="KOO23" s="3431"/>
      <c r="KOP23" s="3431"/>
      <c r="KOQ23" s="3431"/>
      <c r="KOR23" s="3431"/>
      <c r="KOS23" s="3431"/>
      <c r="KOT23" s="3431"/>
      <c r="KOU23" s="3431"/>
      <c r="KOV23" s="3431"/>
      <c r="KOW23" s="3431"/>
      <c r="KOX23" s="3431"/>
      <c r="KOY23" s="3431"/>
      <c r="KOZ23" s="3431"/>
      <c r="KPA23" s="3431"/>
      <c r="KPB23" s="3431"/>
      <c r="KPC23" s="3431"/>
      <c r="KPD23" s="3431"/>
      <c r="KPE23" s="3431"/>
      <c r="KPF23" s="3431"/>
      <c r="KPG23" s="3431"/>
      <c r="KPH23" s="3431"/>
      <c r="KPI23" s="3431"/>
      <c r="KPJ23" s="3431"/>
      <c r="KPK23" s="3431"/>
      <c r="KPL23" s="3431"/>
      <c r="KPM23" s="3431"/>
      <c r="KPN23" s="3431"/>
      <c r="KPO23" s="3431"/>
      <c r="KPP23" s="3431"/>
      <c r="KPQ23" s="3431"/>
      <c r="KPR23" s="3431"/>
      <c r="KPS23" s="3431"/>
      <c r="KPT23" s="3431"/>
      <c r="KPU23" s="3431"/>
      <c r="KPV23" s="3431"/>
      <c r="KPW23" s="3431"/>
      <c r="KPX23" s="3431"/>
      <c r="KPY23" s="3431"/>
      <c r="KPZ23" s="3431"/>
      <c r="KQA23" s="3431"/>
      <c r="KQB23" s="3431"/>
      <c r="KQC23" s="3431"/>
      <c r="KQD23" s="3431"/>
      <c r="KQE23" s="3431"/>
      <c r="KQF23" s="3431"/>
      <c r="KQG23" s="3431"/>
      <c r="KQH23" s="3431"/>
      <c r="KQI23" s="3431"/>
      <c r="KQJ23" s="3431"/>
      <c r="KQK23" s="3431"/>
      <c r="KQL23" s="3431"/>
      <c r="KQM23" s="3431"/>
      <c r="KQN23" s="3431"/>
      <c r="KQO23" s="3431"/>
      <c r="KQP23" s="3431"/>
      <c r="KQQ23" s="3431"/>
      <c r="KQR23" s="3431"/>
      <c r="KQS23" s="3431"/>
      <c r="KQT23" s="3431"/>
      <c r="KQU23" s="3431"/>
      <c r="KQV23" s="3431"/>
      <c r="KQW23" s="3431"/>
      <c r="KQX23" s="3431"/>
      <c r="KQY23" s="3431"/>
      <c r="KQZ23" s="3431"/>
      <c r="KRA23" s="3431"/>
      <c r="KRB23" s="3431"/>
      <c r="KRC23" s="3431"/>
      <c r="KRD23" s="3431"/>
      <c r="KRE23" s="3431"/>
      <c r="KRF23" s="3431"/>
      <c r="KRG23" s="3431"/>
      <c r="KRH23" s="3431"/>
      <c r="KRI23" s="3431"/>
      <c r="KRJ23" s="3431"/>
      <c r="KRK23" s="3431"/>
      <c r="KRL23" s="3431"/>
      <c r="KRM23" s="3431"/>
      <c r="KRN23" s="3431"/>
      <c r="KRO23" s="3431"/>
      <c r="KRP23" s="3431"/>
      <c r="KRQ23" s="3431"/>
      <c r="KRR23" s="3431"/>
      <c r="KRS23" s="3431"/>
      <c r="KRT23" s="3431"/>
      <c r="KRU23" s="3431"/>
      <c r="KRV23" s="3431"/>
      <c r="KRW23" s="3431"/>
      <c r="KRX23" s="3431"/>
      <c r="KRY23" s="3431"/>
      <c r="KRZ23" s="3431"/>
      <c r="KSA23" s="3431"/>
      <c r="KSB23" s="3431"/>
      <c r="KSC23" s="3431"/>
      <c r="KSD23" s="3431"/>
      <c r="KSE23" s="3431"/>
      <c r="KSF23" s="3431"/>
      <c r="KSG23" s="3431"/>
      <c r="KSH23" s="3431"/>
      <c r="KSI23" s="3431"/>
      <c r="KSJ23" s="3431"/>
      <c r="KSK23" s="3431"/>
      <c r="KSL23" s="3431"/>
      <c r="KSM23" s="3431"/>
      <c r="KSN23" s="3431"/>
      <c r="KSO23" s="3431"/>
      <c r="KSP23" s="3431"/>
      <c r="KSQ23" s="3431"/>
      <c r="KSR23" s="3431"/>
      <c r="KSS23" s="3431"/>
      <c r="KST23" s="3431"/>
      <c r="KSU23" s="3431"/>
      <c r="KSV23" s="3431"/>
      <c r="KSW23" s="3431"/>
      <c r="KSX23" s="3431"/>
      <c r="KSY23" s="3431"/>
      <c r="KSZ23" s="3431"/>
      <c r="KTA23" s="3431"/>
      <c r="KTB23" s="3431"/>
      <c r="KTC23" s="3431"/>
      <c r="KTD23" s="3431"/>
      <c r="KTE23" s="3431"/>
      <c r="KTF23" s="3431"/>
      <c r="KTG23" s="3431"/>
      <c r="KTH23" s="3431"/>
      <c r="KTI23" s="3431"/>
      <c r="KTJ23" s="3431"/>
      <c r="KTK23" s="3431"/>
      <c r="KTL23" s="3431"/>
      <c r="KTM23" s="3431"/>
      <c r="KTN23" s="3431"/>
      <c r="KTO23" s="3431"/>
      <c r="KTP23" s="3431"/>
      <c r="KTQ23" s="3431"/>
      <c r="KTR23" s="3431"/>
      <c r="KTS23" s="3431"/>
      <c r="KTT23" s="3431"/>
      <c r="KTU23" s="3431"/>
      <c r="KTV23" s="3431"/>
      <c r="KTW23" s="3431"/>
      <c r="KTX23" s="3431"/>
      <c r="KTY23" s="3431"/>
      <c r="KTZ23" s="3431"/>
      <c r="KUA23" s="3431"/>
      <c r="KUB23" s="3431"/>
      <c r="KUC23" s="3431"/>
      <c r="KUD23" s="3431"/>
      <c r="KUE23" s="3431"/>
      <c r="KUF23" s="3431"/>
      <c r="KUG23" s="3431"/>
      <c r="KUH23" s="3431"/>
      <c r="KUI23" s="3431"/>
      <c r="KUJ23" s="3431"/>
      <c r="KUK23" s="3431"/>
      <c r="KUL23" s="3431"/>
      <c r="KUM23" s="3431"/>
      <c r="KUN23" s="3431"/>
      <c r="KUO23" s="3431"/>
      <c r="KUP23" s="3431"/>
      <c r="KUQ23" s="3431"/>
      <c r="KUR23" s="3431"/>
      <c r="KUS23" s="3431"/>
      <c r="KUT23" s="3431"/>
      <c r="KUU23" s="3431"/>
      <c r="KUV23" s="3431"/>
      <c r="KUW23" s="3431"/>
      <c r="KUX23" s="3431"/>
      <c r="KUY23" s="3431"/>
      <c r="KUZ23" s="3431"/>
      <c r="KVA23" s="3431"/>
      <c r="KVB23" s="3431"/>
      <c r="KVC23" s="3431"/>
      <c r="KVD23" s="3431"/>
      <c r="KVE23" s="3431"/>
      <c r="KVF23" s="3431"/>
      <c r="KVG23" s="3431"/>
      <c r="KVH23" s="3431"/>
      <c r="KVI23" s="3431"/>
      <c r="KVJ23" s="3431"/>
      <c r="KVK23" s="3431"/>
      <c r="KVL23" s="3431"/>
      <c r="KVM23" s="3431"/>
      <c r="KVN23" s="3431"/>
      <c r="KVO23" s="3431"/>
      <c r="KVP23" s="3431"/>
      <c r="KVQ23" s="3431"/>
      <c r="KVR23" s="3431"/>
      <c r="KVS23" s="3431"/>
      <c r="KVT23" s="3431"/>
      <c r="KVU23" s="3431"/>
      <c r="KVV23" s="3431"/>
      <c r="KVW23" s="3431"/>
      <c r="KVX23" s="3431"/>
      <c r="KVY23" s="3431"/>
      <c r="KVZ23" s="3431"/>
      <c r="KWA23" s="3431"/>
      <c r="KWB23" s="3431"/>
      <c r="KWC23" s="3431"/>
      <c r="KWD23" s="3431"/>
      <c r="KWE23" s="3431"/>
      <c r="KWF23" s="3431"/>
      <c r="KWG23" s="3431"/>
      <c r="KWH23" s="3431"/>
      <c r="KWI23" s="3431"/>
      <c r="KWJ23" s="3431"/>
      <c r="KWK23" s="3431"/>
      <c r="KWL23" s="3431"/>
      <c r="KWM23" s="3431"/>
      <c r="KWN23" s="3431"/>
      <c r="KWO23" s="3431"/>
      <c r="KWP23" s="3431"/>
      <c r="KWQ23" s="3431"/>
      <c r="KWR23" s="3431"/>
      <c r="KWS23" s="3431"/>
      <c r="KWT23" s="3431"/>
      <c r="KWU23" s="3431"/>
      <c r="KWV23" s="3431"/>
      <c r="KWW23" s="3431"/>
      <c r="KWX23" s="3431"/>
      <c r="KWY23" s="3431"/>
      <c r="KWZ23" s="3431"/>
      <c r="KXA23" s="3431"/>
      <c r="KXB23" s="3431"/>
      <c r="KXC23" s="3431"/>
      <c r="KXD23" s="3431"/>
      <c r="KXE23" s="3431"/>
      <c r="KXF23" s="3431"/>
      <c r="KXG23" s="3431"/>
      <c r="KXH23" s="3431"/>
      <c r="KXI23" s="3431"/>
      <c r="KXJ23" s="3431"/>
      <c r="KXK23" s="3431"/>
      <c r="KXL23" s="3431"/>
      <c r="KXM23" s="3431"/>
      <c r="KXN23" s="3431"/>
      <c r="KXO23" s="3431"/>
      <c r="KXP23" s="3431"/>
      <c r="KXQ23" s="3431"/>
      <c r="KXR23" s="3431"/>
      <c r="KXS23" s="3431"/>
      <c r="KXT23" s="3431"/>
      <c r="KXU23" s="3431"/>
      <c r="KXV23" s="3431"/>
      <c r="KXW23" s="3431"/>
      <c r="KXX23" s="3431"/>
      <c r="KXY23" s="3431"/>
      <c r="KXZ23" s="3431"/>
      <c r="KYA23" s="3431"/>
      <c r="KYB23" s="3431"/>
      <c r="KYC23" s="3431"/>
      <c r="KYD23" s="3431"/>
      <c r="KYE23" s="3431"/>
      <c r="KYF23" s="3431"/>
      <c r="KYG23" s="3431"/>
      <c r="KYH23" s="3431"/>
      <c r="KYI23" s="3431"/>
      <c r="KYJ23" s="3431"/>
      <c r="KYK23" s="3431"/>
      <c r="KYL23" s="3431"/>
      <c r="KYM23" s="3431"/>
      <c r="KYN23" s="3431"/>
      <c r="KYO23" s="3431"/>
      <c r="KYP23" s="3431"/>
      <c r="KYQ23" s="3431"/>
      <c r="KYR23" s="3431"/>
      <c r="KYS23" s="3431"/>
      <c r="KYT23" s="3431"/>
      <c r="KYU23" s="3431"/>
      <c r="KYV23" s="3431"/>
      <c r="KYW23" s="3431"/>
      <c r="KYX23" s="3431"/>
      <c r="KYY23" s="3431"/>
      <c r="KYZ23" s="3431"/>
      <c r="KZA23" s="3431"/>
      <c r="KZB23" s="3431"/>
      <c r="KZC23" s="3431"/>
      <c r="KZD23" s="3431"/>
      <c r="KZE23" s="3431"/>
      <c r="KZF23" s="3431"/>
      <c r="KZG23" s="3431"/>
      <c r="KZH23" s="3431"/>
      <c r="KZI23" s="3431"/>
      <c r="KZJ23" s="3431"/>
      <c r="KZK23" s="3431"/>
      <c r="KZL23" s="3431"/>
      <c r="KZM23" s="3431"/>
      <c r="KZN23" s="3431"/>
      <c r="KZO23" s="3431"/>
      <c r="KZP23" s="3431"/>
      <c r="KZQ23" s="3431"/>
      <c r="KZR23" s="3431"/>
      <c r="KZS23" s="3431"/>
      <c r="KZT23" s="3431"/>
      <c r="KZU23" s="3431"/>
      <c r="KZV23" s="3431"/>
      <c r="KZW23" s="3431"/>
      <c r="KZX23" s="3431"/>
      <c r="KZY23" s="3431"/>
      <c r="KZZ23" s="3431"/>
      <c r="LAA23" s="3431"/>
      <c r="LAB23" s="3431"/>
      <c r="LAC23" s="3431"/>
      <c r="LAD23" s="3431"/>
      <c r="LAE23" s="3431"/>
      <c r="LAF23" s="3431"/>
      <c r="LAG23" s="3431"/>
      <c r="LAH23" s="3431"/>
      <c r="LAI23" s="3431"/>
      <c r="LAJ23" s="3431"/>
      <c r="LAK23" s="3431"/>
      <c r="LAL23" s="3431"/>
      <c r="LAM23" s="3431"/>
      <c r="LAN23" s="3431"/>
      <c r="LAO23" s="3431"/>
      <c r="LAP23" s="3431"/>
      <c r="LAQ23" s="3431"/>
      <c r="LAR23" s="3431"/>
      <c r="LAS23" s="3431"/>
      <c r="LAT23" s="3431"/>
      <c r="LAU23" s="3431"/>
      <c r="LAV23" s="3431"/>
      <c r="LAW23" s="3431"/>
      <c r="LAX23" s="3431"/>
      <c r="LAY23" s="3431"/>
      <c r="LAZ23" s="3431"/>
      <c r="LBA23" s="3431"/>
      <c r="LBB23" s="3431"/>
      <c r="LBC23" s="3431"/>
      <c r="LBD23" s="3431"/>
      <c r="LBE23" s="3431"/>
      <c r="LBF23" s="3431"/>
      <c r="LBG23" s="3431"/>
      <c r="LBH23" s="3431"/>
      <c r="LBI23" s="3431"/>
      <c r="LBJ23" s="3431"/>
      <c r="LBK23" s="3431"/>
      <c r="LBL23" s="3431"/>
      <c r="LBM23" s="3431"/>
      <c r="LBN23" s="3431"/>
      <c r="LBO23" s="3431"/>
      <c r="LBP23" s="3431"/>
      <c r="LBQ23" s="3431"/>
      <c r="LBR23" s="3431"/>
      <c r="LBS23" s="3431"/>
      <c r="LBT23" s="3431"/>
      <c r="LBU23" s="3431"/>
      <c r="LBV23" s="3431"/>
      <c r="LBW23" s="3431"/>
      <c r="LBX23" s="3431"/>
      <c r="LBY23" s="3431"/>
      <c r="LBZ23" s="3431"/>
      <c r="LCA23" s="3431"/>
      <c r="LCB23" s="3431"/>
      <c r="LCC23" s="3431"/>
      <c r="LCD23" s="3431"/>
      <c r="LCE23" s="3431"/>
      <c r="LCF23" s="3431"/>
      <c r="LCG23" s="3431"/>
      <c r="LCH23" s="3431"/>
      <c r="LCI23" s="3431"/>
      <c r="LCJ23" s="3431"/>
      <c r="LCK23" s="3431"/>
      <c r="LCL23" s="3431"/>
      <c r="LCM23" s="3431"/>
      <c r="LCN23" s="3431"/>
      <c r="LCO23" s="3431"/>
      <c r="LCP23" s="3431"/>
      <c r="LCQ23" s="3431"/>
      <c r="LCR23" s="3431"/>
      <c r="LCS23" s="3431"/>
      <c r="LCT23" s="3431"/>
      <c r="LCU23" s="3431"/>
      <c r="LCV23" s="3431"/>
      <c r="LCW23" s="3431"/>
      <c r="LCX23" s="3431"/>
      <c r="LCY23" s="3431"/>
      <c r="LCZ23" s="3431"/>
      <c r="LDA23" s="3431"/>
      <c r="LDB23" s="3431"/>
      <c r="LDC23" s="3431"/>
      <c r="LDD23" s="3431"/>
      <c r="LDE23" s="3431"/>
      <c r="LDF23" s="3431"/>
      <c r="LDG23" s="3431"/>
      <c r="LDH23" s="3431"/>
      <c r="LDI23" s="3431"/>
      <c r="LDJ23" s="3431"/>
      <c r="LDK23" s="3431"/>
      <c r="LDL23" s="3431"/>
      <c r="LDM23" s="3431"/>
      <c r="LDN23" s="3431"/>
      <c r="LDO23" s="3431"/>
      <c r="LDP23" s="3431"/>
      <c r="LDQ23" s="3431"/>
      <c r="LDR23" s="3431"/>
      <c r="LDS23" s="3431"/>
      <c r="LDT23" s="3431"/>
      <c r="LDU23" s="3431"/>
      <c r="LDV23" s="3431"/>
      <c r="LDW23" s="3431"/>
      <c r="LDX23" s="3431"/>
      <c r="LDY23" s="3431"/>
      <c r="LDZ23" s="3431"/>
      <c r="LEA23" s="3431"/>
      <c r="LEB23" s="3431"/>
      <c r="LEC23" s="3431"/>
      <c r="LED23" s="3431"/>
      <c r="LEE23" s="3431"/>
      <c r="LEF23" s="3431"/>
      <c r="LEG23" s="3431"/>
      <c r="LEH23" s="3431"/>
      <c r="LEI23" s="3431"/>
      <c r="LEJ23" s="3431"/>
      <c r="LEK23" s="3431"/>
      <c r="LEL23" s="3431"/>
      <c r="LEM23" s="3431"/>
      <c r="LEN23" s="3431"/>
      <c r="LEO23" s="3431"/>
      <c r="LEP23" s="3431"/>
      <c r="LEQ23" s="3431"/>
      <c r="LER23" s="3431"/>
      <c r="LES23" s="3431"/>
      <c r="LET23" s="3431"/>
      <c r="LEU23" s="3431"/>
      <c r="LEV23" s="3431"/>
      <c r="LEW23" s="3431"/>
      <c r="LEX23" s="3431"/>
      <c r="LEY23" s="3431"/>
      <c r="LEZ23" s="3431"/>
      <c r="LFA23" s="3431"/>
      <c r="LFB23" s="3431"/>
      <c r="LFC23" s="3431"/>
      <c r="LFD23" s="3431"/>
      <c r="LFE23" s="3431"/>
      <c r="LFF23" s="3431"/>
      <c r="LFG23" s="3431"/>
      <c r="LFH23" s="3431"/>
      <c r="LFI23" s="3431"/>
      <c r="LFJ23" s="3431"/>
      <c r="LFK23" s="3431"/>
      <c r="LFL23" s="3431"/>
      <c r="LFM23" s="3431"/>
      <c r="LFN23" s="3431"/>
      <c r="LFO23" s="3431"/>
      <c r="LFP23" s="3431"/>
      <c r="LFQ23" s="3431"/>
      <c r="LFR23" s="3431"/>
      <c r="LFS23" s="3431"/>
      <c r="LFT23" s="3431"/>
      <c r="LFU23" s="3431"/>
      <c r="LFV23" s="3431"/>
      <c r="LFW23" s="3431"/>
      <c r="LFX23" s="3431"/>
      <c r="LFY23" s="3431"/>
      <c r="LFZ23" s="3431"/>
      <c r="LGA23" s="3431"/>
      <c r="LGB23" s="3431"/>
      <c r="LGC23" s="3431"/>
      <c r="LGD23" s="3431"/>
      <c r="LGE23" s="3431"/>
      <c r="LGF23" s="3431"/>
      <c r="LGG23" s="3431"/>
      <c r="LGH23" s="3431"/>
      <c r="LGI23" s="3431"/>
      <c r="LGJ23" s="3431"/>
      <c r="LGK23" s="3431"/>
      <c r="LGL23" s="3431"/>
      <c r="LGM23" s="3431"/>
      <c r="LGN23" s="3431"/>
      <c r="LGO23" s="3431"/>
      <c r="LGP23" s="3431"/>
      <c r="LGQ23" s="3431"/>
      <c r="LGR23" s="3431"/>
      <c r="LGS23" s="3431"/>
      <c r="LGT23" s="3431"/>
      <c r="LGU23" s="3431"/>
      <c r="LGV23" s="3431"/>
      <c r="LGW23" s="3431"/>
      <c r="LGX23" s="3431"/>
      <c r="LGY23" s="3431"/>
      <c r="LGZ23" s="3431"/>
      <c r="LHA23" s="3431"/>
      <c r="LHB23" s="3431"/>
      <c r="LHC23" s="3431"/>
      <c r="LHD23" s="3431"/>
      <c r="LHE23" s="3431"/>
      <c r="LHF23" s="3431"/>
      <c r="LHG23" s="3431"/>
      <c r="LHH23" s="3431"/>
      <c r="LHI23" s="3431"/>
      <c r="LHJ23" s="3431"/>
      <c r="LHK23" s="3431"/>
      <c r="LHL23" s="3431"/>
      <c r="LHM23" s="3431"/>
      <c r="LHN23" s="3431"/>
      <c r="LHO23" s="3431"/>
      <c r="LHP23" s="3431"/>
      <c r="LHQ23" s="3431"/>
      <c r="LHR23" s="3431"/>
      <c r="LHS23" s="3431"/>
      <c r="LHT23" s="3431"/>
      <c r="LHU23" s="3431"/>
      <c r="LHV23" s="3431"/>
      <c r="LHW23" s="3431"/>
      <c r="LHX23" s="3431"/>
      <c r="LHY23" s="3431"/>
      <c r="LHZ23" s="3431"/>
      <c r="LIA23" s="3431"/>
      <c r="LIB23" s="3431"/>
      <c r="LIC23" s="3431"/>
      <c r="LID23" s="3431"/>
      <c r="LIE23" s="3431"/>
      <c r="LIF23" s="3431"/>
      <c r="LIG23" s="3431"/>
      <c r="LIH23" s="3431"/>
      <c r="LII23" s="3431"/>
      <c r="LIJ23" s="3431"/>
      <c r="LIK23" s="3431"/>
      <c r="LIL23" s="3431"/>
      <c r="LIM23" s="3431"/>
      <c r="LIN23" s="3431"/>
      <c r="LIO23" s="3431"/>
      <c r="LIP23" s="3431"/>
      <c r="LIQ23" s="3431"/>
      <c r="LIR23" s="3431"/>
      <c r="LIS23" s="3431"/>
      <c r="LIT23" s="3431"/>
      <c r="LIU23" s="3431"/>
      <c r="LIV23" s="3431"/>
      <c r="LIW23" s="3431"/>
      <c r="LIX23" s="3431"/>
      <c r="LIY23" s="3431"/>
      <c r="LIZ23" s="3431"/>
      <c r="LJA23" s="3431"/>
      <c r="LJB23" s="3431"/>
      <c r="LJC23" s="3431"/>
      <c r="LJD23" s="3431"/>
      <c r="LJE23" s="3431"/>
      <c r="LJF23" s="3431"/>
      <c r="LJG23" s="3431"/>
      <c r="LJH23" s="3431"/>
      <c r="LJI23" s="3431"/>
      <c r="LJJ23" s="3431"/>
      <c r="LJK23" s="3431"/>
      <c r="LJL23" s="3431"/>
      <c r="LJM23" s="3431"/>
      <c r="LJN23" s="3431"/>
      <c r="LJO23" s="3431"/>
      <c r="LJP23" s="3431"/>
      <c r="LJQ23" s="3431"/>
      <c r="LJR23" s="3431"/>
      <c r="LJS23" s="3431"/>
      <c r="LJT23" s="3431"/>
      <c r="LJU23" s="3431"/>
      <c r="LJV23" s="3431"/>
      <c r="LJW23" s="3431"/>
      <c r="LJX23" s="3431"/>
      <c r="LJY23" s="3431"/>
      <c r="LJZ23" s="3431"/>
      <c r="LKA23" s="3431"/>
      <c r="LKB23" s="3431"/>
      <c r="LKC23" s="3431"/>
      <c r="LKD23" s="3431"/>
      <c r="LKE23" s="3431"/>
      <c r="LKF23" s="3431"/>
      <c r="LKG23" s="3431"/>
      <c r="LKH23" s="3431"/>
      <c r="LKI23" s="3431"/>
      <c r="LKJ23" s="3431"/>
      <c r="LKK23" s="3431"/>
      <c r="LKL23" s="3431"/>
      <c r="LKM23" s="3431"/>
      <c r="LKN23" s="3431"/>
      <c r="LKO23" s="3431"/>
      <c r="LKP23" s="3431"/>
      <c r="LKQ23" s="3431"/>
      <c r="LKR23" s="3431"/>
      <c r="LKS23" s="3431"/>
      <c r="LKT23" s="3431"/>
      <c r="LKU23" s="3431"/>
      <c r="LKV23" s="3431"/>
      <c r="LKW23" s="3431"/>
      <c r="LKX23" s="3431"/>
      <c r="LKY23" s="3431"/>
      <c r="LKZ23" s="3431"/>
      <c r="LLA23" s="3431"/>
      <c r="LLB23" s="3431"/>
      <c r="LLC23" s="3431"/>
      <c r="LLD23" s="3431"/>
      <c r="LLE23" s="3431"/>
      <c r="LLF23" s="3431"/>
      <c r="LLG23" s="3431"/>
      <c r="LLH23" s="3431"/>
      <c r="LLI23" s="3431"/>
      <c r="LLJ23" s="3431"/>
      <c r="LLK23" s="3431"/>
      <c r="LLL23" s="3431"/>
      <c r="LLM23" s="3431"/>
      <c r="LLN23" s="3431"/>
      <c r="LLO23" s="3431"/>
      <c r="LLP23" s="3431"/>
      <c r="LLQ23" s="3431"/>
      <c r="LLR23" s="3431"/>
      <c r="LLS23" s="3431"/>
      <c r="LLT23" s="3431"/>
      <c r="LLU23" s="3431"/>
      <c r="LLV23" s="3431"/>
      <c r="LLW23" s="3431"/>
      <c r="LLX23" s="3431"/>
      <c r="LLY23" s="3431"/>
      <c r="LLZ23" s="3431"/>
      <c r="LMA23" s="3431"/>
      <c r="LMB23" s="3431"/>
      <c r="LMC23" s="3431"/>
      <c r="LMD23" s="3431"/>
      <c r="LME23" s="3431"/>
      <c r="LMF23" s="3431"/>
      <c r="LMG23" s="3431"/>
      <c r="LMH23" s="3431"/>
      <c r="LMI23" s="3431"/>
      <c r="LMJ23" s="3431"/>
      <c r="LMK23" s="3431"/>
      <c r="LML23" s="3431"/>
      <c r="LMM23" s="3431"/>
      <c r="LMN23" s="3431"/>
      <c r="LMO23" s="3431"/>
      <c r="LMP23" s="3431"/>
      <c r="LMQ23" s="3431"/>
      <c r="LMR23" s="3431"/>
      <c r="LMS23" s="3431"/>
      <c r="LMT23" s="3431"/>
      <c r="LMU23" s="3431"/>
      <c r="LMV23" s="3431"/>
      <c r="LMW23" s="3431"/>
      <c r="LMX23" s="3431"/>
      <c r="LMY23" s="3431"/>
      <c r="LMZ23" s="3431"/>
      <c r="LNA23" s="3431"/>
      <c r="LNB23" s="3431"/>
      <c r="LNC23" s="3431"/>
      <c r="LND23" s="3431"/>
      <c r="LNE23" s="3431"/>
      <c r="LNF23" s="3431"/>
      <c r="LNG23" s="3431"/>
      <c r="LNH23" s="3431"/>
      <c r="LNI23" s="3431"/>
      <c r="LNJ23" s="3431"/>
      <c r="LNK23" s="3431"/>
      <c r="LNL23" s="3431"/>
      <c r="LNM23" s="3431"/>
      <c r="LNN23" s="3431"/>
      <c r="LNO23" s="3431"/>
      <c r="LNP23" s="3431"/>
      <c r="LNQ23" s="3431"/>
      <c r="LNR23" s="3431"/>
      <c r="LNS23" s="3431"/>
      <c r="LNT23" s="3431"/>
      <c r="LNU23" s="3431"/>
      <c r="LNV23" s="3431"/>
      <c r="LNW23" s="3431"/>
      <c r="LNX23" s="3431"/>
      <c r="LNY23" s="3431"/>
      <c r="LNZ23" s="3431"/>
      <c r="LOA23" s="3431"/>
      <c r="LOB23" s="3431"/>
      <c r="LOC23" s="3431"/>
      <c r="LOD23" s="3431"/>
      <c r="LOE23" s="3431"/>
      <c r="LOF23" s="3431"/>
      <c r="LOG23" s="3431"/>
      <c r="LOH23" s="3431"/>
      <c r="LOI23" s="3431"/>
      <c r="LOJ23" s="3431"/>
      <c r="LOK23" s="3431"/>
      <c r="LOL23" s="3431"/>
      <c r="LOM23" s="3431"/>
      <c r="LON23" s="3431"/>
      <c r="LOO23" s="3431"/>
      <c r="LOP23" s="3431"/>
      <c r="LOQ23" s="3431"/>
      <c r="LOR23" s="3431"/>
      <c r="LOS23" s="3431"/>
      <c r="LOT23" s="3431"/>
      <c r="LOU23" s="3431"/>
      <c r="LOV23" s="3431"/>
      <c r="LOW23" s="3431"/>
      <c r="LOX23" s="3431"/>
      <c r="LOY23" s="3431"/>
      <c r="LOZ23" s="3431"/>
      <c r="LPA23" s="3431"/>
      <c r="LPB23" s="3431"/>
      <c r="LPC23" s="3431"/>
      <c r="LPD23" s="3431"/>
      <c r="LPE23" s="3431"/>
      <c r="LPF23" s="3431"/>
      <c r="LPG23" s="3431"/>
      <c r="LPH23" s="3431"/>
      <c r="LPI23" s="3431"/>
      <c r="LPJ23" s="3431"/>
      <c r="LPK23" s="3431"/>
      <c r="LPL23" s="3431"/>
      <c r="LPM23" s="3431"/>
      <c r="LPN23" s="3431"/>
      <c r="LPO23" s="3431"/>
      <c r="LPP23" s="3431"/>
      <c r="LPQ23" s="3431"/>
      <c r="LPR23" s="3431"/>
      <c r="LPS23" s="3431"/>
      <c r="LPT23" s="3431"/>
      <c r="LPU23" s="3431"/>
      <c r="LPV23" s="3431"/>
      <c r="LPW23" s="3431"/>
      <c r="LPX23" s="3431"/>
      <c r="LPY23" s="3431"/>
      <c r="LPZ23" s="3431"/>
      <c r="LQA23" s="3431"/>
      <c r="LQB23" s="3431"/>
      <c r="LQC23" s="3431"/>
      <c r="LQD23" s="3431"/>
      <c r="LQE23" s="3431"/>
      <c r="LQF23" s="3431"/>
      <c r="LQG23" s="3431"/>
      <c r="LQH23" s="3431"/>
      <c r="LQI23" s="3431"/>
      <c r="LQJ23" s="3431"/>
      <c r="LQK23" s="3431"/>
      <c r="LQL23" s="3431"/>
      <c r="LQM23" s="3431"/>
      <c r="LQN23" s="3431"/>
      <c r="LQO23" s="3431"/>
      <c r="LQP23" s="3431"/>
      <c r="LQQ23" s="3431"/>
      <c r="LQR23" s="3431"/>
      <c r="LQS23" s="3431"/>
      <c r="LQT23" s="3431"/>
      <c r="LQU23" s="3431"/>
      <c r="LQV23" s="3431"/>
      <c r="LQW23" s="3431"/>
      <c r="LQX23" s="3431"/>
      <c r="LQY23" s="3431"/>
      <c r="LQZ23" s="3431"/>
      <c r="LRA23" s="3431"/>
      <c r="LRB23" s="3431"/>
      <c r="LRC23" s="3431"/>
      <c r="LRD23" s="3431"/>
      <c r="LRE23" s="3431"/>
      <c r="LRF23" s="3431"/>
      <c r="LRG23" s="3431"/>
      <c r="LRH23" s="3431"/>
      <c r="LRI23" s="3431"/>
      <c r="LRJ23" s="3431"/>
      <c r="LRK23" s="3431"/>
      <c r="LRL23" s="3431"/>
      <c r="LRM23" s="3431"/>
      <c r="LRN23" s="3431"/>
      <c r="LRO23" s="3431"/>
      <c r="LRP23" s="3431"/>
      <c r="LRQ23" s="3431"/>
      <c r="LRR23" s="3431"/>
      <c r="LRS23" s="3431"/>
      <c r="LRT23" s="3431"/>
      <c r="LRU23" s="3431"/>
      <c r="LRV23" s="3431"/>
      <c r="LRW23" s="3431"/>
      <c r="LRX23" s="3431"/>
      <c r="LRY23" s="3431"/>
      <c r="LRZ23" s="3431"/>
      <c r="LSA23" s="3431"/>
      <c r="LSB23" s="3431"/>
      <c r="LSC23" s="3431"/>
      <c r="LSD23" s="3431"/>
      <c r="LSE23" s="3431"/>
      <c r="LSF23" s="3431"/>
      <c r="LSG23" s="3431"/>
      <c r="LSH23" s="3431"/>
      <c r="LSI23" s="3431"/>
      <c r="LSJ23" s="3431"/>
      <c r="LSK23" s="3431"/>
      <c r="LSL23" s="3431"/>
      <c r="LSM23" s="3431"/>
      <c r="LSN23" s="3431"/>
      <c r="LSO23" s="3431"/>
      <c r="LSP23" s="3431"/>
      <c r="LSQ23" s="3431"/>
      <c r="LSR23" s="3431"/>
      <c r="LSS23" s="3431"/>
      <c r="LST23" s="3431"/>
      <c r="LSU23" s="3431"/>
      <c r="LSV23" s="3431"/>
      <c r="LSW23" s="3431"/>
      <c r="LSX23" s="3431"/>
      <c r="LSY23" s="3431"/>
      <c r="LSZ23" s="3431"/>
      <c r="LTA23" s="3431"/>
      <c r="LTB23" s="3431"/>
      <c r="LTC23" s="3431"/>
      <c r="LTD23" s="3431"/>
      <c r="LTE23" s="3431"/>
      <c r="LTF23" s="3431"/>
      <c r="LTG23" s="3431"/>
      <c r="LTH23" s="3431"/>
      <c r="LTI23" s="3431"/>
      <c r="LTJ23" s="3431"/>
      <c r="LTK23" s="3431"/>
      <c r="LTL23" s="3431"/>
      <c r="LTM23" s="3431"/>
      <c r="LTN23" s="3431"/>
      <c r="LTO23" s="3431"/>
      <c r="LTP23" s="3431"/>
      <c r="LTQ23" s="3431"/>
      <c r="LTR23" s="3431"/>
      <c r="LTS23" s="3431"/>
      <c r="LTT23" s="3431"/>
      <c r="LTU23" s="3431"/>
      <c r="LTV23" s="3431"/>
      <c r="LTW23" s="3431"/>
      <c r="LTX23" s="3431"/>
      <c r="LTY23" s="3431"/>
      <c r="LTZ23" s="3431"/>
      <c r="LUA23" s="3431"/>
      <c r="LUB23" s="3431"/>
      <c r="LUC23" s="3431"/>
      <c r="LUD23" s="3431"/>
      <c r="LUE23" s="3431"/>
      <c r="LUF23" s="3431"/>
      <c r="LUG23" s="3431"/>
      <c r="LUH23" s="3431"/>
      <c r="LUI23" s="3431"/>
      <c r="LUJ23" s="3431"/>
      <c r="LUK23" s="3431"/>
      <c r="LUL23" s="3431"/>
      <c r="LUM23" s="3431"/>
      <c r="LUN23" s="3431"/>
      <c r="LUO23" s="3431"/>
      <c r="LUP23" s="3431"/>
      <c r="LUQ23" s="3431"/>
      <c r="LUR23" s="3431"/>
      <c r="LUS23" s="3431"/>
      <c r="LUT23" s="3431"/>
      <c r="LUU23" s="3431"/>
      <c r="LUV23" s="3431"/>
      <c r="LUW23" s="3431"/>
      <c r="LUX23" s="3431"/>
      <c r="LUY23" s="3431"/>
      <c r="LUZ23" s="3431"/>
      <c r="LVA23" s="3431"/>
      <c r="LVB23" s="3431"/>
      <c r="LVC23" s="3431"/>
      <c r="LVD23" s="3431"/>
      <c r="LVE23" s="3431"/>
      <c r="LVF23" s="3431"/>
      <c r="LVG23" s="3431"/>
      <c r="LVH23" s="3431"/>
      <c r="LVI23" s="3431"/>
      <c r="LVJ23" s="3431"/>
      <c r="LVK23" s="3431"/>
      <c r="LVL23" s="3431"/>
      <c r="LVM23" s="3431"/>
      <c r="LVN23" s="3431"/>
      <c r="LVO23" s="3431"/>
      <c r="LVP23" s="3431"/>
      <c r="LVQ23" s="3431"/>
      <c r="LVR23" s="3431"/>
      <c r="LVS23" s="3431"/>
      <c r="LVT23" s="3431"/>
      <c r="LVU23" s="3431"/>
      <c r="LVV23" s="3431"/>
      <c r="LVW23" s="3431"/>
      <c r="LVX23" s="3431"/>
      <c r="LVY23" s="3431"/>
      <c r="LVZ23" s="3431"/>
      <c r="LWA23" s="3431"/>
      <c r="LWB23" s="3431"/>
      <c r="LWC23" s="3431"/>
      <c r="LWD23" s="3431"/>
      <c r="LWE23" s="3431"/>
      <c r="LWF23" s="3431"/>
      <c r="LWG23" s="3431"/>
      <c r="LWH23" s="3431"/>
      <c r="LWI23" s="3431"/>
      <c r="LWJ23" s="3431"/>
      <c r="LWK23" s="3431"/>
      <c r="LWL23" s="3431"/>
      <c r="LWM23" s="3431"/>
      <c r="LWN23" s="3431"/>
      <c r="LWO23" s="3431"/>
      <c r="LWP23" s="3431"/>
      <c r="LWQ23" s="3431"/>
      <c r="LWR23" s="3431"/>
      <c r="LWS23" s="3431"/>
      <c r="LWT23" s="3431"/>
      <c r="LWU23" s="3431"/>
      <c r="LWV23" s="3431"/>
      <c r="LWW23" s="3431"/>
      <c r="LWX23" s="3431"/>
      <c r="LWY23" s="3431"/>
      <c r="LWZ23" s="3431"/>
      <c r="LXA23" s="3431"/>
      <c r="LXB23" s="3431"/>
      <c r="LXC23" s="3431"/>
      <c r="LXD23" s="3431"/>
      <c r="LXE23" s="3431"/>
      <c r="LXF23" s="3431"/>
      <c r="LXG23" s="3431"/>
      <c r="LXH23" s="3431"/>
      <c r="LXI23" s="3431"/>
      <c r="LXJ23" s="3431"/>
      <c r="LXK23" s="3431"/>
      <c r="LXL23" s="3431"/>
      <c r="LXM23" s="3431"/>
      <c r="LXN23" s="3431"/>
      <c r="LXO23" s="3431"/>
      <c r="LXP23" s="3431"/>
      <c r="LXQ23" s="3431"/>
      <c r="LXR23" s="3431"/>
      <c r="LXS23" s="3431"/>
      <c r="LXT23" s="3431"/>
      <c r="LXU23" s="3431"/>
      <c r="LXV23" s="3431"/>
      <c r="LXW23" s="3431"/>
      <c r="LXX23" s="3431"/>
      <c r="LXY23" s="3431"/>
      <c r="LXZ23" s="3431"/>
      <c r="LYA23" s="3431"/>
      <c r="LYB23" s="3431"/>
      <c r="LYC23" s="3431"/>
      <c r="LYD23" s="3431"/>
      <c r="LYE23" s="3431"/>
      <c r="LYF23" s="3431"/>
      <c r="LYG23" s="3431"/>
      <c r="LYH23" s="3431"/>
      <c r="LYI23" s="3431"/>
      <c r="LYJ23" s="3431"/>
      <c r="LYK23" s="3431"/>
      <c r="LYL23" s="3431"/>
      <c r="LYM23" s="3431"/>
      <c r="LYN23" s="3431"/>
      <c r="LYO23" s="3431"/>
      <c r="LYP23" s="3431"/>
      <c r="LYQ23" s="3431"/>
      <c r="LYR23" s="3431"/>
      <c r="LYS23" s="3431"/>
      <c r="LYT23" s="3431"/>
      <c r="LYU23" s="3431"/>
      <c r="LYV23" s="3431"/>
      <c r="LYW23" s="3431"/>
      <c r="LYX23" s="3431"/>
      <c r="LYY23" s="3431"/>
      <c r="LYZ23" s="3431"/>
      <c r="LZA23" s="3431"/>
      <c r="LZB23" s="3431"/>
      <c r="LZC23" s="3431"/>
      <c r="LZD23" s="3431"/>
      <c r="LZE23" s="3431"/>
      <c r="LZF23" s="3431"/>
      <c r="LZG23" s="3431"/>
      <c r="LZH23" s="3431"/>
      <c r="LZI23" s="3431"/>
      <c r="LZJ23" s="3431"/>
      <c r="LZK23" s="3431"/>
      <c r="LZL23" s="3431"/>
      <c r="LZM23" s="3431"/>
      <c r="LZN23" s="3431"/>
      <c r="LZO23" s="3431"/>
      <c r="LZP23" s="3431"/>
      <c r="LZQ23" s="3431"/>
      <c r="LZR23" s="3431"/>
      <c r="LZS23" s="3431"/>
      <c r="LZT23" s="3431"/>
      <c r="LZU23" s="3431"/>
      <c r="LZV23" s="3431"/>
      <c r="LZW23" s="3431"/>
      <c r="LZX23" s="3431"/>
      <c r="LZY23" s="3431"/>
      <c r="LZZ23" s="3431"/>
      <c r="MAA23" s="3431"/>
      <c r="MAB23" s="3431"/>
      <c r="MAC23" s="3431"/>
      <c r="MAD23" s="3431"/>
      <c r="MAE23" s="3431"/>
      <c r="MAF23" s="3431"/>
      <c r="MAG23" s="3431"/>
      <c r="MAH23" s="3431"/>
      <c r="MAI23" s="3431"/>
      <c r="MAJ23" s="3431"/>
      <c r="MAK23" s="3431"/>
      <c r="MAL23" s="3431"/>
      <c r="MAM23" s="3431"/>
      <c r="MAN23" s="3431"/>
      <c r="MAO23" s="3431"/>
      <c r="MAP23" s="3431"/>
      <c r="MAQ23" s="3431"/>
      <c r="MAR23" s="3431"/>
      <c r="MAS23" s="3431"/>
      <c r="MAT23" s="3431"/>
      <c r="MAU23" s="3431"/>
      <c r="MAV23" s="3431"/>
      <c r="MAW23" s="3431"/>
      <c r="MAX23" s="3431"/>
      <c r="MAY23" s="3431"/>
      <c r="MAZ23" s="3431"/>
      <c r="MBA23" s="3431"/>
      <c r="MBB23" s="3431"/>
      <c r="MBC23" s="3431"/>
      <c r="MBD23" s="3431"/>
      <c r="MBE23" s="3431"/>
      <c r="MBF23" s="3431"/>
      <c r="MBG23" s="3431"/>
      <c r="MBH23" s="3431"/>
      <c r="MBI23" s="3431"/>
      <c r="MBJ23" s="3431"/>
      <c r="MBK23" s="3431"/>
      <c r="MBL23" s="3431"/>
      <c r="MBM23" s="3431"/>
      <c r="MBN23" s="3431"/>
      <c r="MBO23" s="3431"/>
      <c r="MBP23" s="3431"/>
      <c r="MBQ23" s="3431"/>
      <c r="MBR23" s="3431"/>
      <c r="MBS23" s="3431"/>
      <c r="MBT23" s="3431"/>
      <c r="MBU23" s="3431"/>
      <c r="MBV23" s="3431"/>
      <c r="MBW23" s="3431"/>
      <c r="MBX23" s="3431"/>
      <c r="MBY23" s="3431"/>
      <c r="MBZ23" s="3431"/>
      <c r="MCA23" s="3431"/>
      <c r="MCB23" s="3431"/>
      <c r="MCC23" s="3431"/>
      <c r="MCD23" s="3431"/>
      <c r="MCE23" s="3431"/>
      <c r="MCF23" s="3431"/>
      <c r="MCG23" s="3431"/>
      <c r="MCH23" s="3431"/>
      <c r="MCI23" s="3431"/>
      <c r="MCJ23" s="3431"/>
      <c r="MCK23" s="3431"/>
      <c r="MCL23" s="3431"/>
      <c r="MCM23" s="3431"/>
      <c r="MCN23" s="3431"/>
      <c r="MCO23" s="3431"/>
      <c r="MCP23" s="3431"/>
      <c r="MCQ23" s="3431"/>
      <c r="MCR23" s="3431"/>
      <c r="MCS23" s="3431"/>
      <c r="MCT23" s="3431"/>
      <c r="MCU23" s="3431"/>
      <c r="MCV23" s="3431"/>
      <c r="MCW23" s="3431"/>
      <c r="MCX23" s="3431"/>
      <c r="MCY23" s="3431"/>
      <c r="MCZ23" s="3431"/>
      <c r="MDA23" s="3431"/>
      <c r="MDB23" s="3431"/>
      <c r="MDC23" s="3431"/>
      <c r="MDD23" s="3431"/>
      <c r="MDE23" s="3431"/>
      <c r="MDF23" s="3431"/>
      <c r="MDG23" s="3431"/>
      <c r="MDH23" s="3431"/>
      <c r="MDI23" s="3431"/>
      <c r="MDJ23" s="3431"/>
      <c r="MDK23" s="3431"/>
      <c r="MDL23" s="3431"/>
      <c r="MDM23" s="3431"/>
      <c r="MDN23" s="3431"/>
      <c r="MDO23" s="3431"/>
      <c r="MDP23" s="3431"/>
      <c r="MDQ23" s="3431"/>
      <c r="MDR23" s="3431"/>
      <c r="MDS23" s="3431"/>
      <c r="MDT23" s="3431"/>
      <c r="MDU23" s="3431"/>
      <c r="MDV23" s="3431"/>
      <c r="MDW23" s="3431"/>
      <c r="MDX23" s="3431"/>
      <c r="MDY23" s="3431"/>
      <c r="MDZ23" s="3431"/>
      <c r="MEA23" s="3431"/>
      <c r="MEB23" s="3431"/>
      <c r="MEC23" s="3431"/>
      <c r="MED23" s="3431"/>
      <c r="MEE23" s="3431"/>
      <c r="MEF23" s="3431"/>
      <c r="MEG23" s="3431"/>
      <c r="MEH23" s="3431"/>
      <c r="MEI23" s="3431"/>
      <c r="MEJ23" s="3431"/>
      <c r="MEK23" s="3431"/>
      <c r="MEL23" s="3431"/>
      <c r="MEM23" s="3431"/>
      <c r="MEN23" s="3431"/>
      <c r="MEO23" s="3431"/>
      <c r="MEP23" s="3431"/>
      <c r="MEQ23" s="3431"/>
      <c r="MER23" s="3431"/>
      <c r="MES23" s="3431"/>
      <c r="MET23" s="3431"/>
      <c r="MEU23" s="3431"/>
      <c r="MEV23" s="3431"/>
      <c r="MEW23" s="3431"/>
      <c r="MEX23" s="3431"/>
      <c r="MEY23" s="3431"/>
      <c r="MEZ23" s="3431"/>
      <c r="MFA23" s="3431"/>
      <c r="MFB23" s="3431"/>
      <c r="MFC23" s="3431"/>
      <c r="MFD23" s="3431"/>
      <c r="MFE23" s="3431"/>
      <c r="MFF23" s="3431"/>
      <c r="MFG23" s="3431"/>
      <c r="MFH23" s="3431"/>
      <c r="MFI23" s="3431"/>
      <c r="MFJ23" s="3431"/>
      <c r="MFK23" s="3431"/>
      <c r="MFL23" s="3431"/>
      <c r="MFM23" s="3431"/>
      <c r="MFN23" s="3431"/>
      <c r="MFO23" s="3431"/>
      <c r="MFP23" s="3431"/>
      <c r="MFQ23" s="3431"/>
      <c r="MFR23" s="3431"/>
      <c r="MFS23" s="3431"/>
      <c r="MFT23" s="3431"/>
      <c r="MFU23" s="3431"/>
      <c r="MFV23" s="3431"/>
      <c r="MFW23" s="3431"/>
      <c r="MFX23" s="3431"/>
      <c r="MFY23" s="3431"/>
      <c r="MFZ23" s="3431"/>
      <c r="MGA23" s="3431"/>
      <c r="MGB23" s="3431"/>
      <c r="MGC23" s="3431"/>
      <c r="MGD23" s="3431"/>
      <c r="MGE23" s="3431"/>
      <c r="MGF23" s="3431"/>
      <c r="MGG23" s="3431"/>
      <c r="MGH23" s="3431"/>
      <c r="MGI23" s="3431"/>
      <c r="MGJ23" s="3431"/>
      <c r="MGK23" s="3431"/>
      <c r="MGL23" s="3431"/>
      <c r="MGM23" s="3431"/>
      <c r="MGN23" s="3431"/>
      <c r="MGO23" s="3431"/>
      <c r="MGP23" s="3431"/>
      <c r="MGQ23" s="3431"/>
      <c r="MGR23" s="3431"/>
      <c r="MGS23" s="3431"/>
      <c r="MGT23" s="3431"/>
      <c r="MGU23" s="3431"/>
      <c r="MGV23" s="3431"/>
      <c r="MGW23" s="3431"/>
      <c r="MGX23" s="3431"/>
      <c r="MGY23" s="3431"/>
      <c r="MGZ23" s="3431"/>
      <c r="MHA23" s="3431"/>
      <c r="MHB23" s="3431"/>
      <c r="MHC23" s="3431"/>
      <c r="MHD23" s="3431"/>
      <c r="MHE23" s="3431"/>
      <c r="MHF23" s="3431"/>
      <c r="MHG23" s="3431"/>
      <c r="MHH23" s="3431"/>
      <c r="MHI23" s="3431"/>
      <c r="MHJ23" s="3431"/>
      <c r="MHK23" s="3431"/>
      <c r="MHL23" s="3431"/>
      <c r="MHM23" s="3431"/>
      <c r="MHN23" s="3431"/>
      <c r="MHO23" s="3431"/>
      <c r="MHP23" s="3431"/>
      <c r="MHQ23" s="3431"/>
      <c r="MHR23" s="3431"/>
      <c r="MHS23" s="3431"/>
      <c r="MHT23" s="3431"/>
      <c r="MHU23" s="3431"/>
      <c r="MHV23" s="3431"/>
      <c r="MHW23" s="3431"/>
      <c r="MHX23" s="3431"/>
      <c r="MHY23" s="3431"/>
      <c r="MHZ23" s="3431"/>
      <c r="MIA23" s="3431"/>
      <c r="MIB23" s="3431"/>
      <c r="MIC23" s="3431"/>
      <c r="MID23" s="3431"/>
      <c r="MIE23" s="3431"/>
      <c r="MIF23" s="3431"/>
      <c r="MIG23" s="3431"/>
      <c r="MIH23" s="3431"/>
      <c r="MII23" s="3431"/>
      <c r="MIJ23" s="3431"/>
      <c r="MIK23" s="3431"/>
      <c r="MIL23" s="3431"/>
      <c r="MIM23" s="3431"/>
      <c r="MIN23" s="3431"/>
      <c r="MIO23" s="3431"/>
      <c r="MIP23" s="3431"/>
      <c r="MIQ23" s="3431"/>
      <c r="MIR23" s="3431"/>
      <c r="MIS23" s="3431"/>
      <c r="MIT23" s="3431"/>
      <c r="MIU23" s="3431"/>
      <c r="MIV23" s="3431"/>
      <c r="MIW23" s="3431"/>
      <c r="MIX23" s="3431"/>
      <c r="MIY23" s="3431"/>
      <c r="MIZ23" s="3431"/>
      <c r="MJA23" s="3431"/>
      <c r="MJB23" s="3431"/>
      <c r="MJC23" s="3431"/>
      <c r="MJD23" s="3431"/>
      <c r="MJE23" s="3431"/>
      <c r="MJF23" s="3431"/>
      <c r="MJG23" s="3431"/>
      <c r="MJH23" s="3431"/>
      <c r="MJI23" s="3431"/>
      <c r="MJJ23" s="3431"/>
      <c r="MJK23" s="3431"/>
      <c r="MJL23" s="3431"/>
      <c r="MJM23" s="3431"/>
      <c r="MJN23" s="3431"/>
      <c r="MJO23" s="3431"/>
      <c r="MJP23" s="3431"/>
      <c r="MJQ23" s="3431"/>
      <c r="MJR23" s="3431"/>
      <c r="MJS23" s="3431"/>
      <c r="MJT23" s="3431"/>
      <c r="MJU23" s="3431"/>
      <c r="MJV23" s="3431"/>
      <c r="MJW23" s="3431"/>
      <c r="MJX23" s="3431"/>
      <c r="MJY23" s="3431"/>
      <c r="MJZ23" s="3431"/>
      <c r="MKA23" s="3431"/>
      <c r="MKB23" s="3431"/>
      <c r="MKC23" s="3431"/>
      <c r="MKD23" s="3431"/>
      <c r="MKE23" s="3431"/>
      <c r="MKF23" s="3431"/>
      <c r="MKG23" s="3431"/>
      <c r="MKH23" s="3431"/>
      <c r="MKI23" s="3431"/>
      <c r="MKJ23" s="3431"/>
      <c r="MKK23" s="3431"/>
      <c r="MKL23" s="3431"/>
      <c r="MKM23" s="3431"/>
      <c r="MKN23" s="3431"/>
      <c r="MKO23" s="3431"/>
      <c r="MKP23" s="3431"/>
      <c r="MKQ23" s="3431"/>
      <c r="MKR23" s="3431"/>
      <c r="MKS23" s="3431"/>
      <c r="MKT23" s="3431"/>
      <c r="MKU23" s="3431"/>
      <c r="MKV23" s="3431"/>
      <c r="MKW23" s="3431"/>
      <c r="MKX23" s="3431"/>
      <c r="MKY23" s="3431"/>
      <c r="MKZ23" s="3431"/>
      <c r="MLA23" s="3431"/>
      <c r="MLB23" s="3431"/>
      <c r="MLC23" s="3431"/>
      <c r="MLD23" s="3431"/>
      <c r="MLE23" s="3431"/>
      <c r="MLF23" s="3431"/>
      <c r="MLG23" s="3431"/>
      <c r="MLH23" s="3431"/>
      <c r="MLI23" s="3431"/>
      <c r="MLJ23" s="3431"/>
      <c r="MLK23" s="3431"/>
      <c r="MLL23" s="3431"/>
      <c r="MLM23" s="3431"/>
      <c r="MLN23" s="3431"/>
      <c r="MLO23" s="3431"/>
      <c r="MLP23" s="3431"/>
      <c r="MLQ23" s="3431"/>
      <c r="MLR23" s="3431"/>
      <c r="MLS23" s="3431"/>
      <c r="MLT23" s="3431"/>
      <c r="MLU23" s="3431"/>
      <c r="MLV23" s="3431"/>
      <c r="MLW23" s="3431"/>
      <c r="MLX23" s="3431"/>
      <c r="MLY23" s="3431"/>
      <c r="MLZ23" s="3431"/>
      <c r="MMA23" s="3431"/>
      <c r="MMB23" s="3431"/>
      <c r="MMC23" s="3431"/>
      <c r="MMD23" s="3431"/>
      <c r="MME23" s="3431"/>
      <c r="MMF23" s="3431"/>
      <c r="MMG23" s="3431"/>
      <c r="MMH23" s="3431"/>
      <c r="MMI23" s="3431"/>
      <c r="MMJ23" s="3431"/>
      <c r="MMK23" s="3431"/>
      <c r="MML23" s="3431"/>
      <c r="MMM23" s="3431"/>
      <c r="MMN23" s="3431"/>
      <c r="MMO23" s="3431"/>
      <c r="MMP23" s="3431"/>
      <c r="MMQ23" s="3431"/>
      <c r="MMR23" s="3431"/>
      <c r="MMS23" s="3431"/>
      <c r="MMT23" s="3431"/>
      <c r="MMU23" s="3431"/>
      <c r="MMV23" s="3431"/>
      <c r="MMW23" s="3431"/>
      <c r="MMX23" s="3431"/>
      <c r="MMY23" s="3431"/>
      <c r="MMZ23" s="3431"/>
      <c r="MNA23" s="3431"/>
      <c r="MNB23" s="3431"/>
      <c r="MNC23" s="3431"/>
      <c r="MND23" s="3431"/>
      <c r="MNE23" s="3431"/>
      <c r="MNF23" s="3431"/>
      <c r="MNG23" s="3431"/>
      <c r="MNH23" s="3431"/>
      <c r="MNI23" s="3431"/>
      <c r="MNJ23" s="3431"/>
      <c r="MNK23" s="3431"/>
      <c r="MNL23" s="3431"/>
      <c r="MNM23" s="3431"/>
      <c r="MNN23" s="3431"/>
      <c r="MNO23" s="3431"/>
      <c r="MNP23" s="3431"/>
      <c r="MNQ23" s="3431"/>
      <c r="MNR23" s="3431"/>
      <c r="MNS23" s="3431"/>
      <c r="MNT23" s="3431"/>
      <c r="MNU23" s="3431"/>
      <c r="MNV23" s="3431"/>
      <c r="MNW23" s="3431"/>
      <c r="MNX23" s="3431"/>
      <c r="MNY23" s="3431"/>
      <c r="MNZ23" s="3431"/>
      <c r="MOA23" s="3431"/>
      <c r="MOB23" s="3431"/>
      <c r="MOC23" s="3431"/>
      <c r="MOD23" s="3431"/>
      <c r="MOE23" s="3431"/>
      <c r="MOF23" s="3431"/>
      <c r="MOG23" s="3431"/>
      <c r="MOH23" s="3431"/>
      <c r="MOI23" s="3431"/>
      <c r="MOJ23" s="3431"/>
      <c r="MOK23" s="3431"/>
      <c r="MOL23" s="3431"/>
      <c r="MOM23" s="3431"/>
      <c r="MON23" s="3431"/>
      <c r="MOO23" s="3431"/>
      <c r="MOP23" s="3431"/>
      <c r="MOQ23" s="3431"/>
      <c r="MOR23" s="3431"/>
      <c r="MOS23" s="3431"/>
      <c r="MOT23" s="3431"/>
      <c r="MOU23" s="3431"/>
      <c r="MOV23" s="3431"/>
      <c r="MOW23" s="3431"/>
      <c r="MOX23" s="3431"/>
      <c r="MOY23" s="3431"/>
      <c r="MOZ23" s="3431"/>
      <c r="MPA23" s="3431"/>
      <c r="MPB23" s="3431"/>
      <c r="MPC23" s="3431"/>
      <c r="MPD23" s="3431"/>
      <c r="MPE23" s="3431"/>
      <c r="MPF23" s="3431"/>
      <c r="MPG23" s="3431"/>
      <c r="MPH23" s="3431"/>
      <c r="MPI23" s="3431"/>
      <c r="MPJ23" s="3431"/>
      <c r="MPK23" s="3431"/>
      <c r="MPL23" s="3431"/>
      <c r="MPM23" s="3431"/>
      <c r="MPN23" s="3431"/>
      <c r="MPO23" s="3431"/>
      <c r="MPP23" s="3431"/>
      <c r="MPQ23" s="3431"/>
      <c r="MPR23" s="3431"/>
      <c r="MPS23" s="3431"/>
      <c r="MPT23" s="3431"/>
      <c r="MPU23" s="3431"/>
      <c r="MPV23" s="3431"/>
      <c r="MPW23" s="3431"/>
      <c r="MPX23" s="3431"/>
      <c r="MPY23" s="3431"/>
      <c r="MPZ23" s="3431"/>
      <c r="MQA23" s="3431"/>
      <c r="MQB23" s="3431"/>
      <c r="MQC23" s="3431"/>
      <c r="MQD23" s="3431"/>
      <c r="MQE23" s="3431"/>
      <c r="MQF23" s="3431"/>
      <c r="MQG23" s="3431"/>
      <c r="MQH23" s="3431"/>
      <c r="MQI23" s="3431"/>
      <c r="MQJ23" s="3431"/>
      <c r="MQK23" s="3431"/>
      <c r="MQL23" s="3431"/>
      <c r="MQM23" s="3431"/>
      <c r="MQN23" s="3431"/>
      <c r="MQO23" s="3431"/>
      <c r="MQP23" s="3431"/>
      <c r="MQQ23" s="3431"/>
      <c r="MQR23" s="3431"/>
      <c r="MQS23" s="3431"/>
      <c r="MQT23" s="3431"/>
      <c r="MQU23" s="3431"/>
      <c r="MQV23" s="3431"/>
      <c r="MQW23" s="3431"/>
      <c r="MQX23" s="3431"/>
      <c r="MQY23" s="3431"/>
      <c r="MQZ23" s="3431"/>
      <c r="MRA23" s="3431"/>
      <c r="MRB23" s="3431"/>
      <c r="MRC23" s="3431"/>
      <c r="MRD23" s="3431"/>
      <c r="MRE23" s="3431"/>
      <c r="MRF23" s="3431"/>
      <c r="MRG23" s="3431"/>
      <c r="MRH23" s="3431"/>
      <c r="MRI23" s="3431"/>
      <c r="MRJ23" s="3431"/>
      <c r="MRK23" s="3431"/>
      <c r="MRL23" s="3431"/>
      <c r="MRM23" s="3431"/>
      <c r="MRN23" s="3431"/>
      <c r="MRO23" s="3431"/>
      <c r="MRP23" s="3431"/>
      <c r="MRQ23" s="3431"/>
      <c r="MRR23" s="3431"/>
      <c r="MRS23" s="3431"/>
      <c r="MRT23" s="3431"/>
      <c r="MRU23" s="3431"/>
      <c r="MRV23" s="3431"/>
      <c r="MRW23" s="3431"/>
      <c r="MRX23" s="3431"/>
      <c r="MRY23" s="3431"/>
      <c r="MRZ23" s="3431"/>
      <c r="MSA23" s="3431"/>
      <c r="MSB23" s="3431"/>
      <c r="MSC23" s="3431"/>
      <c r="MSD23" s="3431"/>
      <c r="MSE23" s="3431"/>
      <c r="MSF23" s="3431"/>
      <c r="MSG23" s="3431"/>
      <c r="MSH23" s="3431"/>
      <c r="MSI23" s="3431"/>
      <c r="MSJ23" s="3431"/>
      <c r="MSK23" s="3431"/>
      <c r="MSL23" s="3431"/>
      <c r="MSM23" s="3431"/>
      <c r="MSN23" s="3431"/>
      <c r="MSO23" s="3431"/>
      <c r="MSP23" s="3431"/>
      <c r="MSQ23" s="3431"/>
      <c r="MSR23" s="3431"/>
      <c r="MSS23" s="3431"/>
      <c r="MST23" s="3431"/>
      <c r="MSU23" s="3431"/>
      <c r="MSV23" s="3431"/>
      <c r="MSW23" s="3431"/>
      <c r="MSX23" s="3431"/>
      <c r="MSY23" s="3431"/>
      <c r="MSZ23" s="3431"/>
      <c r="MTA23" s="3431"/>
      <c r="MTB23" s="3431"/>
      <c r="MTC23" s="3431"/>
      <c r="MTD23" s="3431"/>
      <c r="MTE23" s="3431"/>
      <c r="MTF23" s="3431"/>
      <c r="MTG23" s="3431"/>
      <c r="MTH23" s="3431"/>
      <c r="MTI23" s="3431"/>
      <c r="MTJ23" s="3431"/>
      <c r="MTK23" s="3431"/>
      <c r="MTL23" s="3431"/>
      <c r="MTM23" s="3431"/>
      <c r="MTN23" s="3431"/>
      <c r="MTO23" s="3431"/>
      <c r="MTP23" s="3431"/>
      <c r="MTQ23" s="3431"/>
      <c r="MTR23" s="3431"/>
      <c r="MTS23" s="3431"/>
      <c r="MTT23" s="3431"/>
      <c r="MTU23" s="3431"/>
      <c r="MTV23" s="3431"/>
      <c r="MTW23" s="3431"/>
      <c r="MTX23" s="3431"/>
      <c r="MTY23" s="3431"/>
      <c r="MTZ23" s="3431"/>
      <c r="MUA23" s="3431"/>
      <c r="MUB23" s="3431"/>
      <c r="MUC23" s="3431"/>
      <c r="MUD23" s="3431"/>
      <c r="MUE23" s="3431"/>
      <c r="MUF23" s="3431"/>
      <c r="MUG23" s="3431"/>
      <c r="MUH23" s="3431"/>
      <c r="MUI23" s="3431"/>
      <c r="MUJ23" s="3431"/>
      <c r="MUK23" s="3431"/>
      <c r="MUL23" s="3431"/>
      <c r="MUM23" s="3431"/>
      <c r="MUN23" s="3431"/>
      <c r="MUO23" s="3431"/>
      <c r="MUP23" s="3431"/>
      <c r="MUQ23" s="3431"/>
      <c r="MUR23" s="3431"/>
      <c r="MUS23" s="3431"/>
      <c r="MUT23" s="3431"/>
      <c r="MUU23" s="3431"/>
      <c r="MUV23" s="3431"/>
      <c r="MUW23" s="3431"/>
      <c r="MUX23" s="3431"/>
      <c r="MUY23" s="3431"/>
      <c r="MUZ23" s="3431"/>
      <c r="MVA23" s="3431"/>
      <c r="MVB23" s="3431"/>
      <c r="MVC23" s="3431"/>
      <c r="MVD23" s="3431"/>
      <c r="MVE23" s="3431"/>
      <c r="MVF23" s="3431"/>
      <c r="MVG23" s="3431"/>
      <c r="MVH23" s="3431"/>
      <c r="MVI23" s="3431"/>
      <c r="MVJ23" s="3431"/>
      <c r="MVK23" s="3431"/>
      <c r="MVL23" s="3431"/>
      <c r="MVM23" s="3431"/>
      <c r="MVN23" s="3431"/>
      <c r="MVO23" s="3431"/>
      <c r="MVP23" s="3431"/>
      <c r="MVQ23" s="3431"/>
      <c r="MVR23" s="3431"/>
      <c r="MVS23" s="3431"/>
      <c r="MVT23" s="3431"/>
      <c r="MVU23" s="3431"/>
      <c r="MVV23" s="3431"/>
      <c r="MVW23" s="3431"/>
      <c r="MVX23" s="3431"/>
      <c r="MVY23" s="3431"/>
      <c r="MVZ23" s="3431"/>
      <c r="MWA23" s="3431"/>
      <c r="MWB23" s="3431"/>
      <c r="MWC23" s="3431"/>
      <c r="MWD23" s="3431"/>
      <c r="MWE23" s="3431"/>
      <c r="MWF23" s="3431"/>
      <c r="MWG23" s="3431"/>
      <c r="MWH23" s="3431"/>
      <c r="MWI23" s="3431"/>
      <c r="MWJ23" s="3431"/>
      <c r="MWK23" s="3431"/>
      <c r="MWL23" s="3431"/>
      <c r="MWM23" s="3431"/>
      <c r="MWN23" s="3431"/>
      <c r="MWO23" s="3431"/>
      <c r="MWP23" s="3431"/>
      <c r="MWQ23" s="3431"/>
      <c r="MWR23" s="3431"/>
      <c r="MWS23" s="3431"/>
      <c r="MWT23" s="3431"/>
      <c r="MWU23" s="3431"/>
      <c r="MWV23" s="3431"/>
      <c r="MWW23" s="3431"/>
      <c r="MWX23" s="3431"/>
      <c r="MWY23" s="3431"/>
      <c r="MWZ23" s="3431"/>
      <c r="MXA23" s="3431"/>
      <c r="MXB23" s="3431"/>
      <c r="MXC23" s="3431"/>
      <c r="MXD23" s="3431"/>
      <c r="MXE23" s="3431"/>
      <c r="MXF23" s="3431"/>
      <c r="MXG23" s="3431"/>
      <c r="MXH23" s="3431"/>
      <c r="MXI23" s="3431"/>
      <c r="MXJ23" s="3431"/>
      <c r="MXK23" s="3431"/>
      <c r="MXL23" s="3431"/>
      <c r="MXM23" s="3431"/>
      <c r="MXN23" s="3431"/>
      <c r="MXO23" s="3431"/>
      <c r="MXP23" s="3431"/>
      <c r="MXQ23" s="3431"/>
      <c r="MXR23" s="3431"/>
      <c r="MXS23" s="3431"/>
      <c r="MXT23" s="3431"/>
      <c r="MXU23" s="3431"/>
      <c r="MXV23" s="3431"/>
      <c r="MXW23" s="3431"/>
      <c r="MXX23" s="3431"/>
      <c r="MXY23" s="3431"/>
      <c r="MXZ23" s="3431"/>
      <c r="MYA23" s="3431"/>
      <c r="MYB23" s="3431"/>
      <c r="MYC23" s="3431"/>
      <c r="MYD23" s="3431"/>
      <c r="MYE23" s="3431"/>
      <c r="MYF23" s="3431"/>
      <c r="MYG23" s="3431"/>
      <c r="MYH23" s="3431"/>
      <c r="MYI23" s="3431"/>
      <c r="MYJ23" s="3431"/>
      <c r="MYK23" s="3431"/>
      <c r="MYL23" s="3431"/>
      <c r="MYM23" s="3431"/>
      <c r="MYN23" s="3431"/>
      <c r="MYO23" s="3431"/>
      <c r="MYP23" s="3431"/>
      <c r="MYQ23" s="3431"/>
      <c r="MYR23" s="3431"/>
      <c r="MYS23" s="3431"/>
      <c r="MYT23" s="3431"/>
      <c r="MYU23" s="3431"/>
      <c r="MYV23" s="3431"/>
      <c r="MYW23" s="3431"/>
      <c r="MYX23" s="3431"/>
      <c r="MYY23" s="3431"/>
      <c r="MYZ23" s="3431"/>
      <c r="MZA23" s="3431"/>
      <c r="MZB23" s="3431"/>
      <c r="MZC23" s="3431"/>
      <c r="MZD23" s="3431"/>
      <c r="MZE23" s="3431"/>
      <c r="MZF23" s="3431"/>
      <c r="MZG23" s="3431"/>
      <c r="MZH23" s="3431"/>
      <c r="MZI23" s="3431"/>
      <c r="MZJ23" s="3431"/>
      <c r="MZK23" s="3431"/>
      <c r="MZL23" s="3431"/>
      <c r="MZM23" s="3431"/>
      <c r="MZN23" s="3431"/>
      <c r="MZO23" s="3431"/>
      <c r="MZP23" s="3431"/>
      <c r="MZQ23" s="3431"/>
      <c r="MZR23" s="3431"/>
      <c r="MZS23" s="3431"/>
      <c r="MZT23" s="3431"/>
      <c r="MZU23" s="3431"/>
      <c r="MZV23" s="3431"/>
      <c r="MZW23" s="3431"/>
      <c r="MZX23" s="3431"/>
      <c r="MZY23" s="3431"/>
      <c r="MZZ23" s="3431"/>
      <c r="NAA23" s="3431"/>
      <c r="NAB23" s="3431"/>
      <c r="NAC23" s="3431"/>
      <c r="NAD23" s="3431"/>
      <c r="NAE23" s="3431"/>
      <c r="NAF23" s="3431"/>
      <c r="NAG23" s="3431"/>
      <c r="NAH23" s="3431"/>
      <c r="NAI23" s="3431"/>
      <c r="NAJ23" s="3431"/>
      <c r="NAK23" s="3431"/>
      <c r="NAL23" s="3431"/>
      <c r="NAM23" s="3431"/>
      <c r="NAN23" s="3431"/>
      <c r="NAO23" s="3431"/>
      <c r="NAP23" s="3431"/>
      <c r="NAQ23" s="3431"/>
      <c r="NAR23" s="3431"/>
      <c r="NAS23" s="3431"/>
      <c r="NAT23" s="3431"/>
      <c r="NAU23" s="3431"/>
      <c r="NAV23" s="3431"/>
      <c r="NAW23" s="3431"/>
      <c r="NAX23" s="3431"/>
      <c r="NAY23" s="3431"/>
      <c r="NAZ23" s="3431"/>
      <c r="NBA23" s="3431"/>
      <c r="NBB23" s="3431"/>
      <c r="NBC23" s="3431"/>
      <c r="NBD23" s="3431"/>
      <c r="NBE23" s="3431"/>
      <c r="NBF23" s="3431"/>
      <c r="NBG23" s="3431"/>
      <c r="NBH23" s="3431"/>
      <c r="NBI23" s="3431"/>
      <c r="NBJ23" s="3431"/>
      <c r="NBK23" s="3431"/>
      <c r="NBL23" s="3431"/>
      <c r="NBM23" s="3431"/>
      <c r="NBN23" s="3431"/>
      <c r="NBO23" s="3431"/>
      <c r="NBP23" s="3431"/>
      <c r="NBQ23" s="3431"/>
      <c r="NBR23" s="3431"/>
      <c r="NBS23" s="3431"/>
      <c r="NBT23" s="3431"/>
      <c r="NBU23" s="3431"/>
      <c r="NBV23" s="3431"/>
      <c r="NBW23" s="3431"/>
      <c r="NBX23" s="3431"/>
      <c r="NBY23" s="3431"/>
      <c r="NBZ23" s="3431"/>
      <c r="NCA23" s="3431"/>
      <c r="NCB23" s="3431"/>
      <c r="NCC23" s="3431"/>
      <c r="NCD23" s="3431"/>
      <c r="NCE23" s="3431"/>
      <c r="NCF23" s="3431"/>
      <c r="NCG23" s="3431"/>
      <c r="NCH23" s="3431"/>
      <c r="NCI23" s="3431"/>
      <c r="NCJ23" s="3431"/>
      <c r="NCK23" s="3431"/>
      <c r="NCL23" s="3431"/>
      <c r="NCM23" s="3431"/>
      <c r="NCN23" s="3431"/>
      <c r="NCO23" s="3431"/>
      <c r="NCP23" s="3431"/>
      <c r="NCQ23" s="3431"/>
      <c r="NCR23" s="3431"/>
      <c r="NCS23" s="3431"/>
      <c r="NCT23" s="3431"/>
      <c r="NCU23" s="3431"/>
      <c r="NCV23" s="3431"/>
      <c r="NCW23" s="3431"/>
      <c r="NCX23" s="3431"/>
      <c r="NCY23" s="3431"/>
      <c r="NCZ23" s="3431"/>
      <c r="NDA23" s="3431"/>
      <c r="NDB23" s="3431"/>
      <c r="NDC23" s="3431"/>
      <c r="NDD23" s="3431"/>
      <c r="NDE23" s="3431"/>
      <c r="NDF23" s="3431"/>
      <c r="NDG23" s="3431"/>
      <c r="NDH23" s="3431"/>
      <c r="NDI23" s="3431"/>
      <c r="NDJ23" s="3431"/>
      <c r="NDK23" s="3431"/>
      <c r="NDL23" s="3431"/>
      <c r="NDM23" s="3431"/>
      <c r="NDN23" s="3431"/>
      <c r="NDO23" s="3431"/>
      <c r="NDP23" s="3431"/>
      <c r="NDQ23" s="3431"/>
      <c r="NDR23" s="3431"/>
      <c r="NDS23" s="3431"/>
      <c r="NDT23" s="3431"/>
      <c r="NDU23" s="3431"/>
      <c r="NDV23" s="3431"/>
      <c r="NDW23" s="3431"/>
      <c r="NDX23" s="3431"/>
      <c r="NDY23" s="3431"/>
      <c r="NDZ23" s="3431"/>
      <c r="NEA23" s="3431"/>
      <c r="NEB23" s="3431"/>
      <c r="NEC23" s="3431"/>
      <c r="NED23" s="3431"/>
      <c r="NEE23" s="3431"/>
      <c r="NEF23" s="3431"/>
      <c r="NEG23" s="3431"/>
      <c r="NEH23" s="3431"/>
      <c r="NEI23" s="3431"/>
      <c r="NEJ23" s="3431"/>
      <c r="NEK23" s="3431"/>
      <c r="NEL23" s="3431"/>
      <c r="NEM23" s="3431"/>
      <c r="NEN23" s="3431"/>
      <c r="NEO23" s="3431"/>
      <c r="NEP23" s="3431"/>
      <c r="NEQ23" s="3431"/>
      <c r="NER23" s="3431"/>
      <c r="NES23" s="3431"/>
      <c r="NET23" s="3431"/>
      <c r="NEU23" s="3431"/>
      <c r="NEV23" s="3431"/>
      <c r="NEW23" s="3431"/>
      <c r="NEX23" s="3431"/>
      <c r="NEY23" s="3431"/>
      <c r="NEZ23" s="3431"/>
      <c r="NFA23" s="3431"/>
      <c r="NFB23" s="3431"/>
      <c r="NFC23" s="3431"/>
      <c r="NFD23" s="3431"/>
      <c r="NFE23" s="3431"/>
      <c r="NFF23" s="3431"/>
      <c r="NFG23" s="3431"/>
      <c r="NFH23" s="3431"/>
      <c r="NFI23" s="3431"/>
      <c r="NFJ23" s="3431"/>
      <c r="NFK23" s="3431"/>
      <c r="NFL23" s="3431"/>
      <c r="NFM23" s="3431"/>
      <c r="NFN23" s="3431"/>
      <c r="NFO23" s="3431"/>
      <c r="NFP23" s="3431"/>
      <c r="NFQ23" s="3431"/>
      <c r="NFR23" s="3431"/>
      <c r="NFS23" s="3431"/>
      <c r="NFT23" s="3431"/>
      <c r="NFU23" s="3431"/>
      <c r="NFV23" s="3431"/>
      <c r="NFW23" s="3431"/>
      <c r="NFX23" s="3431"/>
      <c r="NFY23" s="3431"/>
      <c r="NFZ23" s="3431"/>
      <c r="NGA23" s="3431"/>
      <c r="NGB23" s="3431"/>
      <c r="NGC23" s="3431"/>
      <c r="NGD23" s="3431"/>
      <c r="NGE23" s="3431"/>
      <c r="NGF23" s="3431"/>
      <c r="NGG23" s="3431"/>
      <c r="NGH23" s="3431"/>
      <c r="NGI23" s="3431"/>
      <c r="NGJ23" s="3431"/>
      <c r="NGK23" s="3431"/>
      <c r="NGL23" s="3431"/>
      <c r="NGM23" s="3431"/>
      <c r="NGN23" s="3431"/>
      <c r="NGO23" s="3431"/>
      <c r="NGP23" s="3431"/>
      <c r="NGQ23" s="3431"/>
      <c r="NGR23" s="3431"/>
      <c r="NGS23" s="3431"/>
      <c r="NGT23" s="3431"/>
      <c r="NGU23" s="3431"/>
      <c r="NGV23" s="3431"/>
      <c r="NGW23" s="3431"/>
      <c r="NGX23" s="3431"/>
      <c r="NGY23" s="3431"/>
      <c r="NGZ23" s="3431"/>
      <c r="NHA23" s="3431"/>
      <c r="NHB23" s="3431"/>
      <c r="NHC23" s="3431"/>
      <c r="NHD23" s="3431"/>
      <c r="NHE23" s="3431"/>
      <c r="NHF23" s="3431"/>
      <c r="NHG23" s="3431"/>
      <c r="NHH23" s="3431"/>
      <c r="NHI23" s="3431"/>
      <c r="NHJ23" s="3431"/>
      <c r="NHK23" s="3431"/>
      <c r="NHL23" s="3431"/>
      <c r="NHM23" s="3431"/>
      <c r="NHN23" s="3431"/>
      <c r="NHO23" s="3431"/>
      <c r="NHP23" s="3431"/>
      <c r="NHQ23" s="3431"/>
      <c r="NHR23" s="3431"/>
      <c r="NHS23" s="3431"/>
      <c r="NHT23" s="3431"/>
      <c r="NHU23" s="3431"/>
      <c r="NHV23" s="3431"/>
      <c r="NHW23" s="3431"/>
      <c r="NHX23" s="3431"/>
      <c r="NHY23" s="3431"/>
      <c r="NHZ23" s="3431"/>
      <c r="NIA23" s="3431"/>
      <c r="NIB23" s="3431"/>
      <c r="NIC23" s="3431"/>
      <c r="NID23" s="3431"/>
      <c r="NIE23" s="3431"/>
      <c r="NIF23" s="3431"/>
      <c r="NIG23" s="3431"/>
      <c r="NIH23" s="3431"/>
      <c r="NII23" s="3431"/>
      <c r="NIJ23" s="3431"/>
      <c r="NIK23" s="3431"/>
      <c r="NIL23" s="3431"/>
      <c r="NIM23" s="3431"/>
      <c r="NIN23" s="3431"/>
      <c r="NIO23" s="3431"/>
      <c r="NIP23" s="3431"/>
      <c r="NIQ23" s="3431"/>
      <c r="NIR23" s="3431"/>
      <c r="NIS23" s="3431"/>
      <c r="NIT23" s="3431"/>
      <c r="NIU23" s="3431"/>
      <c r="NIV23" s="3431"/>
      <c r="NIW23" s="3431"/>
      <c r="NIX23" s="3431"/>
      <c r="NIY23" s="3431"/>
      <c r="NIZ23" s="3431"/>
      <c r="NJA23" s="3431"/>
      <c r="NJB23" s="3431"/>
      <c r="NJC23" s="3431"/>
      <c r="NJD23" s="3431"/>
      <c r="NJE23" s="3431"/>
      <c r="NJF23" s="3431"/>
      <c r="NJG23" s="3431"/>
      <c r="NJH23" s="3431"/>
      <c r="NJI23" s="3431"/>
      <c r="NJJ23" s="3431"/>
      <c r="NJK23" s="3431"/>
      <c r="NJL23" s="3431"/>
      <c r="NJM23" s="3431"/>
      <c r="NJN23" s="3431"/>
      <c r="NJO23" s="3431"/>
      <c r="NJP23" s="3431"/>
      <c r="NJQ23" s="3431"/>
      <c r="NJR23" s="3431"/>
      <c r="NJS23" s="3431"/>
      <c r="NJT23" s="3431"/>
      <c r="NJU23" s="3431"/>
      <c r="NJV23" s="3431"/>
      <c r="NJW23" s="3431"/>
      <c r="NJX23" s="3431"/>
      <c r="NJY23" s="3431"/>
      <c r="NJZ23" s="3431"/>
      <c r="NKA23" s="3431"/>
      <c r="NKB23" s="3431"/>
      <c r="NKC23" s="3431"/>
      <c r="NKD23" s="3431"/>
      <c r="NKE23" s="3431"/>
      <c r="NKF23" s="3431"/>
      <c r="NKG23" s="3431"/>
      <c r="NKH23" s="3431"/>
      <c r="NKI23" s="3431"/>
      <c r="NKJ23" s="3431"/>
      <c r="NKK23" s="3431"/>
      <c r="NKL23" s="3431"/>
      <c r="NKM23" s="3431"/>
      <c r="NKN23" s="3431"/>
      <c r="NKO23" s="3431"/>
      <c r="NKP23" s="3431"/>
      <c r="NKQ23" s="3431"/>
      <c r="NKR23" s="3431"/>
      <c r="NKS23" s="3431"/>
      <c r="NKT23" s="3431"/>
      <c r="NKU23" s="3431"/>
      <c r="NKV23" s="3431"/>
      <c r="NKW23" s="3431"/>
      <c r="NKX23" s="3431"/>
      <c r="NKY23" s="3431"/>
      <c r="NKZ23" s="3431"/>
      <c r="NLA23" s="3431"/>
      <c r="NLB23" s="3431"/>
      <c r="NLC23" s="3431"/>
      <c r="NLD23" s="3431"/>
      <c r="NLE23" s="3431"/>
      <c r="NLF23" s="3431"/>
      <c r="NLG23" s="3431"/>
      <c r="NLH23" s="3431"/>
      <c r="NLI23" s="3431"/>
      <c r="NLJ23" s="3431"/>
      <c r="NLK23" s="3431"/>
      <c r="NLL23" s="3431"/>
      <c r="NLM23" s="3431"/>
      <c r="NLN23" s="3431"/>
      <c r="NLO23" s="3431"/>
      <c r="NLP23" s="3431"/>
      <c r="NLQ23" s="3431"/>
      <c r="NLR23" s="3431"/>
      <c r="NLS23" s="3431"/>
      <c r="NLT23" s="3431"/>
      <c r="NLU23" s="3431"/>
      <c r="NLV23" s="3431"/>
      <c r="NLW23" s="3431"/>
      <c r="NLX23" s="3431"/>
      <c r="NLY23" s="3431"/>
      <c r="NLZ23" s="3431"/>
      <c r="NMA23" s="3431"/>
      <c r="NMB23" s="3431"/>
      <c r="NMC23" s="3431"/>
      <c r="NMD23" s="3431"/>
      <c r="NME23" s="3431"/>
      <c r="NMF23" s="3431"/>
      <c r="NMG23" s="3431"/>
      <c r="NMH23" s="3431"/>
      <c r="NMI23" s="3431"/>
      <c r="NMJ23" s="3431"/>
      <c r="NMK23" s="3431"/>
      <c r="NML23" s="3431"/>
      <c r="NMM23" s="3431"/>
      <c r="NMN23" s="3431"/>
      <c r="NMO23" s="3431"/>
      <c r="NMP23" s="3431"/>
      <c r="NMQ23" s="3431"/>
      <c r="NMR23" s="3431"/>
      <c r="NMS23" s="3431"/>
      <c r="NMT23" s="3431"/>
      <c r="NMU23" s="3431"/>
      <c r="NMV23" s="3431"/>
      <c r="NMW23" s="3431"/>
      <c r="NMX23" s="3431"/>
      <c r="NMY23" s="3431"/>
      <c r="NMZ23" s="3431"/>
      <c r="NNA23" s="3431"/>
      <c r="NNB23" s="3431"/>
      <c r="NNC23" s="3431"/>
      <c r="NND23" s="3431"/>
      <c r="NNE23" s="3431"/>
      <c r="NNF23" s="3431"/>
      <c r="NNG23" s="3431"/>
      <c r="NNH23" s="3431"/>
      <c r="NNI23" s="3431"/>
      <c r="NNJ23" s="3431"/>
      <c r="NNK23" s="3431"/>
      <c r="NNL23" s="3431"/>
      <c r="NNM23" s="3431"/>
      <c r="NNN23" s="3431"/>
      <c r="NNO23" s="3431"/>
      <c r="NNP23" s="3431"/>
      <c r="NNQ23" s="3431"/>
      <c r="NNR23" s="3431"/>
      <c r="NNS23" s="3431"/>
      <c r="NNT23" s="3431"/>
      <c r="NNU23" s="3431"/>
      <c r="NNV23" s="3431"/>
      <c r="NNW23" s="3431"/>
      <c r="NNX23" s="3431"/>
      <c r="NNY23" s="3431"/>
      <c r="NNZ23" s="3431"/>
      <c r="NOA23" s="3431"/>
      <c r="NOB23" s="3431"/>
      <c r="NOC23" s="3431"/>
      <c r="NOD23" s="3431"/>
      <c r="NOE23" s="3431"/>
      <c r="NOF23" s="3431"/>
      <c r="NOG23" s="3431"/>
      <c r="NOH23" s="3431"/>
      <c r="NOI23" s="3431"/>
      <c r="NOJ23" s="3431"/>
      <c r="NOK23" s="3431"/>
      <c r="NOL23" s="3431"/>
      <c r="NOM23" s="3431"/>
      <c r="NON23" s="3431"/>
      <c r="NOO23" s="3431"/>
      <c r="NOP23" s="3431"/>
      <c r="NOQ23" s="3431"/>
      <c r="NOR23" s="3431"/>
      <c r="NOS23" s="3431"/>
      <c r="NOT23" s="3431"/>
      <c r="NOU23" s="3431"/>
      <c r="NOV23" s="3431"/>
      <c r="NOW23" s="3431"/>
      <c r="NOX23" s="3431"/>
      <c r="NOY23" s="3431"/>
      <c r="NOZ23" s="3431"/>
      <c r="NPA23" s="3431"/>
      <c r="NPB23" s="3431"/>
      <c r="NPC23" s="3431"/>
      <c r="NPD23" s="3431"/>
      <c r="NPE23" s="3431"/>
      <c r="NPF23" s="3431"/>
      <c r="NPG23" s="3431"/>
      <c r="NPH23" s="3431"/>
      <c r="NPI23" s="3431"/>
      <c r="NPJ23" s="3431"/>
      <c r="NPK23" s="3431"/>
      <c r="NPL23" s="3431"/>
      <c r="NPM23" s="3431"/>
      <c r="NPN23" s="3431"/>
      <c r="NPO23" s="3431"/>
      <c r="NPP23" s="3431"/>
      <c r="NPQ23" s="3431"/>
      <c r="NPR23" s="3431"/>
      <c r="NPS23" s="3431"/>
      <c r="NPT23" s="3431"/>
      <c r="NPU23" s="3431"/>
      <c r="NPV23" s="3431"/>
      <c r="NPW23" s="3431"/>
      <c r="NPX23" s="3431"/>
      <c r="NPY23" s="3431"/>
      <c r="NPZ23" s="3431"/>
      <c r="NQA23" s="3431"/>
      <c r="NQB23" s="3431"/>
      <c r="NQC23" s="3431"/>
      <c r="NQD23" s="3431"/>
      <c r="NQE23" s="3431"/>
      <c r="NQF23" s="3431"/>
      <c r="NQG23" s="3431"/>
      <c r="NQH23" s="3431"/>
      <c r="NQI23" s="3431"/>
      <c r="NQJ23" s="3431"/>
      <c r="NQK23" s="3431"/>
      <c r="NQL23" s="3431"/>
      <c r="NQM23" s="3431"/>
      <c r="NQN23" s="3431"/>
      <c r="NQO23" s="3431"/>
      <c r="NQP23" s="3431"/>
      <c r="NQQ23" s="3431"/>
      <c r="NQR23" s="3431"/>
      <c r="NQS23" s="3431"/>
      <c r="NQT23" s="3431"/>
      <c r="NQU23" s="3431"/>
      <c r="NQV23" s="3431"/>
      <c r="NQW23" s="3431"/>
      <c r="NQX23" s="3431"/>
      <c r="NQY23" s="3431"/>
      <c r="NQZ23" s="3431"/>
      <c r="NRA23" s="3431"/>
      <c r="NRB23" s="3431"/>
      <c r="NRC23" s="3431"/>
      <c r="NRD23" s="3431"/>
      <c r="NRE23" s="3431"/>
      <c r="NRF23" s="3431"/>
      <c r="NRG23" s="3431"/>
      <c r="NRH23" s="3431"/>
      <c r="NRI23" s="3431"/>
      <c r="NRJ23" s="3431"/>
      <c r="NRK23" s="3431"/>
      <c r="NRL23" s="3431"/>
      <c r="NRM23" s="3431"/>
      <c r="NRN23" s="3431"/>
      <c r="NRO23" s="3431"/>
      <c r="NRP23" s="3431"/>
      <c r="NRQ23" s="3431"/>
      <c r="NRR23" s="3431"/>
      <c r="NRS23" s="3431"/>
      <c r="NRT23" s="3431"/>
      <c r="NRU23" s="3431"/>
      <c r="NRV23" s="3431"/>
      <c r="NRW23" s="3431"/>
      <c r="NRX23" s="3431"/>
      <c r="NRY23" s="3431"/>
      <c r="NRZ23" s="3431"/>
      <c r="NSA23" s="3431"/>
      <c r="NSB23" s="3431"/>
      <c r="NSC23" s="3431"/>
      <c r="NSD23" s="3431"/>
      <c r="NSE23" s="3431"/>
      <c r="NSF23" s="3431"/>
      <c r="NSG23" s="3431"/>
      <c r="NSH23" s="3431"/>
      <c r="NSI23" s="3431"/>
      <c r="NSJ23" s="3431"/>
      <c r="NSK23" s="3431"/>
      <c r="NSL23" s="3431"/>
      <c r="NSM23" s="3431"/>
      <c r="NSN23" s="3431"/>
      <c r="NSO23" s="3431"/>
      <c r="NSP23" s="3431"/>
      <c r="NSQ23" s="3431"/>
      <c r="NSR23" s="3431"/>
      <c r="NSS23" s="3431"/>
      <c r="NST23" s="3431"/>
      <c r="NSU23" s="3431"/>
      <c r="NSV23" s="3431"/>
      <c r="NSW23" s="3431"/>
      <c r="NSX23" s="3431"/>
      <c r="NSY23" s="3431"/>
      <c r="NSZ23" s="3431"/>
      <c r="NTA23" s="3431"/>
      <c r="NTB23" s="3431"/>
      <c r="NTC23" s="3431"/>
      <c r="NTD23" s="3431"/>
      <c r="NTE23" s="3431"/>
      <c r="NTF23" s="3431"/>
      <c r="NTG23" s="3431"/>
      <c r="NTH23" s="3431"/>
      <c r="NTI23" s="3431"/>
      <c r="NTJ23" s="3431"/>
      <c r="NTK23" s="3431"/>
      <c r="NTL23" s="3431"/>
      <c r="NTM23" s="3431"/>
      <c r="NTN23" s="3431"/>
      <c r="NTO23" s="3431"/>
      <c r="NTP23" s="3431"/>
      <c r="NTQ23" s="3431"/>
      <c r="NTR23" s="3431"/>
      <c r="NTS23" s="3431"/>
      <c r="NTT23" s="3431"/>
      <c r="NTU23" s="3431"/>
      <c r="NTV23" s="3431"/>
      <c r="NTW23" s="3431"/>
      <c r="NTX23" s="3431"/>
      <c r="NTY23" s="3431"/>
      <c r="NTZ23" s="3431"/>
      <c r="NUA23" s="3431"/>
      <c r="NUB23" s="3431"/>
      <c r="NUC23" s="3431"/>
      <c r="NUD23" s="3431"/>
      <c r="NUE23" s="3431"/>
      <c r="NUF23" s="3431"/>
      <c r="NUG23" s="3431"/>
      <c r="NUH23" s="3431"/>
      <c r="NUI23" s="3431"/>
      <c r="NUJ23" s="3431"/>
      <c r="NUK23" s="3431"/>
      <c r="NUL23" s="3431"/>
      <c r="NUM23" s="3431"/>
      <c r="NUN23" s="3431"/>
      <c r="NUO23" s="3431"/>
      <c r="NUP23" s="3431"/>
      <c r="NUQ23" s="3431"/>
      <c r="NUR23" s="3431"/>
      <c r="NUS23" s="3431"/>
      <c r="NUT23" s="3431"/>
      <c r="NUU23" s="3431"/>
      <c r="NUV23" s="3431"/>
      <c r="NUW23" s="3431"/>
      <c r="NUX23" s="3431"/>
      <c r="NUY23" s="3431"/>
      <c r="NUZ23" s="3431"/>
      <c r="NVA23" s="3431"/>
      <c r="NVB23" s="3431"/>
      <c r="NVC23" s="3431"/>
      <c r="NVD23" s="3431"/>
      <c r="NVE23" s="3431"/>
      <c r="NVF23" s="3431"/>
      <c r="NVG23" s="3431"/>
      <c r="NVH23" s="3431"/>
      <c r="NVI23" s="3431"/>
      <c r="NVJ23" s="3431"/>
      <c r="NVK23" s="3431"/>
      <c r="NVL23" s="3431"/>
      <c r="NVM23" s="3431"/>
      <c r="NVN23" s="3431"/>
      <c r="NVO23" s="3431"/>
      <c r="NVP23" s="3431"/>
      <c r="NVQ23" s="3431"/>
      <c r="NVR23" s="3431"/>
      <c r="NVS23" s="3431"/>
      <c r="NVT23" s="3431"/>
      <c r="NVU23" s="3431"/>
      <c r="NVV23" s="3431"/>
      <c r="NVW23" s="3431"/>
      <c r="NVX23" s="3431"/>
      <c r="NVY23" s="3431"/>
      <c r="NVZ23" s="3431"/>
      <c r="NWA23" s="3431"/>
      <c r="NWB23" s="3431"/>
      <c r="NWC23" s="3431"/>
      <c r="NWD23" s="3431"/>
      <c r="NWE23" s="3431"/>
      <c r="NWF23" s="3431"/>
      <c r="NWG23" s="3431"/>
      <c r="NWH23" s="3431"/>
      <c r="NWI23" s="3431"/>
      <c r="NWJ23" s="3431"/>
      <c r="NWK23" s="3431"/>
      <c r="NWL23" s="3431"/>
      <c r="NWM23" s="3431"/>
      <c r="NWN23" s="3431"/>
      <c r="NWO23" s="3431"/>
      <c r="NWP23" s="3431"/>
      <c r="NWQ23" s="3431"/>
      <c r="NWR23" s="3431"/>
      <c r="NWS23" s="3431"/>
      <c r="NWT23" s="3431"/>
      <c r="NWU23" s="3431"/>
      <c r="NWV23" s="3431"/>
      <c r="NWW23" s="3431"/>
      <c r="NWX23" s="3431"/>
      <c r="NWY23" s="3431"/>
      <c r="NWZ23" s="3431"/>
      <c r="NXA23" s="3431"/>
      <c r="NXB23" s="3431"/>
      <c r="NXC23" s="3431"/>
      <c r="NXD23" s="3431"/>
      <c r="NXE23" s="3431"/>
      <c r="NXF23" s="3431"/>
      <c r="NXG23" s="3431"/>
      <c r="NXH23" s="3431"/>
      <c r="NXI23" s="3431"/>
      <c r="NXJ23" s="3431"/>
      <c r="NXK23" s="3431"/>
      <c r="NXL23" s="3431"/>
      <c r="NXM23" s="3431"/>
      <c r="NXN23" s="3431"/>
      <c r="NXO23" s="3431"/>
      <c r="NXP23" s="3431"/>
      <c r="NXQ23" s="3431"/>
      <c r="NXR23" s="3431"/>
      <c r="NXS23" s="3431"/>
      <c r="NXT23" s="3431"/>
      <c r="NXU23" s="3431"/>
      <c r="NXV23" s="3431"/>
      <c r="NXW23" s="3431"/>
      <c r="NXX23" s="3431"/>
      <c r="NXY23" s="3431"/>
      <c r="NXZ23" s="3431"/>
      <c r="NYA23" s="3431"/>
      <c r="NYB23" s="3431"/>
      <c r="NYC23" s="3431"/>
      <c r="NYD23" s="3431"/>
      <c r="NYE23" s="3431"/>
      <c r="NYF23" s="3431"/>
      <c r="NYG23" s="3431"/>
      <c r="NYH23" s="3431"/>
      <c r="NYI23" s="3431"/>
      <c r="NYJ23" s="3431"/>
      <c r="NYK23" s="3431"/>
      <c r="NYL23" s="3431"/>
      <c r="NYM23" s="3431"/>
      <c r="NYN23" s="3431"/>
      <c r="NYO23" s="3431"/>
      <c r="NYP23" s="3431"/>
      <c r="NYQ23" s="3431"/>
      <c r="NYR23" s="3431"/>
      <c r="NYS23" s="3431"/>
      <c r="NYT23" s="3431"/>
      <c r="NYU23" s="3431"/>
      <c r="NYV23" s="3431"/>
      <c r="NYW23" s="3431"/>
      <c r="NYX23" s="3431"/>
      <c r="NYY23" s="3431"/>
      <c r="NYZ23" s="3431"/>
      <c r="NZA23" s="3431"/>
      <c r="NZB23" s="3431"/>
      <c r="NZC23" s="3431"/>
      <c r="NZD23" s="3431"/>
      <c r="NZE23" s="3431"/>
      <c r="NZF23" s="3431"/>
      <c r="NZG23" s="3431"/>
      <c r="NZH23" s="3431"/>
      <c r="NZI23" s="3431"/>
      <c r="NZJ23" s="3431"/>
      <c r="NZK23" s="3431"/>
      <c r="NZL23" s="3431"/>
      <c r="NZM23" s="3431"/>
      <c r="NZN23" s="3431"/>
      <c r="NZO23" s="3431"/>
      <c r="NZP23" s="3431"/>
      <c r="NZQ23" s="3431"/>
      <c r="NZR23" s="3431"/>
      <c r="NZS23" s="3431"/>
      <c r="NZT23" s="3431"/>
      <c r="NZU23" s="3431"/>
      <c r="NZV23" s="3431"/>
      <c r="NZW23" s="3431"/>
      <c r="NZX23" s="3431"/>
      <c r="NZY23" s="3431"/>
      <c r="NZZ23" s="3431"/>
      <c r="OAA23" s="3431"/>
      <c r="OAB23" s="3431"/>
      <c r="OAC23" s="3431"/>
      <c r="OAD23" s="3431"/>
      <c r="OAE23" s="3431"/>
      <c r="OAF23" s="3431"/>
      <c r="OAG23" s="3431"/>
      <c r="OAH23" s="3431"/>
      <c r="OAI23" s="3431"/>
      <c r="OAJ23" s="3431"/>
      <c r="OAK23" s="3431"/>
      <c r="OAL23" s="3431"/>
      <c r="OAM23" s="3431"/>
      <c r="OAN23" s="3431"/>
      <c r="OAO23" s="3431"/>
      <c r="OAP23" s="3431"/>
      <c r="OAQ23" s="3431"/>
      <c r="OAR23" s="3431"/>
      <c r="OAS23" s="3431"/>
      <c r="OAT23" s="3431"/>
      <c r="OAU23" s="3431"/>
      <c r="OAV23" s="3431"/>
      <c r="OAW23" s="3431"/>
      <c r="OAX23" s="3431"/>
      <c r="OAY23" s="3431"/>
      <c r="OAZ23" s="3431"/>
      <c r="OBA23" s="3431"/>
      <c r="OBB23" s="3431"/>
      <c r="OBC23" s="3431"/>
      <c r="OBD23" s="3431"/>
      <c r="OBE23" s="3431"/>
      <c r="OBF23" s="3431"/>
      <c r="OBG23" s="3431"/>
      <c r="OBH23" s="3431"/>
      <c r="OBI23" s="3431"/>
      <c r="OBJ23" s="3431"/>
      <c r="OBK23" s="3431"/>
      <c r="OBL23" s="3431"/>
      <c r="OBM23" s="3431"/>
      <c r="OBN23" s="3431"/>
      <c r="OBO23" s="3431"/>
      <c r="OBP23" s="3431"/>
      <c r="OBQ23" s="3431"/>
      <c r="OBR23" s="3431"/>
      <c r="OBS23" s="3431"/>
      <c r="OBT23" s="3431"/>
      <c r="OBU23" s="3431"/>
      <c r="OBV23" s="3431"/>
      <c r="OBW23" s="3431"/>
      <c r="OBX23" s="3431"/>
      <c r="OBY23" s="3431"/>
      <c r="OBZ23" s="3431"/>
      <c r="OCA23" s="3431"/>
      <c r="OCB23" s="3431"/>
      <c r="OCC23" s="3431"/>
      <c r="OCD23" s="3431"/>
      <c r="OCE23" s="3431"/>
      <c r="OCF23" s="3431"/>
      <c r="OCG23" s="3431"/>
      <c r="OCH23" s="3431"/>
      <c r="OCI23" s="3431"/>
      <c r="OCJ23" s="3431"/>
      <c r="OCK23" s="3431"/>
      <c r="OCL23" s="3431"/>
      <c r="OCM23" s="3431"/>
      <c r="OCN23" s="3431"/>
      <c r="OCO23" s="3431"/>
      <c r="OCP23" s="3431"/>
      <c r="OCQ23" s="3431"/>
      <c r="OCR23" s="3431"/>
      <c r="OCS23" s="3431"/>
      <c r="OCT23" s="3431"/>
      <c r="OCU23" s="3431"/>
      <c r="OCV23" s="3431"/>
      <c r="OCW23" s="3431"/>
      <c r="OCX23" s="3431"/>
      <c r="OCY23" s="3431"/>
      <c r="OCZ23" s="3431"/>
      <c r="ODA23" s="3431"/>
      <c r="ODB23" s="3431"/>
      <c r="ODC23" s="3431"/>
      <c r="ODD23" s="3431"/>
      <c r="ODE23" s="3431"/>
      <c r="ODF23" s="3431"/>
      <c r="ODG23" s="3431"/>
      <c r="ODH23" s="3431"/>
      <c r="ODI23" s="3431"/>
      <c r="ODJ23" s="3431"/>
      <c r="ODK23" s="3431"/>
      <c r="ODL23" s="3431"/>
      <c r="ODM23" s="3431"/>
      <c r="ODN23" s="3431"/>
      <c r="ODO23" s="3431"/>
      <c r="ODP23" s="3431"/>
      <c r="ODQ23" s="3431"/>
      <c r="ODR23" s="3431"/>
      <c r="ODS23" s="3431"/>
      <c r="ODT23" s="3431"/>
      <c r="ODU23" s="3431"/>
      <c r="ODV23" s="3431"/>
      <c r="ODW23" s="3431"/>
      <c r="ODX23" s="3431"/>
      <c r="ODY23" s="3431"/>
      <c r="ODZ23" s="3431"/>
      <c r="OEA23" s="3431"/>
      <c r="OEB23" s="3431"/>
      <c r="OEC23" s="3431"/>
      <c r="OED23" s="3431"/>
      <c r="OEE23" s="3431"/>
      <c r="OEF23" s="3431"/>
      <c r="OEG23" s="3431"/>
      <c r="OEH23" s="3431"/>
      <c r="OEI23" s="3431"/>
      <c r="OEJ23" s="3431"/>
      <c r="OEK23" s="3431"/>
      <c r="OEL23" s="3431"/>
      <c r="OEM23" s="3431"/>
      <c r="OEN23" s="3431"/>
      <c r="OEO23" s="3431"/>
      <c r="OEP23" s="3431"/>
      <c r="OEQ23" s="3431"/>
      <c r="OER23" s="3431"/>
      <c r="OES23" s="3431"/>
      <c r="OET23" s="3431"/>
      <c r="OEU23" s="3431"/>
      <c r="OEV23" s="3431"/>
      <c r="OEW23" s="3431"/>
      <c r="OEX23" s="3431"/>
      <c r="OEY23" s="3431"/>
      <c r="OEZ23" s="3431"/>
      <c r="OFA23" s="3431"/>
      <c r="OFB23" s="3431"/>
      <c r="OFC23" s="3431"/>
      <c r="OFD23" s="3431"/>
      <c r="OFE23" s="3431"/>
      <c r="OFF23" s="3431"/>
      <c r="OFG23" s="3431"/>
      <c r="OFH23" s="3431"/>
      <c r="OFI23" s="3431"/>
      <c r="OFJ23" s="3431"/>
      <c r="OFK23" s="3431"/>
      <c r="OFL23" s="3431"/>
      <c r="OFM23" s="3431"/>
      <c r="OFN23" s="3431"/>
      <c r="OFO23" s="3431"/>
      <c r="OFP23" s="3431"/>
      <c r="OFQ23" s="3431"/>
      <c r="OFR23" s="3431"/>
      <c r="OFS23" s="3431"/>
      <c r="OFT23" s="3431"/>
      <c r="OFU23" s="3431"/>
      <c r="OFV23" s="3431"/>
      <c r="OFW23" s="3431"/>
      <c r="OFX23" s="3431"/>
      <c r="OFY23" s="3431"/>
      <c r="OFZ23" s="3431"/>
      <c r="OGA23" s="3431"/>
      <c r="OGB23" s="3431"/>
      <c r="OGC23" s="3431"/>
      <c r="OGD23" s="3431"/>
      <c r="OGE23" s="3431"/>
      <c r="OGF23" s="3431"/>
      <c r="OGG23" s="3431"/>
      <c r="OGH23" s="3431"/>
      <c r="OGI23" s="3431"/>
      <c r="OGJ23" s="3431"/>
      <c r="OGK23" s="3431"/>
      <c r="OGL23" s="3431"/>
      <c r="OGM23" s="3431"/>
      <c r="OGN23" s="3431"/>
      <c r="OGO23" s="3431"/>
      <c r="OGP23" s="3431"/>
      <c r="OGQ23" s="3431"/>
      <c r="OGR23" s="3431"/>
      <c r="OGS23" s="3431"/>
      <c r="OGT23" s="3431"/>
      <c r="OGU23" s="3431"/>
      <c r="OGV23" s="3431"/>
      <c r="OGW23" s="3431"/>
      <c r="OGX23" s="3431"/>
      <c r="OGY23" s="3431"/>
      <c r="OGZ23" s="3431"/>
      <c r="OHA23" s="3431"/>
      <c r="OHB23" s="3431"/>
      <c r="OHC23" s="3431"/>
      <c r="OHD23" s="3431"/>
      <c r="OHE23" s="3431"/>
      <c r="OHF23" s="3431"/>
      <c r="OHG23" s="3431"/>
      <c r="OHH23" s="3431"/>
      <c r="OHI23" s="3431"/>
      <c r="OHJ23" s="3431"/>
      <c r="OHK23" s="3431"/>
      <c r="OHL23" s="3431"/>
      <c r="OHM23" s="3431"/>
      <c r="OHN23" s="3431"/>
      <c r="OHO23" s="3431"/>
      <c r="OHP23" s="3431"/>
      <c r="OHQ23" s="3431"/>
      <c r="OHR23" s="3431"/>
      <c r="OHS23" s="3431"/>
      <c r="OHT23" s="3431"/>
      <c r="OHU23" s="3431"/>
      <c r="OHV23" s="3431"/>
      <c r="OHW23" s="3431"/>
      <c r="OHX23" s="3431"/>
      <c r="OHY23" s="3431"/>
      <c r="OHZ23" s="3431"/>
      <c r="OIA23" s="3431"/>
      <c r="OIB23" s="3431"/>
      <c r="OIC23" s="3431"/>
      <c r="OID23" s="3431"/>
      <c r="OIE23" s="3431"/>
      <c r="OIF23" s="3431"/>
      <c r="OIG23" s="3431"/>
      <c r="OIH23" s="3431"/>
      <c r="OII23" s="3431"/>
      <c r="OIJ23" s="3431"/>
      <c r="OIK23" s="3431"/>
      <c r="OIL23" s="3431"/>
      <c r="OIM23" s="3431"/>
      <c r="OIN23" s="3431"/>
      <c r="OIO23" s="3431"/>
      <c r="OIP23" s="3431"/>
      <c r="OIQ23" s="3431"/>
      <c r="OIR23" s="3431"/>
      <c r="OIS23" s="3431"/>
      <c r="OIT23" s="3431"/>
      <c r="OIU23" s="3431"/>
      <c r="OIV23" s="3431"/>
      <c r="OIW23" s="3431"/>
      <c r="OIX23" s="3431"/>
      <c r="OIY23" s="3431"/>
      <c r="OIZ23" s="3431"/>
      <c r="OJA23" s="3431"/>
      <c r="OJB23" s="3431"/>
      <c r="OJC23" s="3431"/>
      <c r="OJD23" s="3431"/>
      <c r="OJE23" s="3431"/>
      <c r="OJF23" s="3431"/>
      <c r="OJG23" s="3431"/>
      <c r="OJH23" s="3431"/>
      <c r="OJI23" s="3431"/>
      <c r="OJJ23" s="3431"/>
      <c r="OJK23" s="3431"/>
      <c r="OJL23" s="3431"/>
      <c r="OJM23" s="3431"/>
      <c r="OJN23" s="3431"/>
      <c r="OJO23" s="3431"/>
      <c r="OJP23" s="3431"/>
      <c r="OJQ23" s="3431"/>
      <c r="OJR23" s="3431"/>
      <c r="OJS23" s="3431"/>
      <c r="OJT23" s="3431"/>
      <c r="OJU23" s="3431"/>
      <c r="OJV23" s="3431"/>
      <c r="OJW23" s="3431"/>
      <c r="OJX23" s="3431"/>
      <c r="OJY23" s="3431"/>
      <c r="OJZ23" s="3431"/>
      <c r="OKA23" s="3431"/>
      <c r="OKB23" s="3431"/>
      <c r="OKC23" s="3431"/>
      <c r="OKD23" s="3431"/>
      <c r="OKE23" s="3431"/>
      <c r="OKF23" s="3431"/>
      <c r="OKG23" s="3431"/>
      <c r="OKH23" s="3431"/>
      <c r="OKI23" s="3431"/>
      <c r="OKJ23" s="3431"/>
      <c r="OKK23" s="3431"/>
      <c r="OKL23" s="3431"/>
      <c r="OKM23" s="3431"/>
      <c r="OKN23" s="3431"/>
      <c r="OKO23" s="3431"/>
      <c r="OKP23" s="3431"/>
      <c r="OKQ23" s="3431"/>
      <c r="OKR23" s="3431"/>
      <c r="OKS23" s="3431"/>
      <c r="OKT23" s="3431"/>
      <c r="OKU23" s="3431"/>
      <c r="OKV23" s="3431"/>
      <c r="OKW23" s="3431"/>
      <c r="OKX23" s="3431"/>
      <c r="OKY23" s="3431"/>
      <c r="OKZ23" s="3431"/>
      <c r="OLA23" s="3431"/>
      <c r="OLB23" s="3431"/>
      <c r="OLC23" s="3431"/>
      <c r="OLD23" s="3431"/>
      <c r="OLE23" s="3431"/>
      <c r="OLF23" s="3431"/>
      <c r="OLG23" s="3431"/>
      <c r="OLH23" s="3431"/>
      <c r="OLI23" s="3431"/>
      <c r="OLJ23" s="3431"/>
      <c r="OLK23" s="3431"/>
      <c r="OLL23" s="3431"/>
      <c r="OLM23" s="3431"/>
      <c r="OLN23" s="3431"/>
      <c r="OLO23" s="3431"/>
      <c r="OLP23" s="3431"/>
      <c r="OLQ23" s="3431"/>
      <c r="OLR23" s="3431"/>
      <c r="OLS23" s="3431"/>
      <c r="OLT23" s="3431"/>
      <c r="OLU23" s="3431"/>
      <c r="OLV23" s="3431"/>
      <c r="OLW23" s="3431"/>
      <c r="OLX23" s="3431"/>
      <c r="OLY23" s="3431"/>
      <c r="OLZ23" s="3431"/>
      <c r="OMA23" s="3431"/>
      <c r="OMB23" s="3431"/>
      <c r="OMC23" s="3431"/>
      <c r="OMD23" s="3431"/>
      <c r="OME23" s="3431"/>
      <c r="OMF23" s="3431"/>
      <c r="OMG23" s="3431"/>
      <c r="OMH23" s="3431"/>
      <c r="OMI23" s="3431"/>
      <c r="OMJ23" s="3431"/>
      <c r="OMK23" s="3431"/>
      <c r="OML23" s="3431"/>
      <c r="OMM23" s="3431"/>
      <c r="OMN23" s="3431"/>
      <c r="OMO23" s="3431"/>
      <c r="OMP23" s="3431"/>
      <c r="OMQ23" s="3431"/>
      <c r="OMR23" s="3431"/>
      <c r="OMS23" s="3431"/>
      <c r="OMT23" s="3431"/>
      <c r="OMU23" s="3431"/>
      <c r="OMV23" s="3431"/>
      <c r="OMW23" s="3431"/>
      <c r="OMX23" s="3431"/>
      <c r="OMY23" s="3431"/>
      <c r="OMZ23" s="3431"/>
      <c r="ONA23" s="3431"/>
      <c r="ONB23" s="3431"/>
      <c r="ONC23" s="3431"/>
      <c r="OND23" s="3431"/>
      <c r="ONE23" s="3431"/>
      <c r="ONF23" s="3431"/>
      <c r="ONG23" s="3431"/>
      <c r="ONH23" s="3431"/>
      <c r="ONI23" s="3431"/>
      <c r="ONJ23" s="3431"/>
      <c r="ONK23" s="3431"/>
      <c r="ONL23" s="3431"/>
      <c r="ONM23" s="3431"/>
      <c r="ONN23" s="3431"/>
      <c r="ONO23" s="3431"/>
      <c r="ONP23" s="3431"/>
      <c r="ONQ23" s="3431"/>
      <c r="ONR23" s="3431"/>
      <c r="ONS23" s="3431"/>
      <c r="ONT23" s="3431"/>
      <c r="ONU23" s="3431"/>
      <c r="ONV23" s="3431"/>
      <c r="ONW23" s="3431"/>
      <c r="ONX23" s="3431"/>
      <c r="ONY23" s="3431"/>
      <c r="ONZ23" s="3431"/>
      <c r="OOA23" s="3431"/>
      <c r="OOB23" s="3431"/>
      <c r="OOC23" s="3431"/>
      <c r="OOD23" s="3431"/>
      <c r="OOE23" s="3431"/>
      <c r="OOF23" s="3431"/>
      <c r="OOG23" s="3431"/>
      <c r="OOH23" s="3431"/>
      <c r="OOI23" s="3431"/>
      <c r="OOJ23" s="3431"/>
      <c r="OOK23" s="3431"/>
      <c r="OOL23" s="3431"/>
      <c r="OOM23" s="3431"/>
      <c r="OON23" s="3431"/>
      <c r="OOO23" s="3431"/>
      <c r="OOP23" s="3431"/>
      <c r="OOQ23" s="3431"/>
      <c r="OOR23" s="3431"/>
      <c r="OOS23" s="3431"/>
      <c r="OOT23" s="3431"/>
      <c r="OOU23" s="3431"/>
      <c r="OOV23" s="3431"/>
      <c r="OOW23" s="3431"/>
      <c r="OOX23" s="3431"/>
      <c r="OOY23" s="3431"/>
      <c r="OOZ23" s="3431"/>
      <c r="OPA23" s="3431"/>
      <c r="OPB23" s="3431"/>
      <c r="OPC23" s="3431"/>
      <c r="OPD23" s="3431"/>
      <c r="OPE23" s="3431"/>
      <c r="OPF23" s="3431"/>
      <c r="OPG23" s="3431"/>
      <c r="OPH23" s="3431"/>
      <c r="OPI23" s="3431"/>
      <c r="OPJ23" s="3431"/>
      <c r="OPK23" s="3431"/>
      <c r="OPL23" s="3431"/>
      <c r="OPM23" s="3431"/>
      <c r="OPN23" s="3431"/>
      <c r="OPO23" s="3431"/>
      <c r="OPP23" s="3431"/>
      <c r="OPQ23" s="3431"/>
      <c r="OPR23" s="3431"/>
      <c r="OPS23" s="3431"/>
      <c r="OPT23" s="3431"/>
      <c r="OPU23" s="3431"/>
      <c r="OPV23" s="3431"/>
      <c r="OPW23" s="3431"/>
      <c r="OPX23" s="3431"/>
      <c r="OPY23" s="3431"/>
      <c r="OPZ23" s="3431"/>
      <c r="OQA23" s="3431"/>
      <c r="OQB23" s="3431"/>
      <c r="OQC23" s="3431"/>
      <c r="OQD23" s="3431"/>
      <c r="OQE23" s="3431"/>
      <c r="OQF23" s="3431"/>
      <c r="OQG23" s="3431"/>
      <c r="OQH23" s="3431"/>
      <c r="OQI23" s="3431"/>
      <c r="OQJ23" s="3431"/>
      <c r="OQK23" s="3431"/>
      <c r="OQL23" s="3431"/>
      <c r="OQM23" s="3431"/>
      <c r="OQN23" s="3431"/>
      <c r="OQO23" s="3431"/>
      <c r="OQP23" s="3431"/>
      <c r="OQQ23" s="3431"/>
      <c r="OQR23" s="3431"/>
      <c r="OQS23" s="3431"/>
      <c r="OQT23" s="3431"/>
      <c r="OQU23" s="3431"/>
      <c r="OQV23" s="3431"/>
      <c r="OQW23" s="3431"/>
      <c r="OQX23" s="3431"/>
      <c r="OQY23" s="3431"/>
      <c r="OQZ23" s="3431"/>
      <c r="ORA23" s="3431"/>
      <c r="ORB23" s="3431"/>
      <c r="ORC23" s="3431"/>
      <c r="ORD23" s="3431"/>
      <c r="ORE23" s="3431"/>
      <c r="ORF23" s="3431"/>
      <c r="ORG23" s="3431"/>
      <c r="ORH23" s="3431"/>
      <c r="ORI23" s="3431"/>
      <c r="ORJ23" s="3431"/>
      <c r="ORK23" s="3431"/>
      <c r="ORL23" s="3431"/>
      <c r="ORM23" s="3431"/>
      <c r="ORN23" s="3431"/>
      <c r="ORO23" s="3431"/>
      <c r="ORP23" s="3431"/>
      <c r="ORQ23" s="3431"/>
      <c r="ORR23" s="3431"/>
      <c r="ORS23" s="3431"/>
      <c r="ORT23" s="3431"/>
      <c r="ORU23" s="3431"/>
      <c r="ORV23" s="3431"/>
      <c r="ORW23" s="3431"/>
      <c r="ORX23" s="3431"/>
      <c r="ORY23" s="3431"/>
      <c r="ORZ23" s="3431"/>
      <c r="OSA23" s="3431"/>
      <c r="OSB23" s="3431"/>
      <c r="OSC23" s="3431"/>
      <c r="OSD23" s="3431"/>
      <c r="OSE23" s="3431"/>
      <c r="OSF23" s="3431"/>
      <c r="OSG23" s="3431"/>
      <c r="OSH23" s="3431"/>
      <c r="OSI23" s="3431"/>
      <c r="OSJ23" s="3431"/>
      <c r="OSK23" s="3431"/>
      <c r="OSL23" s="3431"/>
      <c r="OSM23" s="3431"/>
      <c r="OSN23" s="3431"/>
      <c r="OSO23" s="3431"/>
      <c r="OSP23" s="3431"/>
      <c r="OSQ23" s="3431"/>
      <c r="OSR23" s="3431"/>
      <c r="OSS23" s="3431"/>
      <c r="OST23" s="3431"/>
      <c r="OSU23" s="3431"/>
      <c r="OSV23" s="3431"/>
      <c r="OSW23" s="3431"/>
      <c r="OSX23" s="3431"/>
      <c r="OSY23" s="3431"/>
      <c r="OSZ23" s="3431"/>
      <c r="OTA23" s="3431"/>
      <c r="OTB23" s="3431"/>
      <c r="OTC23" s="3431"/>
      <c r="OTD23" s="3431"/>
      <c r="OTE23" s="3431"/>
      <c r="OTF23" s="3431"/>
      <c r="OTG23" s="3431"/>
      <c r="OTH23" s="3431"/>
      <c r="OTI23" s="3431"/>
      <c r="OTJ23" s="3431"/>
      <c r="OTK23" s="3431"/>
      <c r="OTL23" s="3431"/>
      <c r="OTM23" s="3431"/>
      <c r="OTN23" s="3431"/>
      <c r="OTO23" s="3431"/>
      <c r="OTP23" s="3431"/>
      <c r="OTQ23" s="3431"/>
      <c r="OTR23" s="3431"/>
      <c r="OTS23" s="3431"/>
      <c r="OTT23" s="3431"/>
      <c r="OTU23" s="3431"/>
      <c r="OTV23" s="3431"/>
      <c r="OTW23" s="3431"/>
      <c r="OTX23" s="3431"/>
      <c r="OTY23" s="3431"/>
      <c r="OTZ23" s="3431"/>
      <c r="OUA23" s="3431"/>
      <c r="OUB23" s="3431"/>
      <c r="OUC23" s="3431"/>
      <c r="OUD23" s="3431"/>
      <c r="OUE23" s="3431"/>
      <c r="OUF23" s="3431"/>
      <c r="OUG23" s="3431"/>
      <c r="OUH23" s="3431"/>
      <c r="OUI23" s="3431"/>
      <c r="OUJ23" s="3431"/>
      <c r="OUK23" s="3431"/>
      <c r="OUL23" s="3431"/>
      <c r="OUM23" s="3431"/>
      <c r="OUN23" s="3431"/>
      <c r="OUO23" s="3431"/>
      <c r="OUP23" s="3431"/>
      <c r="OUQ23" s="3431"/>
      <c r="OUR23" s="3431"/>
      <c r="OUS23" s="3431"/>
      <c r="OUT23" s="3431"/>
      <c r="OUU23" s="3431"/>
      <c r="OUV23" s="3431"/>
      <c r="OUW23" s="3431"/>
      <c r="OUX23" s="3431"/>
      <c r="OUY23" s="3431"/>
      <c r="OUZ23" s="3431"/>
      <c r="OVA23" s="3431"/>
      <c r="OVB23" s="3431"/>
      <c r="OVC23" s="3431"/>
      <c r="OVD23" s="3431"/>
      <c r="OVE23" s="3431"/>
      <c r="OVF23" s="3431"/>
      <c r="OVG23" s="3431"/>
      <c r="OVH23" s="3431"/>
      <c r="OVI23" s="3431"/>
      <c r="OVJ23" s="3431"/>
      <c r="OVK23" s="3431"/>
      <c r="OVL23" s="3431"/>
      <c r="OVM23" s="3431"/>
      <c r="OVN23" s="3431"/>
      <c r="OVO23" s="3431"/>
      <c r="OVP23" s="3431"/>
      <c r="OVQ23" s="3431"/>
      <c r="OVR23" s="3431"/>
      <c r="OVS23" s="3431"/>
      <c r="OVT23" s="3431"/>
      <c r="OVU23" s="3431"/>
      <c r="OVV23" s="3431"/>
      <c r="OVW23" s="3431"/>
      <c r="OVX23" s="3431"/>
      <c r="OVY23" s="3431"/>
      <c r="OVZ23" s="3431"/>
      <c r="OWA23" s="3431"/>
      <c r="OWB23" s="3431"/>
      <c r="OWC23" s="3431"/>
      <c r="OWD23" s="3431"/>
      <c r="OWE23" s="3431"/>
      <c r="OWF23" s="3431"/>
      <c r="OWG23" s="3431"/>
      <c r="OWH23" s="3431"/>
      <c r="OWI23" s="3431"/>
      <c r="OWJ23" s="3431"/>
      <c r="OWK23" s="3431"/>
      <c r="OWL23" s="3431"/>
      <c r="OWM23" s="3431"/>
      <c r="OWN23" s="3431"/>
      <c r="OWO23" s="3431"/>
      <c r="OWP23" s="3431"/>
      <c r="OWQ23" s="3431"/>
      <c r="OWR23" s="3431"/>
      <c r="OWS23" s="3431"/>
      <c r="OWT23" s="3431"/>
      <c r="OWU23" s="3431"/>
      <c r="OWV23" s="3431"/>
      <c r="OWW23" s="3431"/>
      <c r="OWX23" s="3431"/>
      <c r="OWY23" s="3431"/>
      <c r="OWZ23" s="3431"/>
      <c r="OXA23" s="3431"/>
      <c r="OXB23" s="3431"/>
      <c r="OXC23" s="3431"/>
      <c r="OXD23" s="3431"/>
      <c r="OXE23" s="3431"/>
      <c r="OXF23" s="3431"/>
      <c r="OXG23" s="3431"/>
      <c r="OXH23" s="3431"/>
      <c r="OXI23" s="3431"/>
      <c r="OXJ23" s="3431"/>
      <c r="OXK23" s="3431"/>
      <c r="OXL23" s="3431"/>
      <c r="OXM23" s="3431"/>
      <c r="OXN23" s="3431"/>
      <c r="OXO23" s="3431"/>
      <c r="OXP23" s="3431"/>
      <c r="OXQ23" s="3431"/>
      <c r="OXR23" s="3431"/>
      <c r="OXS23" s="3431"/>
      <c r="OXT23" s="3431"/>
      <c r="OXU23" s="3431"/>
      <c r="OXV23" s="3431"/>
      <c r="OXW23" s="3431"/>
      <c r="OXX23" s="3431"/>
      <c r="OXY23" s="3431"/>
      <c r="OXZ23" s="3431"/>
      <c r="OYA23" s="3431"/>
      <c r="OYB23" s="3431"/>
      <c r="OYC23" s="3431"/>
      <c r="OYD23" s="3431"/>
      <c r="OYE23" s="3431"/>
      <c r="OYF23" s="3431"/>
      <c r="OYG23" s="3431"/>
      <c r="OYH23" s="3431"/>
      <c r="OYI23" s="3431"/>
      <c r="OYJ23" s="3431"/>
      <c r="OYK23" s="3431"/>
      <c r="OYL23" s="3431"/>
      <c r="OYM23" s="3431"/>
      <c r="OYN23" s="3431"/>
      <c r="OYO23" s="3431"/>
      <c r="OYP23" s="3431"/>
      <c r="OYQ23" s="3431"/>
      <c r="OYR23" s="3431"/>
      <c r="OYS23" s="3431"/>
      <c r="OYT23" s="3431"/>
      <c r="OYU23" s="3431"/>
      <c r="OYV23" s="3431"/>
      <c r="OYW23" s="3431"/>
      <c r="OYX23" s="3431"/>
      <c r="OYY23" s="3431"/>
      <c r="OYZ23" s="3431"/>
      <c r="OZA23" s="3431"/>
      <c r="OZB23" s="3431"/>
      <c r="OZC23" s="3431"/>
      <c r="OZD23" s="3431"/>
      <c r="OZE23" s="3431"/>
      <c r="OZF23" s="3431"/>
      <c r="OZG23" s="3431"/>
      <c r="OZH23" s="3431"/>
      <c r="OZI23" s="3431"/>
      <c r="OZJ23" s="3431"/>
      <c r="OZK23" s="3431"/>
      <c r="OZL23" s="3431"/>
      <c r="OZM23" s="3431"/>
      <c r="OZN23" s="3431"/>
      <c r="OZO23" s="3431"/>
      <c r="OZP23" s="3431"/>
      <c r="OZQ23" s="3431"/>
      <c r="OZR23" s="3431"/>
      <c r="OZS23" s="3431"/>
      <c r="OZT23" s="3431"/>
      <c r="OZU23" s="3431"/>
      <c r="OZV23" s="3431"/>
      <c r="OZW23" s="3431"/>
      <c r="OZX23" s="3431"/>
      <c r="OZY23" s="3431"/>
      <c r="OZZ23" s="3431"/>
      <c r="PAA23" s="3431"/>
      <c r="PAB23" s="3431"/>
      <c r="PAC23" s="3431"/>
      <c r="PAD23" s="3431"/>
      <c r="PAE23" s="3431"/>
      <c r="PAF23" s="3431"/>
      <c r="PAG23" s="3431"/>
      <c r="PAH23" s="3431"/>
      <c r="PAI23" s="3431"/>
      <c r="PAJ23" s="3431"/>
      <c r="PAK23" s="3431"/>
      <c r="PAL23" s="3431"/>
      <c r="PAM23" s="3431"/>
      <c r="PAN23" s="3431"/>
      <c r="PAO23" s="3431"/>
      <c r="PAP23" s="3431"/>
      <c r="PAQ23" s="3431"/>
      <c r="PAR23" s="3431"/>
      <c r="PAS23" s="3431"/>
      <c r="PAT23" s="3431"/>
      <c r="PAU23" s="3431"/>
      <c r="PAV23" s="3431"/>
      <c r="PAW23" s="3431"/>
      <c r="PAX23" s="3431"/>
      <c r="PAY23" s="3431"/>
      <c r="PAZ23" s="3431"/>
      <c r="PBA23" s="3431"/>
      <c r="PBB23" s="3431"/>
      <c r="PBC23" s="3431"/>
      <c r="PBD23" s="3431"/>
      <c r="PBE23" s="3431"/>
      <c r="PBF23" s="3431"/>
      <c r="PBG23" s="3431"/>
      <c r="PBH23" s="3431"/>
      <c r="PBI23" s="3431"/>
      <c r="PBJ23" s="3431"/>
      <c r="PBK23" s="3431"/>
      <c r="PBL23" s="3431"/>
      <c r="PBM23" s="3431"/>
      <c r="PBN23" s="3431"/>
      <c r="PBO23" s="3431"/>
      <c r="PBP23" s="3431"/>
      <c r="PBQ23" s="3431"/>
      <c r="PBR23" s="3431"/>
      <c r="PBS23" s="3431"/>
      <c r="PBT23" s="3431"/>
      <c r="PBU23" s="3431"/>
      <c r="PBV23" s="3431"/>
      <c r="PBW23" s="3431"/>
      <c r="PBX23" s="3431"/>
      <c r="PBY23" s="3431"/>
      <c r="PBZ23" s="3431"/>
      <c r="PCA23" s="3431"/>
      <c r="PCB23" s="3431"/>
      <c r="PCC23" s="3431"/>
      <c r="PCD23" s="3431"/>
      <c r="PCE23" s="3431"/>
      <c r="PCF23" s="3431"/>
      <c r="PCG23" s="3431"/>
      <c r="PCH23" s="3431"/>
      <c r="PCI23" s="3431"/>
      <c r="PCJ23" s="3431"/>
      <c r="PCK23" s="3431"/>
      <c r="PCL23" s="3431"/>
      <c r="PCM23" s="3431"/>
      <c r="PCN23" s="3431"/>
      <c r="PCO23" s="3431"/>
      <c r="PCP23" s="3431"/>
      <c r="PCQ23" s="3431"/>
      <c r="PCR23" s="3431"/>
      <c r="PCS23" s="3431"/>
      <c r="PCT23" s="3431"/>
      <c r="PCU23" s="3431"/>
      <c r="PCV23" s="3431"/>
      <c r="PCW23" s="3431"/>
      <c r="PCX23" s="3431"/>
      <c r="PCY23" s="3431"/>
      <c r="PCZ23" s="3431"/>
      <c r="PDA23" s="3431"/>
      <c r="PDB23" s="3431"/>
      <c r="PDC23" s="3431"/>
      <c r="PDD23" s="3431"/>
      <c r="PDE23" s="3431"/>
      <c r="PDF23" s="3431"/>
      <c r="PDG23" s="3431"/>
      <c r="PDH23" s="3431"/>
      <c r="PDI23" s="3431"/>
      <c r="PDJ23" s="3431"/>
      <c r="PDK23" s="3431"/>
      <c r="PDL23" s="3431"/>
      <c r="PDM23" s="3431"/>
      <c r="PDN23" s="3431"/>
      <c r="PDO23" s="3431"/>
      <c r="PDP23" s="3431"/>
      <c r="PDQ23" s="3431"/>
      <c r="PDR23" s="3431"/>
      <c r="PDS23" s="3431"/>
      <c r="PDT23" s="3431"/>
      <c r="PDU23" s="3431"/>
      <c r="PDV23" s="3431"/>
      <c r="PDW23" s="3431"/>
      <c r="PDX23" s="3431"/>
      <c r="PDY23" s="3431"/>
      <c r="PDZ23" s="3431"/>
      <c r="PEA23" s="3431"/>
      <c r="PEB23" s="3431"/>
      <c r="PEC23" s="3431"/>
      <c r="PED23" s="3431"/>
      <c r="PEE23" s="3431"/>
      <c r="PEF23" s="3431"/>
      <c r="PEG23" s="3431"/>
      <c r="PEH23" s="3431"/>
      <c r="PEI23" s="3431"/>
      <c r="PEJ23" s="3431"/>
      <c r="PEK23" s="3431"/>
      <c r="PEL23" s="3431"/>
      <c r="PEM23" s="3431"/>
      <c r="PEN23" s="3431"/>
      <c r="PEO23" s="3431"/>
      <c r="PEP23" s="3431"/>
      <c r="PEQ23" s="3431"/>
      <c r="PER23" s="3431"/>
      <c r="PES23" s="3431"/>
      <c r="PET23" s="3431"/>
      <c r="PEU23" s="3431"/>
      <c r="PEV23" s="3431"/>
      <c r="PEW23" s="3431"/>
      <c r="PEX23" s="3431"/>
      <c r="PEY23" s="3431"/>
      <c r="PEZ23" s="3431"/>
      <c r="PFA23" s="3431"/>
      <c r="PFB23" s="3431"/>
      <c r="PFC23" s="3431"/>
      <c r="PFD23" s="3431"/>
      <c r="PFE23" s="3431"/>
      <c r="PFF23" s="3431"/>
      <c r="PFG23" s="3431"/>
      <c r="PFH23" s="3431"/>
      <c r="PFI23" s="3431"/>
      <c r="PFJ23" s="3431"/>
      <c r="PFK23" s="3431"/>
      <c r="PFL23" s="3431"/>
      <c r="PFM23" s="3431"/>
      <c r="PFN23" s="3431"/>
      <c r="PFO23" s="3431"/>
      <c r="PFP23" s="3431"/>
      <c r="PFQ23" s="3431"/>
      <c r="PFR23" s="3431"/>
      <c r="PFS23" s="3431"/>
      <c r="PFT23" s="3431"/>
      <c r="PFU23" s="3431"/>
      <c r="PFV23" s="3431"/>
      <c r="PFW23" s="3431"/>
      <c r="PFX23" s="3431"/>
      <c r="PFY23" s="3431"/>
      <c r="PFZ23" s="3431"/>
      <c r="PGA23" s="3431"/>
      <c r="PGB23" s="3431"/>
      <c r="PGC23" s="3431"/>
      <c r="PGD23" s="3431"/>
      <c r="PGE23" s="3431"/>
      <c r="PGF23" s="3431"/>
      <c r="PGG23" s="3431"/>
      <c r="PGH23" s="3431"/>
      <c r="PGI23" s="3431"/>
      <c r="PGJ23" s="3431"/>
      <c r="PGK23" s="3431"/>
      <c r="PGL23" s="3431"/>
      <c r="PGM23" s="3431"/>
      <c r="PGN23" s="3431"/>
      <c r="PGO23" s="3431"/>
      <c r="PGP23" s="3431"/>
      <c r="PGQ23" s="3431"/>
      <c r="PGR23" s="3431"/>
      <c r="PGS23" s="3431"/>
      <c r="PGT23" s="3431"/>
      <c r="PGU23" s="3431"/>
      <c r="PGV23" s="3431"/>
      <c r="PGW23" s="3431"/>
      <c r="PGX23" s="3431"/>
      <c r="PGY23" s="3431"/>
      <c r="PGZ23" s="3431"/>
      <c r="PHA23" s="3431"/>
      <c r="PHB23" s="3431"/>
      <c r="PHC23" s="3431"/>
      <c r="PHD23" s="3431"/>
      <c r="PHE23" s="3431"/>
      <c r="PHF23" s="3431"/>
      <c r="PHG23" s="3431"/>
      <c r="PHH23" s="3431"/>
      <c r="PHI23" s="3431"/>
      <c r="PHJ23" s="3431"/>
      <c r="PHK23" s="3431"/>
      <c r="PHL23" s="3431"/>
      <c r="PHM23" s="3431"/>
      <c r="PHN23" s="3431"/>
      <c r="PHO23" s="3431"/>
      <c r="PHP23" s="3431"/>
      <c r="PHQ23" s="3431"/>
      <c r="PHR23" s="3431"/>
      <c r="PHS23" s="3431"/>
      <c r="PHT23" s="3431"/>
      <c r="PHU23" s="3431"/>
      <c r="PHV23" s="3431"/>
      <c r="PHW23" s="3431"/>
      <c r="PHX23" s="3431"/>
      <c r="PHY23" s="3431"/>
      <c r="PHZ23" s="3431"/>
      <c r="PIA23" s="3431"/>
      <c r="PIB23" s="3431"/>
      <c r="PIC23" s="3431"/>
      <c r="PID23" s="3431"/>
      <c r="PIE23" s="3431"/>
      <c r="PIF23" s="3431"/>
      <c r="PIG23" s="3431"/>
      <c r="PIH23" s="3431"/>
      <c r="PII23" s="3431"/>
      <c r="PIJ23" s="3431"/>
      <c r="PIK23" s="3431"/>
      <c r="PIL23" s="3431"/>
      <c r="PIM23" s="3431"/>
      <c r="PIN23" s="3431"/>
      <c r="PIO23" s="3431"/>
      <c r="PIP23" s="3431"/>
      <c r="PIQ23" s="3431"/>
      <c r="PIR23" s="3431"/>
      <c r="PIS23" s="3431"/>
      <c r="PIT23" s="3431"/>
      <c r="PIU23" s="3431"/>
      <c r="PIV23" s="3431"/>
      <c r="PIW23" s="3431"/>
      <c r="PIX23" s="3431"/>
      <c r="PIY23" s="3431"/>
      <c r="PIZ23" s="3431"/>
      <c r="PJA23" s="3431"/>
      <c r="PJB23" s="3431"/>
      <c r="PJC23" s="3431"/>
      <c r="PJD23" s="3431"/>
      <c r="PJE23" s="3431"/>
      <c r="PJF23" s="3431"/>
      <c r="PJG23" s="3431"/>
      <c r="PJH23" s="3431"/>
      <c r="PJI23" s="3431"/>
      <c r="PJJ23" s="3431"/>
      <c r="PJK23" s="3431"/>
      <c r="PJL23" s="3431"/>
      <c r="PJM23" s="3431"/>
      <c r="PJN23" s="3431"/>
      <c r="PJO23" s="3431"/>
      <c r="PJP23" s="3431"/>
      <c r="PJQ23" s="3431"/>
      <c r="PJR23" s="3431"/>
      <c r="PJS23" s="3431"/>
      <c r="PJT23" s="3431"/>
      <c r="PJU23" s="3431"/>
      <c r="PJV23" s="3431"/>
      <c r="PJW23" s="3431"/>
      <c r="PJX23" s="3431"/>
      <c r="PJY23" s="3431"/>
      <c r="PJZ23" s="3431"/>
      <c r="PKA23" s="3431"/>
      <c r="PKB23" s="3431"/>
      <c r="PKC23" s="3431"/>
      <c r="PKD23" s="3431"/>
      <c r="PKE23" s="3431"/>
      <c r="PKF23" s="3431"/>
      <c r="PKG23" s="3431"/>
      <c r="PKH23" s="3431"/>
      <c r="PKI23" s="3431"/>
      <c r="PKJ23" s="3431"/>
      <c r="PKK23" s="3431"/>
      <c r="PKL23" s="3431"/>
      <c r="PKM23" s="3431"/>
      <c r="PKN23" s="3431"/>
      <c r="PKO23" s="3431"/>
      <c r="PKP23" s="3431"/>
      <c r="PKQ23" s="3431"/>
      <c r="PKR23" s="3431"/>
      <c r="PKS23" s="3431"/>
      <c r="PKT23" s="3431"/>
      <c r="PKU23" s="3431"/>
      <c r="PKV23" s="3431"/>
      <c r="PKW23" s="3431"/>
      <c r="PKX23" s="3431"/>
      <c r="PKY23" s="3431"/>
      <c r="PKZ23" s="3431"/>
      <c r="PLA23" s="3431"/>
      <c r="PLB23" s="3431"/>
      <c r="PLC23" s="3431"/>
      <c r="PLD23" s="3431"/>
      <c r="PLE23" s="3431"/>
      <c r="PLF23" s="3431"/>
      <c r="PLG23" s="3431"/>
      <c r="PLH23" s="3431"/>
      <c r="PLI23" s="3431"/>
      <c r="PLJ23" s="3431"/>
      <c r="PLK23" s="3431"/>
      <c r="PLL23" s="3431"/>
      <c r="PLM23" s="3431"/>
      <c r="PLN23" s="3431"/>
      <c r="PLO23" s="3431"/>
      <c r="PLP23" s="3431"/>
      <c r="PLQ23" s="3431"/>
      <c r="PLR23" s="3431"/>
      <c r="PLS23" s="3431"/>
      <c r="PLT23" s="3431"/>
      <c r="PLU23" s="3431"/>
      <c r="PLV23" s="3431"/>
      <c r="PLW23" s="3431"/>
      <c r="PLX23" s="3431"/>
      <c r="PLY23" s="3431"/>
      <c r="PLZ23" s="3431"/>
      <c r="PMA23" s="3431"/>
      <c r="PMB23" s="3431"/>
      <c r="PMC23" s="3431"/>
      <c r="PMD23" s="3431"/>
      <c r="PME23" s="3431"/>
      <c r="PMF23" s="3431"/>
      <c r="PMG23" s="3431"/>
      <c r="PMH23" s="3431"/>
      <c r="PMI23" s="3431"/>
      <c r="PMJ23" s="3431"/>
      <c r="PMK23" s="3431"/>
      <c r="PML23" s="3431"/>
      <c r="PMM23" s="3431"/>
      <c r="PMN23" s="3431"/>
      <c r="PMO23" s="3431"/>
      <c r="PMP23" s="3431"/>
      <c r="PMQ23" s="3431"/>
      <c r="PMR23" s="3431"/>
      <c r="PMS23" s="3431"/>
      <c r="PMT23" s="3431"/>
      <c r="PMU23" s="3431"/>
      <c r="PMV23" s="3431"/>
      <c r="PMW23" s="3431"/>
      <c r="PMX23" s="3431"/>
      <c r="PMY23" s="3431"/>
      <c r="PMZ23" s="3431"/>
      <c r="PNA23" s="3431"/>
      <c r="PNB23" s="3431"/>
      <c r="PNC23" s="3431"/>
      <c r="PND23" s="3431"/>
      <c r="PNE23" s="3431"/>
      <c r="PNF23" s="3431"/>
      <c r="PNG23" s="3431"/>
      <c r="PNH23" s="3431"/>
      <c r="PNI23" s="3431"/>
      <c r="PNJ23" s="3431"/>
      <c r="PNK23" s="3431"/>
      <c r="PNL23" s="3431"/>
      <c r="PNM23" s="3431"/>
      <c r="PNN23" s="3431"/>
      <c r="PNO23" s="3431"/>
      <c r="PNP23" s="3431"/>
      <c r="PNQ23" s="3431"/>
      <c r="PNR23" s="3431"/>
      <c r="PNS23" s="3431"/>
      <c r="PNT23" s="3431"/>
      <c r="PNU23" s="3431"/>
      <c r="PNV23" s="3431"/>
      <c r="PNW23" s="3431"/>
      <c r="PNX23" s="3431"/>
      <c r="PNY23" s="3431"/>
      <c r="PNZ23" s="3431"/>
      <c r="POA23" s="3431"/>
      <c r="POB23" s="3431"/>
      <c r="POC23" s="3431"/>
      <c r="POD23" s="3431"/>
      <c r="POE23" s="3431"/>
      <c r="POF23" s="3431"/>
      <c r="POG23" s="3431"/>
      <c r="POH23" s="3431"/>
      <c r="POI23" s="3431"/>
      <c r="POJ23" s="3431"/>
      <c r="POK23" s="3431"/>
      <c r="POL23" s="3431"/>
      <c r="POM23" s="3431"/>
      <c r="PON23" s="3431"/>
      <c r="POO23" s="3431"/>
      <c r="POP23" s="3431"/>
      <c r="POQ23" s="3431"/>
      <c r="POR23" s="3431"/>
      <c r="POS23" s="3431"/>
      <c r="POT23" s="3431"/>
      <c r="POU23" s="3431"/>
      <c r="POV23" s="3431"/>
      <c r="POW23" s="3431"/>
      <c r="POX23" s="3431"/>
      <c r="POY23" s="3431"/>
      <c r="POZ23" s="3431"/>
      <c r="PPA23" s="3431"/>
      <c r="PPB23" s="3431"/>
      <c r="PPC23" s="3431"/>
      <c r="PPD23" s="3431"/>
      <c r="PPE23" s="3431"/>
      <c r="PPF23" s="3431"/>
      <c r="PPG23" s="3431"/>
      <c r="PPH23" s="3431"/>
      <c r="PPI23" s="3431"/>
      <c r="PPJ23" s="3431"/>
      <c r="PPK23" s="3431"/>
      <c r="PPL23" s="3431"/>
      <c r="PPM23" s="3431"/>
      <c r="PPN23" s="3431"/>
      <c r="PPO23" s="3431"/>
      <c r="PPP23" s="3431"/>
      <c r="PPQ23" s="3431"/>
      <c r="PPR23" s="3431"/>
      <c r="PPS23" s="3431"/>
      <c r="PPT23" s="3431"/>
      <c r="PPU23" s="3431"/>
      <c r="PPV23" s="3431"/>
      <c r="PPW23" s="3431"/>
      <c r="PPX23" s="3431"/>
      <c r="PPY23" s="3431"/>
      <c r="PPZ23" s="3431"/>
      <c r="PQA23" s="3431"/>
      <c r="PQB23" s="3431"/>
      <c r="PQC23" s="3431"/>
      <c r="PQD23" s="3431"/>
      <c r="PQE23" s="3431"/>
      <c r="PQF23" s="3431"/>
      <c r="PQG23" s="3431"/>
      <c r="PQH23" s="3431"/>
      <c r="PQI23" s="3431"/>
      <c r="PQJ23" s="3431"/>
      <c r="PQK23" s="3431"/>
      <c r="PQL23" s="3431"/>
      <c r="PQM23" s="3431"/>
      <c r="PQN23" s="3431"/>
      <c r="PQO23" s="3431"/>
      <c r="PQP23" s="3431"/>
      <c r="PQQ23" s="3431"/>
      <c r="PQR23" s="3431"/>
      <c r="PQS23" s="3431"/>
      <c r="PQT23" s="3431"/>
      <c r="PQU23" s="3431"/>
      <c r="PQV23" s="3431"/>
      <c r="PQW23" s="3431"/>
      <c r="PQX23" s="3431"/>
      <c r="PQY23" s="3431"/>
      <c r="PQZ23" s="3431"/>
      <c r="PRA23" s="3431"/>
      <c r="PRB23" s="3431"/>
      <c r="PRC23" s="3431"/>
      <c r="PRD23" s="3431"/>
      <c r="PRE23" s="3431"/>
      <c r="PRF23" s="3431"/>
      <c r="PRG23" s="3431"/>
      <c r="PRH23" s="3431"/>
      <c r="PRI23" s="3431"/>
      <c r="PRJ23" s="3431"/>
      <c r="PRK23" s="3431"/>
      <c r="PRL23" s="3431"/>
      <c r="PRM23" s="3431"/>
      <c r="PRN23" s="3431"/>
      <c r="PRO23" s="3431"/>
      <c r="PRP23" s="3431"/>
      <c r="PRQ23" s="3431"/>
      <c r="PRR23" s="3431"/>
      <c r="PRS23" s="3431"/>
      <c r="PRT23" s="3431"/>
      <c r="PRU23" s="3431"/>
      <c r="PRV23" s="3431"/>
      <c r="PRW23" s="3431"/>
      <c r="PRX23" s="3431"/>
      <c r="PRY23" s="3431"/>
      <c r="PRZ23" s="3431"/>
      <c r="PSA23" s="3431"/>
      <c r="PSB23" s="3431"/>
      <c r="PSC23" s="3431"/>
      <c r="PSD23" s="3431"/>
      <c r="PSE23" s="3431"/>
      <c r="PSF23" s="3431"/>
      <c r="PSG23" s="3431"/>
      <c r="PSH23" s="3431"/>
      <c r="PSI23" s="3431"/>
      <c r="PSJ23" s="3431"/>
      <c r="PSK23" s="3431"/>
      <c r="PSL23" s="3431"/>
      <c r="PSM23" s="3431"/>
      <c r="PSN23" s="3431"/>
      <c r="PSO23" s="3431"/>
      <c r="PSP23" s="3431"/>
      <c r="PSQ23" s="3431"/>
      <c r="PSR23" s="3431"/>
      <c r="PSS23" s="3431"/>
      <c r="PST23" s="3431"/>
      <c r="PSU23" s="3431"/>
      <c r="PSV23" s="3431"/>
      <c r="PSW23" s="3431"/>
      <c r="PSX23" s="3431"/>
      <c r="PSY23" s="3431"/>
      <c r="PSZ23" s="3431"/>
      <c r="PTA23" s="3431"/>
      <c r="PTB23" s="3431"/>
      <c r="PTC23" s="3431"/>
      <c r="PTD23" s="3431"/>
      <c r="PTE23" s="3431"/>
      <c r="PTF23" s="3431"/>
      <c r="PTG23" s="3431"/>
      <c r="PTH23" s="3431"/>
      <c r="PTI23" s="3431"/>
      <c r="PTJ23" s="3431"/>
      <c r="PTK23" s="3431"/>
      <c r="PTL23" s="3431"/>
      <c r="PTM23" s="3431"/>
      <c r="PTN23" s="3431"/>
      <c r="PTO23" s="3431"/>
      <c r="PTP23" s="3431"/>
      <c r="PTQ23" s="3431"/>
      <c r="PTR23" s="3431"/>
      <c r="PTS23" s="3431"/>
      <c r="PTT23" s="3431"/>
      <c r="PTU23" s="3431"/>
      <c r="PTV23" s="3431"/>
      <c r="PTW23" s="3431"/>
      <c r="PTX23" s="3431"/>
      <c r="PTY23" s="3431"/>
      <c r="PTZ23" s="3431"/>
      <c r="PUA23" s="3431"/>
      <c r="PUB23" s="3431"/>
      <c r="PUC23" s="3431"/>
      <c r="PUD23" s="3431"/>
      <c r="PUE23" s="3431"/>
      <c r="PUF23" s="3431"/>
      <c r="PUG23" s="3431"/>
      <c r="PUH23" s="3431"/>
      <c r="PUI23" s="3431"/>
      <c r="PUJ23" s="3431"/>
      <c r="PUK23" s="3431"/>
      <c r="PUL23" s="3431"/>
      <c r="PUM23" s="3431"/>
      <c r="PUN23" s="3431"/>
      <c r="PUO23" s="3431"/>
      <c r="PUP23" s="3431"/>
      <c r="PUQ23" s="3431"/>
      <c r="PUR23" s="3431"/>
      <c r="PUS23" s="3431"/>
      <c r="PUT23" s="3431"/>
      <c r="PUU23" s="3431"/>
      <c r="PUV23" s="3431"/>
      <c r="PUW23" s="3431"/>
      <c r="PUX23" s="3431"/>
      <c r="PUY23" s="3431"/>
      <c r="PUZ23" s="3431"/>
      <c r="PVA23" s="3431"/>
      <c r="PVB23" s="3431"/>
      <c r="PVC23" s="3431"/>
      <c r="PVD23" s="3431"/>
      <c r="PVE23" s="3431"/>
      <c r="PVF23" s="3431"/>
      <c r="PVG23" s="3431"/>
      <c r="PVH23" s="3431"/>
      <c r="PVI23" s="3431"/>
      <c r="PVJ23" s="3431"/>
      <c r="PVK23" s="3431"/>
      <c r="PVL23" s="3431"/>
      <c r="PVM23" s="3431"/>
      <c r="PVN23" s="3431"/>
      <c r="PVO23" s="3431"/>
      <c r="PVP23" s="3431"/>
      <c r="PVQ23" s="3431"/>
      <c r="PVR23" s="3431"/>
      <c r="PVS23" s="3431"/>
      <c r="PVT23" s="3431"/>
      <c r="PVU23" s="3431"/>
      <c r="PVV23" s="3431"/>
      <c r="PVW23" s="3431"/>
      <c r="PVX23" s="3431"/>
      <c r="PVY23" s="3431"/>
      <c r="PVZ23" s="3431"/>
      <c r="PWA23" s="3431"/>
      <c r="PWB23" s="3431"/>
      <c r="PWC23" s="3431"/>
      <c r="PWD23" s="3431"/>
      <c r="PWE23" s="3431"/>
      <c r="PWF23" s="3431"/>
      <c r="PWG23" s="3431"/>
      <c r="PWH23" s="3431"/>
      <c r="PWI23" s="3431"/>
      <c r="PWJ23" s="3431"/>
      <c r="PWK23" s="3431"/>
      <c r="PWL23" s="3431"/>
      <c r="PWM23" s="3431"/>
      <c r="PWN23" s="3431"/>
      <c r="PWO23" s="3431"/>
      <c r="PWP23" s="3431"/>
      <c r="PWQ23" s="3431"/>
      <c r="PWR23" s="3431"/>
      <c r="PWS23" s="3431"/>
      <c r="PWT23" s="3431"/>
      <c r="PWU23" s="3431"/>
      <c r="PWV23" s="3431"/>
      <c r="PWW23" s="3431"/>
      <c r="PWX23" s="3431"/>
      <c r="PWY23" s="3431"/>
      <c r="PWZ23" s="3431"/>
      <c r="PXA23" s="3431"/>
      <c r="PXB23" s="3431"/>
      <c r="PXC23" s="3431"/>
      <c r="PXD23" s="3431"/>
      <c r="PXE23" s="3431"/>
      <c r="PXF23" s="3431"/>
      <c r="PXG23" s="3431"/>
      <c r="PXH23" s="3431"/>
      <c r="PXI23" s="3431"/>
      <c r="PXJ23" s="3431"/>
      <c r="PXK23" s="3431"/>
      <c r="PXL23" s="3431"/>
      <c r="PXM23" s="3431"/>
      <c r="PXN23" s="3431"/>
      <c r="PXO23" s="3431"/>
      <c r="PXP23" s="3431"/>
      <c r="PXQ23" s="3431"/>
      <c r="PXR23" s="3431"/>
      <c r="PXS23" s="3431"/>
      <c r="PXT23" s="3431"/>
      <c r="PXU23" s="3431"/>
      <c r="PXV23" s="3431"/>
      <c r="PXW23" s="3431"/>
      <c r="PXX23" s="3431"/>
      <c r="PXY23" s="3431"/>
      <c r="PXZ23" s="3431"/>
      <c r="PYA23" s="3431"/>
      <c r="PYB23" s="3431"/>
      <c r="PYC23" s="3431"/>
      <c r="PYD23" s="3431"/>
      <c r="PYE23" s="3431"/>
      <c r="PYF23" s="3431"/>
      <c r="PYG23" s="3431"/>
      <c r="PYH23" s="3431"/>
      <c r="PYI23" s="3431"/>
      <c r="PYJ23" s="3431"/>
      <c r="PYK23" s="3431"/>
      <c r="PYL23" s="3431"/>
      <c r="PYM23" s="3431"/>
      <c r="PYN23" s="3431"/>
      <c r="PYO23" s="3431"/>
      <c r="PYP23" s="3431"/>
      <c r="PYQ23" s="3431"/>
      <c r="PYR23" s="3431"/>
      <c r="PYS23" s="3431"/>
      <c r="PYT23" s="3431"/>
      <c r="PYU23" s="3431"/>
      <c r="PYV23" s="3431"/>
      <c r="PYW23" s="3431"/>
      <c r="PYX23" s="3431"/>
      <c r="PYY23" s="3431"/>
      <c r="PYZ23" s="3431"/>
      <c r="PZA23" s="3431"/>
      <c r="PZB23" s="3431"/>
      <c r="PZC23" s="3431"/>
      <c r="PZD23" s="3431"/>
      <c r="PZE23" s="3431"/>
      <c r="PZF23" s="3431"/>
      <c r="PZG23" s="3431"/>
      <c r="PZH23" s="3431"/>
      <c r="PZI23" s="3431"/>
      <c r="PZJ23" s="3431"/>
      <c r="PZK23" s="3431"/>
      <c r="PZL23" s="3431"/>
      <c r="PZM23" s="3431"/>
      <c r="PZN23" s="3431"/>
      <c r="PZO23" s="3431"/>
      <c r="PZP23" s="3431"/>
      <c r="PZQ23" s="3431"/>
      <c r="PZR23" s="3431"/>
      <c r="PZS23" s="3431"/>
      <c r="PZT23" s="3431"/>
      <c r="PZU23" s="3431"/>
      <c r="PZV23" s="3431"/>
      <c r="PZW23" s="3431"/>
      <c r="PZX23" s="3431"/>
      <c r="PZY23" s="3431"/>
      <c r="PZZ23" s="3431"/>
      <c r="QAA23" s="3431"/>
      <c r="QAB23" s="3431"/>
      <c r="QAC23" s="3431"/>
      <c r="QAD23" s="3431"/>
      <c r="QAE23" s="3431"/>
      <c r="QAF23" s="3431"/>
      <c r="QAG23" s="3431"/>
      <c r="QAH23" s="3431"/>
      <c r="QAI23" s="3431"/>
      <c r="QAJ23" s="3431"/>
      <c r="QAK23" s="3431"/>
      <c r="QAL23" s="3431"/>
      <c r="QAM23" s="3431"/>
      <c r="QAN23" s="3431"/>
      <c r="QAO23" s="3431"/>
      <c r="QAP23" s="3431"/>
      <c r="QAQ23" s="3431"/>
      <c r="QAR23" s="3431"/>
      <c r="QAS23" s="3431"/>
      <c r="QAT23" s="3431"/>
      <c r="QAU23" s="3431"/>
      <c r="QAV23" s="3431"/>
      <c r="QAW23" s="3431"/>
      <c r="QAX23" s="3431"/>
      <c r="QAY23" s="3431"/>
      <c r="QAZ23" s="3431"/>
      <c r="QBA23" s="3431"/>
      <c r="QBB23" s="3431"/>
      <c r="QBC23" s="3431"/>
      <c r="QBD23" s="3431"/>
      <c r="QBE23" s="3431"/>
      <c r="QBF23" s="3431"/>
      <c r="QBG23" s="3431"/>
      <c r="QBH23" s="3431"/>
      <c r="QBI23" s="3431"/>
      <c r="QBJ23" s="3431"/>
      <c r="QBK23" s="3431"/>
      <c r="QBL23" s="3431"/>
      <c r="QBM23" s="3431"/>
      <c r="QBN23" s="3431"/>
      <c r="QBO23" s="3431"/>
      <c r="QBP23" s="3431"/>
      <c r="QBQ23" s="3431"/>
      <c r="QBR23" s="3431"/>
      <c r="QBS23" s="3431"/>
      <c r="QBT23" s="3431"/>
      <c r="QBU23" s="3431"/>
      <c r="QBV23" s="3431"/>
      <c r="QBW23" s="3431"/>
      <c r="QBX23" s="3431"/>
      <c r="QBY23" s="3431"/>
      <c r="QBZ23" s="3431"/>
      <c r="QCA23" s="3431"/>
      <c r="QCB23" s="3431"/>
      <c r="QCC23" s="3431"/>
      <c r="QCD23" s="3431"/>
      <c r="QCE23" s="3431"/>
      <c r="QCF23" s="3431"/>
      <c r="QCG23" s="3431"/>
      <c r="QCH23" s="3431"/>
      <c r="QCI23" s="3431"/>
      <c r="QCJ23" s="3431"/>
      <c r="QCK23" s="3431"/>
      <c r="QCL23" s="3431"/>
      <c r="QCM23" s="3431"/>
      <c r="QCN23" s="3431"/>
      <c r="QCO23" s="3431"/>
      <c r="QCP23" s="3431"/>
      <c r="QCQ23" s="3431"/>
      <c r="QCR23" s="3431"/>
      <c r="QCS23" s="3431"/>
      <c r="QCT23" s="3431"/>
      <c r="QCU23" s="3431"/>
      <c r="QCV23" s="3431"/>
      <c r="QCW23" s="3431"/>
      <c r="QCX23" s="3431"/>
      <c r="QCY23" s="3431"/>
      <c r="QCZ23" s="3431"/>
      <c r="QDA23" s="3431"/>
      <c r="QDB23" s="3431"/>
      <c r="QDC23" s="3431"/>
      <c r="QDD23" s="3431"/>
      <c r="QDE23" s="3431"/>
      <c r="QDF23" s="3431"/>
      <c r="QDG23" s="3431"/>
      <c r="QDH23" s="3431"/>
      <c r="QDI23" s="3431"/>
      <c r="QDJ23" s="3431"/>
      <c r="QDK23" s="3431"/>
      <c r="QDL23" s="3431"/>
      <c r="QDM23" s="3431"/>
      <c r="QDN23" s="3431"/>
      <c r="QDO23" s="3431"/>
      <c r="QDP23" s="3431"/>
      <c r="QDQ23" s="3431"/>
      <c r="QDR23" s="3431"/>
      <c r="QDS23" s="3431"/>
      <c r="QDT23" s="3431"/>
      <c r="QDU23" s="3431"/>
      <c r="QDV23" s="3431"/>
      <c r="QDW23" s="3431"/>
      <c r="QDX23" s="3431"/>
      <c r="QDY23" s="3431"/>
      <c r="QDZ23" s="3431"/>
      <c r="QEA23" s="3431"/>
      <c r="QEB23" s="3431"/>
      <c r="QEC23" s="3431"/>
      <c r="QED23" s="3431"/>
      <c r="QEE23" s="3431"/>
      <c r="QEF23" s="3431"/>
      <c r="QEG23" s="3431"/>
      <c r="QEH23" s="3431"/>
      <c r="QEI23" s="3431"/>
      <c r="QEJ23" s="3431"/>
      <c r="QEK23" s="3431"/>
      <c r="QEL23" s="3431"/>
      <c r="QEM23" s="3431"/>
      <c r="QEN23" s="3431"/>
      <c r="QEO23" s="3431"/>
      <c r="QEP23" s="3431"/>
      <c r="QEQ23" s="3431"/>
      <c r="QER23" s="3431"/>
      <c r="QES23" s="3431"/>
      <c r="QET23" s="3431"/>
      <c r="QEU23" s="3431"/>
      <c r="QEV23" s="3431"/>
      <c r="QEW23" s="3431"/>
      <c r="QEX23" s="3431"/>
      <c r="QEY23" s="3431"/>
      <c r="QEZ23" s="3431"/>
      <c r="QFA23" s="3431"/>
      <c r="QFB23" s="3431"/>
      <c r="QFC23" s="3431"/>
      <c r="QFD23" s="3431"/>
      <c r="QFE23" s="3431"/>
      <c r="QFF23" s="3431"/>
      <c r="QFG23" s="3431"/>
      <c r="QFH23" s="3431"/>
      <c r="QFI23" s="3431"/>
      <c r="QFJ23" s="3431"/>
      <c r="QFK23" s="3431"/>
      <c r="QFL23" s="3431"/>
      <c r="QFM23" s="3431"/>
      <c r="QFN23" s="3431"/>
      <c r="QFO23" s="3431"/>
      <c r="QFP23" s="3431"/>
      <c r="QFQ23" s="3431"/>
      <c r="QFR23" s="3431"/>
      <c r="QFS23" s="3431"/>
      <c r="QFT23" s="3431"/>
      <c r="QFU23" s="3431"/>
      <c r="QFV23" s="3431"/>
      <c r="QFW23" s="3431"/>
      <c r="QFX23" s="3431"/>
      <c r="QFY23" s="3431"/>
      <c r="QFZ23" s="3431"/>
      <c r="QGA23" s="3431"/>
      <c r="QGB23" s="3431"/>
      <c r="QGC23" s="3431"/>
      <c r="QGD23" s="3431"/>
      <c r="QGE23" s="3431"/>
      <c r="QGF23" s="3431"/>
      <c r="QGG23" s="3431"/>
      <c r="QGH23" s="3431"/>
      <c r="QGI23" s="3431"/>
      <c r="QGJ23" s="3431"/>
      <c r="QGK23" s="3431"/>
      <c r="QGL23" s="3431"/>
      <c r="QGM23" s="3431"/>
      <c r="QGN23" s="3431"/>
      <c r="QGO23" s="3431"/>
      <c r="QGP23" s="3431"/>
      <c r="QGQ23" s="3431"/>
      <c r="QGR23" s="3431"/>
      <c r="QGS23" s="3431"/>
      <c r="QGT23" s="3431"/>
      <c r="QGU23" s="3431"/>
      <c r="QGV23" s="3431"/>
      <c r="QGW23" s="3431"/>
      <c r="QGX23" s="3431"/>
      <c r="QGY23" s="3431"/>
      <c r="QGZ23" s="3431"/>
      <c r="QHA23" s="3431"/>
      <c r="QHB23" s="3431"/>
      <c r="QHC23" s="3431"/>
      <c r="QHD23" s="3431"/>
      <c r="QHE23" s="3431"/>
      <c r="QHF23" s="3431"/>
      <c r="QHG23" s="3431"/>
      <c r="QHH23" s="3431"/>
      <c r="QHI23" s="3431"/>
      <c r="QHJ23" s="3431"/>
      <c r="QHK23" s="3431"/>
      <c r="QHL23" s="3431"/>
      <c r="QHM23" s="3431"/>
      <c r="QHN23" s="3431"/>
      <c r="QHO23" s="3431"/>
      <c r="QHP23" s="3431"/>
      <c r="QHQ23" s="3431"/>
      <c r="QHR23" s="3431"/>
      <c r="QHS23" s="3431"/>
      <c r="QHT23" s="3431"/>
      <c r="QHU23" s="3431"/>
      <c r="QHV23" s="3431"/>
      <c r="QHW23" s="3431"/>
      <c r="QHX23" s="3431"/>
      <c r="QHY23" s="3431"/>
      <c r="QHZ23" s="3431"/>
      <c r="QIA23" s="3431"/>
      <c r="QIB23" s="3431"/>
      <c r="QIC23" s="3431"/>
      <c r="QID23" s="3431"/>
      <c r="QIE23" s="3431"/>
      <c r="QIF23" s="3431"/>
      <c r="QIG23" s="3431"/>
      <c r="QIH23" s="3431"/>
      <c r="QII23" s="3431"/>
      <c r="QIJ23" s="3431"/>
      <c r="QIK23" s="3431"/>
      <c r="QIL23" s="3431"/>
      <c r="QIM23" s="3431"/>
      <c r="QIN23" s="3431"/>
      <c r="QIO23" s="3431"/>
      <c r="QIP23" s="3431"/>
      <c r="QIQ23" s="3431"/>
      <c r="QIR23" s="3431"/>
      <c r="QIS23" s="3431"/>
      <c r="QIT23" s="3431"/>
      <c r="QIU23" s="3431"/>
      <c r="QIV23" s="3431"/>
      <c r="QIW23" s="3431"/>
      <c r="QIX23" s="3431"/>
      <c r="QIY23" s="3431"/>
      <c r="QIZ23" s="3431"/>
      <c r="QJA23" s="3431"/>
      <c r="QJB23" s="3431"/>
      <c r="QJC23" s="3431"/>
      <c r="QJD23" s="3431"/>
      <c r="QJE23" s="3431"/>
      <c r="QJF23" s="3431"/>
      <c r="QJG23" s="3431"/>
      <c r="QJH23" s="3431"/>
      <c r="QJI23" s="3431"/>
      <c r="QJJ23" s="3431"/>
      <c r="QJK23" s="3431"/>
      <c r="QJL23" s="3431"/>
      <c r="QJM23" s="3431"/>
      <c r="QJN23" s="3431"/>
      <c r="QJO23" s="3431"/>
      <c r="QJP23" s="3431"/>
      <c r="QJQ23" s="3431"/>
      <c r="QJR23" s="3431"/>
      <c r="QJS23" s="3431"/>
      <c r="QJT23" s="3431"/>
      <c r="QJU23" s="3431"/>
      <c r="QJV23" s="3431"/>
      <c r="QJW23" s="3431"/>
      <c r="QJX23" s="3431"/>
      <c r="QJY23" s="3431"/>
      <c r="QJZ23" s="3431"/>
      <c r="QKA23" s="3431"/>
      <c r="QKB23" s="3431"/>
      <c r="QKC23" s="3431"/>
      <c r="QKD23" s="3431"/>
      <c r="QKE23" s="3431"/>
      <c r="QKF23" s="3431"/>
      <c r="QKG23" s="3431"/>
      <c r="QKH23" s="3431"/>
      <c r="QKI23" s="3431"/>
      <c r="QKJ23" s="3431"/>
      <c r="QKK23" s="3431"/>
      <c r="QKL23" s="3431"/>
      <c r="QKM23" s="3431"/>
      <c r="QKN23" s="3431"/>
      <c r="QKO23" s="3431"/>
      <c r="QKP23" s="3431"/>
      <c r="QKQ23" s="3431"/>
      <c r="QKR23" s="3431"/>
      <c r="QKS23" s="3431"/>
      <c r="QKT23" s="3431"/>
      <c r="QKU23" s="3431"/>
      <c r="QKV23" s="3431"/>
      <c r="QKW23" s="3431"/>
      <c r="QKX23" s="3431"/>
      <c r="QKY23" s="3431"/>
      <c r="QKZ23" s="3431"/>
      <c r="QLA23" s="3431"/>
      <c r="QLB23" s="3431"/>
      <c r="QLC23" s="3431"/>
      <c r="QLD23" s="3431"/>
      <c r="QLE23" s="3431"/>
      <c r="QLF23" s="3431"/>
      <c r="QLG23" s="3431"/>
      <c r="QLH23" s="3431"/>
      <c r="QLI23" s="3431"/>
      <c r="QLJ23" s="3431"/>
      <c r="QLK23" s="3431"/>
      <c r="QLL23" s="3431"/>
      <c r="QLM23" s="3431"/>
      <c r="QLN23" s="3431"/>
      <c r="QLO23" s="3431"/>
      <c r="QLP23" s="3431"/>
      <c r="QLQ23" s="3431"/>
      <c r="QLR23" s="3431"/>
      <c r="QLS23" s="3431"/>
      <c r="QLT23" s="3431"/>
      <c r="QLU23" s="3431"/>
      <c r="QLV23" s="3431"/>
      <c r="QLW23" s="3431"/>
      <c r="QLX23" s="3431"/>
      <c r="QLY23" s="3431"/>
      <c r="QLZ23" s="3431"/>
      <c r="QMA23" s="3431"/>
      <c r="QMB23" s="3431"/>
      <c r="QMC23" s="3431"/>
      <c r="QMD23" s="3431"/>
      <c r="QME23" s="3431"/>
      <c r="QMF23" s="3431"/>
      <c r="QMG23" s="3431"/>
      <c r="QMH23" s="3431"/>
      <c r="QMI23" s="3431"/>
      <c r="QMJ23" s="3431"/>
      <c r="QMK23" s="3431"/>
      <c r="QML23" s="3431"/>
      <c r="QMM23" s="3431"/>
      <c r="QMN23" s="3431"/>
      <c r="QMO23" s="3431"/>
      <c r="QMP23" s="3431"/>
      <c r="QMQ23" s="3431"/>
      <c r="QMR23" s="3431"/>
      <c r="QMS23" s="3431"/>
      <c r="QMT23" s="3431"/>
      <c r="QMU23" s="3431"/>
      <c r="QMV23" s="3431"/>
      <c r="QMW23" s="3431"/>
      <c r="QMX23" s="3431"/>
      <c r="QMY23" s="3431"/>
      <c r="QMZ23" s="3431"/>
      <c r="QNA23" s="3431"/>
      <c r="QNB23" s="3431"/>
      <c r="QNC23" s="3431"/>
      <c r="QND23" s="3431"/>
      <c r="QNE23" s="3431"/>
      <c r="QNF23" s="3431"/>
      <c r="QNG23" s="3431"/>
      <c r="QNH23" s="3431"/>
      <c r="QNI23" s="3431"/>
      <c r="QNJ23" s="3431"/>
      <c r="QNK23" s="3431"/>
      <c r="QNL23" s="3431"/>
      <c r="QNM23" s="3431"/>
      <c r="QNN23" s="3431"/>
      <c r="QNO23" s="3431"/>
      <c r="QNP23" s="3431"/>
      <c r="QNQ23" s="3431"/>
      <c r="QNR23" s="3431"/>
      <c r="QNS23" s="3431"/>
      <c r="QNT23" s="3431"/>
      <c r="QNU23" s="3431"/>
      <c r="QNV23" s="3431"/>
      <c r="QNW23" s="3431"/>
      <c r="QNX23" s="3431"/>
      <c r="QNY23" s="3431"/>
      <c r="QNZ23" s="3431"/>
      <c r="QOA23" s="3431"/>
      <c r="QOB23" s="3431"/>
      <c r="QOC23" s="3431"/>
      <c r="QOD23" s="3431"/>
      <c r="QOE23" s="3431"/>
      <c r="QOF23" s="3431"/>
      <c r="QOG23" s="3431"/>
      <c r="QOH23" s="3431"/>
      <c r="QOI23" s="3431"/>
      <c r="QOJ23" s="3431"/>
      <c r="QOK23" s="3431"/>
      <c r="QOL23" s="3431"/>
      <c r="QOM23" s="3431"/>
      <c r="QON23" s="3431"/>
      <c r="QOO23" s="3431"/>
      <c r="QOP23" s="3431"/>
      <c r="QOQ23" s="3431"/>
      <c r="QOR23" s="3431"/>
      <c r="QOS23" s="3431"/>
      <c r="QOT23" s="3431"/>
      <c r="QOU23" s="3431"/>
      <c r="QOV23" s="3431"/>
      <c r="QOW23" s="3431"/>
      <c r="QOX23" s="3431"/>
      <c r="QOY23" s="3431"/>
      <c r="QOZ23" s="3431"/>
      <c r="QPA23" s="3431"/>
      <c r="QPB23" s="3431"/>
      <c r="QPC23" s="3431"/>
      <c r="QPD23" s="3431"/>
      <c r="QPE23" s="3431"/>
      <c r="QPF23" s="3431"/>
      <c r="QPG23" s="3431"/>
      <c r="QPH23" s="3431"/>
      <c r="QPI23" s="3431"/>
      <c r="QPJ23" s="3431"/>
      <c r="QPK23" s="3431"/>
      <c r="QPL23" s="3431"/>
      <c r="QPM23" s="3431"/>
      <c r="QPN23" s="3431"/>
      <c r="QPO23" s="3431"/>
      <c r="QPP23" s="3431"/>
      <c r="QPQ23" s="3431"/>
      <c r="QPR23" s="3431"/>
      <c r="QPS23" s="3431"/>
      <c r="QPT23" s="3431"/>
      <c r="QPU23" s="3431"/>
      <c r="QPV23" s="3431"/>
      <c r="QPW23" s="3431"/>
      <c r="QPX23" s="3431"/>
      <c r="QPY23" s="3431"/>
      <c r="QPZ23" s="3431"/>
      <c r="QQA23" s="3431"/>
      <c r="QQB23" s="3431"/>
      <c r="QQC23" s="3431"/>
      <c r="QQD23" s="3431"/>
      <c r="QQE23" s="3431"/>
      <c r="QQF23" s="3431"/>
      <c r="QQG23" s="3431"/>
      <c r="QQH23" s="3431"/>
      <c r="QQI23" s="3431"/>
      <c r="QQJ23" s="3431"/>
      <c r="QQK23" s="3431"/>
      <c r="QQL23" s="3431"/>
      <c r="QQM23" s="3431"/>
      <c r="QQN23" s="3431"/>
      <c r="QQO23" s="3431"/>
      <c r="QQP23" s="3431"/>
      <c r="QQQ23" s="3431"/>
      <c r="QQR23" s="3431"/>
      <c r="QQS23" s="3431"/>
      <c r="QQT23" s="3431"/>
      <c r="QQU23" s="3431"/>
      <c r="QQV23" s="3431"/>
      <c r="QQW23" s="3431"/>
      <c r="QQX23" s="3431"/>
      <c r="QQY23" s="3431"/>
      <c r="QQZ23" s="3431"/>
      <c r="QRA23" s="3431"/>
      <c r="QRB23" s="3431"/>
      <c r="QRC23" s="3431"/>
      <c r="QRD23" s="3431"/>
      <c r="QRE23" s="3431"/>
      <c r="QRF23" s="3431"/>
      <c r="QRG23" s="3431"/>
      <c r="QRH23" s="3431"/>
      <c r="QRI23" s="3431"/>
      <c r="QRJ23" s="3431"/>
      <c r="QRK23" s="3431"/>
      <c r="QRL23" s="3431"/>
      <c r="QRM23" s="3431"/>
      <c r="QRN23" s="3431"/>
      <c r="QRO23" s="3431"/>
      <c r="QRP23" s="3431"/>
      <c r="QRQ23" s="3431"/>
      <c r="QRR23" s="3431"/>
      <c r="QRS23" s="3431"/>
      <c r="QRT23" s="3431"/>
      <c r="QRU23" s="3431"/>
      <c r="QRV23" s="3431"/>
      <c r="QRW23" s="3431"/>
      <c r="QRX23" s="3431"/>
      <c r="QRY23" s="3431"/>
      <c r="QRZ23" s="3431"/>
      <c r="QSA23" s="3431"/>
      <c r="QSB23" s="3431"/>
      <c r="QSC23" s="3431"/>
      <c r="QSD23" s="3431"/>
      <c r="QSE23" s="3431"/>
      <c r="QSF23" s="3431"/>
      <c r="QSG23" s="3431"/>
      <c r="QSH23" s="3431"/>
      <c r="QSI23" s="3431"/>
      <c r="QSJ23" s="3431"/>
      <c r="QSK23" s="3431"/>
      <c r="QSL23" s="3431"/>
      <c r="QSM23" s="3431"/>
      <c r="QSN23" s="3431"/>
      <c r="QSO23" s="3431"/>
      <c r="QSP23" s="3431"/>
      <c r="QSQ23" s="3431"/>
      <c r="QSR23" s="3431"/>
      <c r="QSS23" s="3431"/>
      <c r="QST23" s="3431"/>
      <c r="QSU23" s="3431"/>
      <c r="QSV23" s="3431"/>
      <c r="QSW23" s="3431"/>
      <c r="QSX23" s="3431"/>
      <c r="QSY23" s="3431"/>
      <c r="QSZ23" s="3431"/>
      <c r="QTA23" s="3431"/>
      <c r="QTB23" s="3431"/>
      <c r="QTC23" s="3431"/>
      <c r="QTD23" s="3431"/>
      <c r="QTE23" s="3431"/>
      <c r="QTF23" s="3431"/>
      <c r="QTG23" s="3431"/>
      <c r="QTH23" s="3431"/>
      <c r="QTI23" s="3431"/>
      <c r="QTJ23" s="3431"/>
      <c r="QTK23" s="3431"/>
      <c r="QTL23" s="3431"/>
      <c r="QTM23" s="3431"/>
      <c r="QTN23" s="3431"/>
      <c r="QTO23" s="3431"/>
      <c r="QTP23" s="3431"/>
      <c r="QTQ23" s="3431"/>
      <c r="QTR23" s="3431"/>
      <c r="QTS23" s="3431"/>
      <c r="QTT23" s="3431"/>
      <c r="QTU23" s="3431"/>
      <c r="QTV23" s="3431"/>
      <c r="QTW23" s="3431"/>
      <c r="QTX23" s="3431"/>
      <c r="QTY23" s="3431"/>
      <c r="QTZ23" s="3431"/>
      <c r="QUA23" s="3431"/>
      <c r="QUB23" s="3431"/>
      <c r="QUC23" s="3431"/>
      <c r="QUD23" s="3431"/>
      <c r="QUE23" s="3431"/>
      <c r="QUF23" s="3431"/>
      <c r="QUG23" s="3431"/>
      <c r="QUH23" s="3431"/>
      <c r="QUI23" s="3431"/>
      <c r="QUJ23" s="3431"/>
      <c r="QUK23" s="3431"/>
      <c r="QUL23" s="3431"/>
      <c r="QUM23" s="3431"/>
      <c r="QUN23" s="3431"/>
      <c r="QUO23" s="3431"/>
      <c r="QUP23" s="3431"/>
      <c r="QUQ23" s="3431"/>
      <c r="QUR23" s="3431"/>
      <c r="QUS23" s="3431"/>
      <c r="QUT23" s="3431"/>
      <c r="QUU23" s="3431"/>
      <c r="QUV23" s="3431"/>
      <c r="QUW23" s="3431"/>
      <c r="QUX23" s="3431"/>
      <c r="QUY23" s="3431"/>
      <c r="QUZ23" s="3431"/>
      <c r="QVA23" s="3431"/>
      <c r="QVB23" s="3431"/>
      <c r="QVC23" s="3431"/>
      <c r="QVD23" s="3431"/>
      <c r="QVE23" s="3431"/>
      <c r="QVF23" s="3431"/>
      <c r="QVG23" s="3431"/>
      <c r="QVH23" s="3431"/>
      <c r="QVI23" s="3431"/>
      <c r="QVJ23" s="3431"/>
      <c r="QVK23" s="3431"/>
      <c r="QVL23" s="3431"/>
      <c r="QVM23" s="3431"/>
      <c r="QVN23" s="3431"/>
      <c r="QVO23" s="3431"/>
      <c r="QVP23" s="3431"/>
      <c r="QVQ23" s="3431"/>
      <c r="QVR23" s="3431"/>
      <c r="QVS23" s="3431"/>
      <c r="QVT23" s="3431"/>
      <c r="QVU23" s="3431"/>
      <c r="QVV23" s="3431"/>
      <c r="QVW23" s="3431"/>
      <c r="QVX23" s="3431"/>
      <c r="QVY23" s="3431"/>
      <c r="QVZ23" s="3431"/>
      <c r="QWA23" s="3431"/>
      <c r="QWB23" s="3431"/>
      <c r="QWC23" s="3431"/>
      <c r="QWD23" s="3431"/>
      <c r="QWE23" s="3431"/>
      <c r="QWF23" s="3431"/>
      <c r="QWG23" s="3431"/>
      <c r="QWH23" s="3431"/>
      <c r="QWI23" s="3431"/>
      <c r="QWJ23" s="3431"/>
      <c r="QWK23" s="3431"/>
      <c r="QWL23" s="3431"/>
      <c r="QWM23" s="3431"/>
      <c r="QWN23" s="3431"/>
      <c r="QWO23" s="3431"/>
      <c r="QWP23" s="3431"/>
      <c r="QWQ23" s="3431"/>
      <c r="QWR23" s="3431"/>
      <c r="QWS23" s="3431"/>
      <c r="QWT23" s="3431"/>
      <c r="QWU23" s="3431"/>
      <c r="QWV23" s="3431"/>
      <c r="QWW23" s="3431"/>
      <c r="QWX23" s="3431"/>
      <c r="QWY23" s="3431"/>
      <c r="QWZ23" s="3431"/>
      <c r="QXA23" s="3431"/>
      <c r="QXB23" s="3431"/>
      <c r="QXC23" s="3431"/>
      <c r="QXD23" s="3431"/>
      <c r="QXE23" s="3431"/>
      <c r="QXF23" s="3431"/>
      <c r="QXG23" s="3431"/>
      <c r="QXH23" s="3431"/>
      <c r="QXI23" s="3431"/>
      <c r="QXJ23" s="3431"/>
      <c r="QXK23" s="3431"/>
      <c r="QXL23" s="3431"/>
      <c r="QXM23" s="3431"/>
      <c r="QXN23" s="3431"/>
      <c r="QXO23" s="3431"/>
      <c r="QXP23" s="3431"/>
      <c r="QXQ23" s="3431"/>
      <c r="QXR23" s="3431"/>
      <c r="QXS23" s="3431"/>
      <c r="QXT23" s="3431"/>
      <c r="QXU23" s="3431"/>
      <c r="QXV23" s="3431"/>
      <c r="QXW23" s="3431"/>
      <c r="QXX23" s="3431"/>
      <c r="QXY23" s="3431"/>
      <c r="QXZ23" s="3431"/>
      <c r="QYA23" s="3431"/>
      <c r="QYB23" s="3431"/>
      <c r="QYC23" s="3431"/>
      <c r="QYD23" s="3431"/>
      <c r="QYE23" s="3431"/>
      <c r="QYF23" s="3431"/>
      <c r="QYG23" s="3431"/>
      <c r="QYH23" s="3431"/>
      <c r="QYI23" s="3431"/>
      <c r="QYJ23" s="3431"/>
      <c r="QYK23" s="3431"/>
      <c r="QYL23" s="3431"/>
      <c r="QYM23" s="3431"/>
      <c r="QYN23" s="3431"/>
      <c r="QYO23" s="3431"/>
      <c r="QYP23" s="3431"/>
      <c r="QYQ23" s="3431"/>
      <c r="QYR23" s="3431"/>
      <c r="QYS23" s="3431"/>
      <c r="QYT23" s="3431"/>
      <c r="QYU23" s="3431"/>
      <c r="QYV23" s="3431"/>
      <c r="QYW23" s="3431"/>
      <c r="QYX23" s="3431"/>
      <c r="QYY23" s="3431"/>
      <c r="QYZ23" s="3431"/>
      <c r="QZA23" s="3431"/>
      <c r="QZB23" s="3431"/>
      <c r="QZC23" s="3431"/>
      <c r="QZD23" s="3431"/>
      <c r="QZE23" s="3431"/>
      <c r="QZF23" s="3431"/>
      <c r="QZG23" s="3431"/>
      <c r="QZH23" s="3431"/>
      <c r="QZI23" s="3431"/>
      <c r="QZJ23" s="3431"/>
      <c r="QZK23" s="3431"/>
      <c r="QZL23" s="3431"/>
      <c r="QZM23" s="3431"/>
      <c r="QZN23" s="3431"/>
      <c r="QZO23" s="3431"/>
      <c r="QZP23" s="3431"/>
      <c r="QZQ23" s="3431"/>
      <c r="QZR23" s="3431"/>
      <c r="QZS23" s="3431"/>
      <c r="QZT23" s="3431"/>
      <c r="QZU23" s="3431"/>
      <c r="QZV23" s="3431"/>
      <c r="QZW23" s="3431"/>
      <c r="QZX23" s="3431"/>
      <c r="QZY23" s="3431"/>
      <c r="QZZ23" s="3431"/>
      <c r="RAA23" s="3431"/>
      <c r="RAB23" s="3431"/>
      <c r="RAC23" s="3431"/>
      <c r="RAD23" s="3431"/>
      <c r="RAE23" s="3431"/>
      <c r="RAF23" s="3431"/>
      <c r="RAG23" s="3431"/>
      <c r="RAH23" s="3431"/>
      <c r="RAI23" s="3431"/>
      <c r="RAJ23" s="3431"/>
      <c r="RAK23" s="3431"/>
      <c r="RAL23" s="3431"/>
      <c r="RAM23" s="3431"/>
      <c r="RAN23" s="3431"/>
      <c r="RAO23" s="3431"/>
      <c r="RAP23" s="3431"/>
      <c r="RAQ23" s="3431"/>
      <c r="RAR23" s="3431"/>
      <c r="RAS23" s="3431"/>
      <c r="RAT23" s="3431"/>
      <c r="RAU23" s="3431"/>
      <c r="RAV23" s="3431"/>
      <c r="RAW23" s="3431"/>
      <c r="RAX23" s="3431"/>
      <c r="RAY23" s="3431"/>
      <c r="RAZ23" s="3431"/>
      <c r="RBA23" s="3431"/>
      <c r="RBB23" s="3431"/>
      <c r="RBC23" s="3431"/>
      <c r="RBD23" s="3431"/>
      <c r="RBE23" s="3431"/>
      <c r="RBF23" s="3431"/>
      <c r="RBG23" s="3431"/>
      <c r="RBH23" s="3431"/>
      <c r="RBI23" s="3431"/>
      <c r="RBJ23" s="3431"/>
      <c r="RBK23" s="3431"/>
      <c r="RBL23" s="3431"/>
      <c r="RBM23" s="3431"/>
      <c r="RBN23" s="3431"/>
      <c r="RBO23" s="3431"/>
      <c r="RBP23" s="3431"/>
      <c r="RBQ23" s="3431"/>
      <c r="RBR23" s="3431"/>
      <c r="RBS23" s="3431"/>
      <c r="RBT23" s="3431"/>
      <c r="RBU23" s="3431"/>
      <c r="RBV23" s="3431"/>
      <c r="RBW23" s="3431"/>
      <c r="RBX23" s="3431"/>
      <c r="RBY23" s="3431"/>
      <c r="RBZ23" s="3431"/>
      <c r="RCA23" s="3431"/>
      <c r="RCB23" s="3431"/>
      <c r="RCC23" s="3431"/>
      <c r="RCD23" s="3431"/>
      <c r="RCE23" s="3431"/>
      <c r="RCF23" s="3431"/>
      <c r="RCG23" s="3431"/>
      <c r="RCH23" s="3431"/>
      <c r="RCI23" s="3431"/>
      <c r="RCJ23" s="3431"/>
      <c r="RCK23" s="3431"/>
      <c r="RCL23" s="3431"/>
      <c r="RCM23" s="3431"/>
      <c r="RCN23" s="3431"/>
      <c r="RCO23" s="3431"/>
      <c r="RCP23" s="3431"/>
      <c r="RCQ23" s="3431"/>
      <c r="RCR23" s="3431"/>
      <c r="RCS23" s="3431"/>
      <c r="RCT23" s="3431"/>
      <c r="RCU23" s="3431"/>
      <c r="RCV23" s="3431"/>
      <c r="RCW23" s="3431"/>
      <c r="RCX23" s="3431"/>
      <c r="RCY23" s="3431"/>
      <c r="RCZ23" s="3431"/>
      <c r="RDA23" s="3431"/>
      <c r="RDB23" s="3431"/>
      <c r="RDC23" s="3431"/>
      <c r="RDD23" s="3431"/>
      <c r="RDE23" s="3431"/>
      <c r="RDF23" s="3431"/>
      <c r="RDG23" s="3431"/>
      <c r="RDH23" s="3431"/>
      <c r="RDI23" s="3431"/>
      <c r="RDJ23" s="3431"/>
      <c r="RDK23" s="3431"/>
      <c r="RDL23" s="3431"/>
      <c r="RDM23" s="3431"/>
      <c r="RDN23" s="3431"/>
      <c r="RDO23" s="3431"/>
      <c r="RDP23" s="3431"/>
      <c r="RDQ23" s="3431"/>
      <c r="RDR23" s="3431"/>
      <c r="RDS23" s="3431"/>
      <c r="RDT23" s="3431"/>
      <c r="RDU23" s="3431"/>
      <c r="RDV23" s="3431"/>
      <c r="RDW23" s="3431"/>
      <c r="RDX23" s="3431"/>
      <c r="RDY23" s="3431"/>
      <c r="RDZ23" s="3431"/>
      <c r="REA23" s="3431"/>
      <c r="REB23" s="3431"/>
      <c r="REC23" s="3431"/>
      <c r="RED23" s="3431"/>
      <c r="REE23" s="3431"/>
      <c r="REF23" s="3431"/>
      <c r="REG23" s="3431"/>
      <c r="REH23" s="3431"/>
      <c r="REI23" s="3431"/>
      <c r="REJ23" s="3431"/>
      <c r="REK23" s="3431"/>
      <c r="REL23" s="3431"/>
      <c r="REM23" s="3431"/>
      <c r="REN23" s="3431"/>
      <c r="REO23" s="3431"/>
      <c r="REP23" s="3431"/>
      <c r="REQ23" s="3431"/>
      <c r="RER23" s="3431"/>
      <c r="RES23" s="3431"/>
      <c r="RET23" s="3431"/>
      <c r="REU23" s="3431"/>
      <c r="REV23" s="3431"/>
      <c r="REW23" s="3431"/>
      <c r="REX23" s="3431"/>
      <c r="REY23" s="3431"/>
      <c r="REZ23" s="3431"/>
      <c r="RFA23" s="3431"/>
      <c r="RFB23" s="3431"/>
      <c r="RFC23" s="3431"/>
      <c r="RFD23" s="3431"/>
      <c r="RFE23" s="3431"/>
      <c r="RFF23" s="3431"/>
      <c r="RFG23" s="3431"/>
      <c r="RFH23" s="3431"/>
      <c r="RFI23" s="3431"/>
      <c r="RFJ23" s="3431"/>
      <c r="RFK23" s="3431"/>
      <c r="RFL23" s="3431"/>
      <c r="RFM23" s="3431"/>
      <c r="RFN23" s="3431"/>
      <c r="RFO23" s="3431"/>
      <c r="RFP23" s="3431"/>
      <c r="RFQ23" s="3431"/>
      <c r="RFR23" s="3431"/>
      <c r="RFS23" s="3431"/>
      <c r="RFT23" s="3431"/>
      <c r="RFU23" s="3431"/>
      <c r="RFV23" s="3431"/>
      <c r="RFW23" s="3431"/>
      <c r="RFX23" s="3431"/>
      <c r="RFY23" s="3431"/>
      <c r="RFZ23" s="3431"/>
      <c r="RGA23" s="3431"/>
      <c r="RGB23" s="3431"/>
      <c r="RGC23" s="3431"/>
      <c r="RGD23" s="3431"/>
      <c r="RGE23" s="3431"/>
      <c r="RGF23" s="3431"/>
      <c r="RGG23" s="3431"/>
      <c r="RGH23" s="3431"/>
      <c r="RGI23" s="3431"/>
      <c r="RGJ23" s="3431"/>
      <c r="RGK23" s="3431"/>
      <c r="RGL23" s="3431"/>
      <c r="RGM23" s="3431"/>
      <c r="RGN23" s="3431"/>
      <c r="RGO23" s="3431"/>
      <c r="RGP23" s="3431"/>
      <c r="RGQ23" s="3431"/>
      <c r="RGR23" s="3431"/>
      <c r="RGS23" s="3431"/>
      <c r="RGT23" s="3431"/>
      <c r="RGU23" s="3431"/>
      <c r="RGV23" s="3431"/>
      <c r="RGW23" s="3431"/>
      <c r="RGX23" s="3431"/>
      <c r="RGY23" s="3431"/>
      <c r="RGZ23" s="3431"/>
      <c r="RHA23" s="3431"/>
      <c r="RHB23" s="3431"/>
      <c r="RHC23" s="3431"/>
      <c r="RHD23" s="3431"/>
      <c r="RHE23" s="3431"/>
      <c r="RHF23" s="3431"/>
      <c r="RHG23" s="3431"/>
      <c r="RHH23" s="3431"/>
      <c r="RHI23" s="3431"/>
      <c r="RHJ23" s="3431"/>
      <c r="RHK23" s="3431"/>
      <c r="RHL23" s="3431"/>
      <c r="RHM23" s="3431"/>
      <c r="RHN23" s="3431"/>
      <c r="RHO23" s="3431"/>
      <c r="RHP23" s="3431"/>
      <c r="RHQ23" s="3431"/>
      <c r="RHR23" s="3431"/>
      <c r="RHS23" s="3431"/>
      <c r="RHT23" s="3431"/>
      <c r="RHU23" s="3431"/>
      <c r="RHV23" s="3431"/>
      <c r="RHW23" s="3431"/>
      <c r="RHX23" s="3431"/>
      <c r="RHY23" s="3431"/>
      <c r="RHZ23" s="3431"/>
      <c r="RIA23" s="3431"/>
      <c r="RIB23" s="3431"/>
      <c r="RIC23" s="3431"/>
      <c r="RID23" s="3431"/>
      <c r="RIE23" s="3431"/>
      <c r="RIF23" s="3431"/>
      <c r="RIG23" s="3431"/>
      <c r="RIH23" s="3431"/>
      <c r="RII23" s="3431"/>
      <c r="RIJ23" s="3431"/>
      <c r="RIK23" s="3431"/>
      <c r="RIL23" s="3431"/>
      <c r="RIM23" s="3431"/>
      <c r="RIN23" s="3431"/>
      <c r="RIO23" s="3431"/>
      <c r="RIP23" s="3431"/>
      <c r="RIQ23" s="3431"/>
      <c r="RIR23" s="3431"/>
      <c r="RIS23" s="3431"/>
      <c r="RIT23" s="3431"/>
      <c r="RIU23" s="3431"/>
      <c r="RIV23" s="3431"/>
      <c r="RIW23" s="3431"/>
      <c r="RIX23" s="3431"/>
      <c r="RIY23" s="3431"/>
      <c r="RIZ23" s="3431"/>
      <c r="RJA23" s="3431"/>
      <c r="RJB23" s="3431"/>
      <c r="RJC23" s="3431"/>
      <c r="RJD23" s="3431"/>
      <c r="RJE23" s="3431"/>
      <c r="RJF23" s="3431"/>
      <c r="RJG23" s="3431"/>
      <c r="RJH23" s="3431"/>
      <c r="RJI23" s="3431"/>
      <c r="RJJ23" s="3431"/>
      <c r="RJK23" s="3431"/>
      <c r="RJL23" s="3431"/>
      <c r="RJM23" s="3431"/>
      <c r="RJN23" s="3431"/>
      <c r="RJO23" s="3431"/>
      <c r="RJP23" s="3431"/>
      <c r="RJQ23" s="3431"/>
      <c r="RJR23" s="3431"/>
      <c r="RJS23" s="3431"/>
      <c r="RJT23" s="3431"/>
      <c r="RJU23" s="3431"/>
      <c r="RJV23" s="3431"/>
      <c r="RJW23" s="3431"/>
      <c r="RJX23" s="3431"/>
      <c r="RJY23" s="3431"/>
      <c r="RJZ23" s="3431"/>
      <c r="RKA23" s="3431"/>
      <c r="RKB23" s="3431"/>
      <c r="RKC23" s="3431"/>
      <c r="RKD23" s="3431"/>
      <c r="RKE23" s="3431"/>
      <c r="RKF23" s="3431"/>
      <c r="RKG23" s="3431"/>
      <c r="RKH23" s="3431"/>
      <c r="RKI23" s="3431"/>
      <c r="RKJ23" s="3431"/>
      <c r="RKK23" s="3431"/>
      <c r="RKL23" s="3431"/>
      <c r="RKM23" s="3431"/>
      <c r="RKN23" s="3431"/>
      <c r="RKO23" s="3431"/>
      <c r="RKP23" s="3431"/>
      <c r="RKQ23" s="3431"/>
      <c r="RKR23" s="3431"/>
      <c r="RKS23" s="3431"/>
      <c r="RKT23" s="3431"/>
      <c r="RKU23" s="3431"/>
      <c r="RKV23" s="3431"/>
      <c r="RKW23" s="3431"/>
      <c r="RKX23" s="3431"/>
      <c r="RKY23" s="3431"/>
      <c r="RKZ23" s="3431"/>
      <c r="RLA23" s="3431"/>
      <c r="RLB23" s="3431"/>
      <c r="RLC23" s="3431"/>
      <c r="RLD23" s="3431"/>
      <c r="RLE23" s="3431"/>
      <c r="RLF23" s="3431"/>
      <c r="RLG23" s="3431"/>
      <c r="RLH23" s="3431"/>
      <c r="RLI23" s="3431"/>
      <c r="RLJ23" s="3431"/>
      <c r="RLK23" s="3431"/>
      <c r="RLL23" s="3431"/>
      <c r="RLM23" s="3431"/>
      <c r="RLN23" s="3431"/>
      <c r="RLO23" s="3431"/>
      <c r="RLP23" s="3431"/>
      <c r="RLQ23" s="3431"/>
      <c r="RLR23" s="3431"/>
      <c r="RLS23" s="3431"/>
      <c r="RLT23" s="3431"/>
      <c r="RLU23" s="3431"/>
      <c r="RLV23" s="3431"/>
      <c r="RLW23" s="3431"/>
      <c r="RLX23" s="3431"/>
      <c r="RLY23" s="3431"/>
      <c r="RLZ23" s="3431"/>
      <c r="RMA23" s="3431"/>
      <c r="RMB23" s="3431"/>
      <c r="RMC23" s="3431"/>
      <c r="RMD23" s="3431"/>
      <c r="RME23" s="3431"/>
      <c r="RMF23" s="3431"/>
      <c r="RMG23" s="3431"/>
      <c r="RMH23" s="3431"/>
      <c r="RMI23" s="3431"/>
      <c r="RMJ23" s="3431"/>
      <c r="RMK23" s="3431"/>
      <c r="RML23" s="3431"/>
      <c r="RMM23" s="3431"/>
      <c r="RMN23" s="3431"/>
      <c r="RMO23" s="3431"/>
      <c r="RMP23" s="3431"/>
      <c r="RMQ23" s="3431"/>
      <c r="RMR23" s="3431"/>
      <c r="RMS23" s="3431"/>
      <c r="RMT23" s="3431"/>
      <c r="RMU23" s="3431"/>
      <c r="RMV23" s="3431"/>
      <c r="RMW23" s="3431"/>
      <c r="RMX23" s="3431"/>
      <c r="RMY23" s="3431"/>
      <c r="RMZ23" s="3431"/>
      <c r="RNA23" s="3431"/>
      <c r="RNB23" s="3431"/>
      <c r="RNC23" s="3431"/>
      <c r="RND23" s="3431"/>
      <c r="RNE23" s="3431"/>
      <c r="RNF23" s="3431"/>
      <c r="RNG23" s="3431"/>
      <c r="RNH23" s="3431"/>
      <c r="RNI23" s="3431"/>
      <c r="RNJ23" s="3431"/>
      <c r="RNK23" s="3431"/>
      <c r="RNL23" s="3431"/>
      <c r="RNM23" s="3431"/>
      <c r="RNN23" s="3431"/>
      <c r="RNO23" s="3431"/>
      <c r="RNP23" s="3431"/>
      <c r="RNQ23" s="3431"/>
      <c r="RNR23" s="3431"/>
      <c r="RNS23" s="3431"/>
      <c r="RNT23" s="3431"/>
      <c r="RNU23" s="3431"/>
      <c r="RNV23" s="3431"/>
      <c r="RNW23" s="3431"/>
      <c r="RNX23" s="3431"/>
      <c r="RNY23" s="3431"/>
      <c r="RNZ23" s="3431"/>
      <c r="ROA23" s="3431"/>
      <c r="ROB23" s="3431"/>
      <c r="ROC23" s="3431"/>
      <c r="ROD23" s="3431"/>
      <c r="ROE23" s="3431"/>
      <c r="ROF23" s="3431"/>
      <c r="ROG23" s="3431"/>
      <c r="ROH23" s="3431"/>
      <c r="ROI23" s="3431"/>
      <c r="ROJ23" s="3431"/>
      <c r="ROK23" s="3431"/>
      <c r="ROL23" s="3431"/>
      <c r="ROM23" s="3431"/>
      <c r="RON23" s="3431"/>
      <c r="ROO23" s="3431"/>
      <c r="ROP23" s="3431"/>
      <c r="ROQ23" s="3431"/>
      <c r="ROR23" s="3431"/>
      <c r="ROS23" s="3431"/>
      <c r="ROT23" s="3431"/>
      <c r="ROU23" s="3431"/>
      <c r="ROV23" s="3431"/>
      <c r="ROW23" s="3431"/>
      <c r="ROX23" s="3431"/>
      <c r="ROY23" s="3431"/>
      <c r="ROZ23" s="3431"/>
      <c r="RPA23" s="3431"/>
      <c r="RPB23" s="3431"/>
      <c r="RPC23" s="3431"/>
      <c r="RPD23" s="3431"/>
      <c r="RPE23" s="3431"/>
      <c r="RPF23" s="3431"/>
      <c r="RPG23" s="3431"/>
      <c r="RPH23" s="3431"/>
      <c r="RPI23" s="3431"/>
      <c r="RPJ23" s="3431"/>
      <c r="RPK23" s="3431"/>
      <c r="RPL23" s="3431"/>
      <c r="RPM23" s="3431"/>
      <c r="RPN23" s="3431"/>
      <c r="RPO23" s="3431"/>
      <c r="RPP23" s="3431"/>
      <c r="RPQ23" s="3431"/>
      <c r="RPR23" s="3431"/>
      <c r="RPS23" s="3431"/>
      <c r="RPT23" s="3431"/>
      <c r="RPU23" s="3431"/>
      <c r="RPV23" s="3431"/>
      <c r="RPW23" s="3431"/>
      <c r="RPX23" s="3431"/>
      <c r="RPY23" s="3431"/>
      <c r="RPZ23" s="3431"/>
      <c r="RQA23" s="3431"/>
      <c r="RQB23" s="3431"/>
      <c r="RQC23" s="3431"/>
      <c r="RQD23" s="3431"/>
      <c r="RQE23" s="3431"/>
      <c r="RQF23" s="3431"/>
      <c r="RQG23" s="3431"/>
      <c r="RQH23" s="3431"/>
      <c r="RQI23" s="3431"/>
      <c r="RQJ23" s="3431"/>
      <c r="RQK23" s="3431"/>
      <c r="RQL23" s="3431"/>
      <c r="RQM23" s="3431"/>
      <c r="RQN23" s="3431"/>
      <c r="RQO23" s="3431"/>
      <c r="RQP23" s="3431"/>
      <c r="RQQ23" s="3431"/>
      <c r="RQR23" s="3431"/>
      <c r="RQS23" s="3431"/>
      <c r="RQT23" s="3431"/>
      <c r="RQU23" s="3431"/>
      <c r="RQV23" s="3431"/>
      <c r="RQW23" s="3431"/>
      <c r="RQX23" s="3431"/>
      <c r="RQY23" s="3431"/>
      <c r="RQZ23" s="3431"/>
      <c r="RRA23" s="3431"/>
      <c r="RRB23" s="3431"/>
      <c r="RRC23" s="3431"/>
      <c r="RRD23" s="3431"/>
      <c r="RRE23" s="3431"/>
      <c r="RRF23" s="3431"/>
      <c r="RRG23" s="3431"/>
      <c r="RRH23" s="3431"/>
      <c r="RRI23" s="3431"/>
      <c r="RRJ23" s="3431"/>
      <c r="RRK23" s="3431"/>
      <c r="RRL23" s="3431"/>
      <c r="RRM23" s="3431"/>
      <c r="RRN23" s="3431"/>
      <c r="RRO23" s="3431"/>
      <c r="RRP23" s="3431"/>
      <c r="RRQ23" s="3431"/>
      <c r="RRR23" s="3431"/>
      <c r="RRS23" s="3431"/>
      <c r="RRT23" s="3431"/>
      <c r="RRU23" s="3431"/>
      <c r="RRV23" s="3431"/>
      <c r="RRW23" s="3431"/>
      <c r="RRX23" s="3431"/>
      <c r="RRY23" s="3431"/>
      <c r="RRZ23" s="3431"/>
      <c r="RSA23" s="3431"/>
      <c r="RSB23" s="3431"/>
      <c r="RSC23" s="3431"/>
      <c r="RSD23" s="3431"/>
      <c r="RSE23" s="3431"/>
      <c r="RSF23" s="3431"/>
      <c r="RSG23" s="3431"/>
      <c r="RSH23" s="3431"/>
      <c r="RSI23" s="3431"/>
      <c r="RSJ23" s="3431"/>
      <c r="RSK23" s="3431"/>
      <c r="RSL23" s="3431"/>
      <c r="RSM23" s="3431"/>
      <c r="RSN23" s="3431"/>
      <c r="RSO23" s="3431"/>
      <c r="RSP23" s="3431"/>
      <c r="RSQ23" s="3431"/>
      <c r="RSR23" s="3431"/>
      <c r="RSS23" s="3431"/>
      <c r="RST23" s="3431"/>
      <c r="RSU23" s="3431"/>
      <c r="RSV23" s="3431"/>
      <c r="RSW23" s="3431"/>
      <c r="RSX23" s="3431"/>
      <c r="RSY23" s="3431"/>
      <c r="RSZ23" s="3431"/>
      <c r="RTA23" s="3431"/>
      <c r="RTB23" s="3431"/>
      <c r="RTC23" s="3431"/>
      <c r="RTD23" s="3431"/>
      <c r="RTE23" s="3431"/>
      <c r="RTF23" s="3431"/>
      <c r="RTG23" s="3431"/>
      <c r="RTH23" s="3431"/>
      <c r="RTI23" s="3431"/>
      <c r="RTJ23" s="3431"/>
      <c r="RTK23" s="3431"/>
      <c r="RTL23" s="3431"/>
      <c r="RTM23" s="3431"/>
      <c r="RTN23" s="3431"/>
      <c r="RTO23" s="3431"/>
      <c r="RTP23" s="3431"/>
      <c r="RTQ23" s="3431"/>
      <c r="RTR23" s="3431"/>
      <c r="RTS23" s="3431"/>
      <c r="RTT23" s="3431"/>
      <c r="RTU23" s="3431"/>
      <c r="RTV23" s="3431"/>
      <c r="RTW23" s="3431"/>
      <c r="RTX23" s="3431"/>
      <c r="RTY23" s="3431"/>
      <c r="RTZ23" s="3431"/>
      <c r="RUA23" s="3431"/>
      <c r="RUB23" s="3431"/>
      <c r="RUC23" s="3431"/>
      <c r="RUD23" s="3431"/>
      <c r="RUE23" s="3431"/>
      <c r="RUF23" s="3431"/>
      <c r="RUG23" s="3431"/>
      <c r="RUH23" s="3431"/>
      <c r="RUI23" s="3431"/>
      <c r="RUJ23" s="3431"/>
      <c r="RUK23" s="3431"/>
      <c r="RUL23" s="3431"/>
      <c r="RUM23" s="3431"/>
      <c r="RUN23" s="3431"/>
      <c r="RUO23" s="3431"/>
      <c r="RUP23" s="3431"/>
      <c r="RUQ23" s="3431"/>
      <c r="RUR23" s="3431"/>
      <c r="RUS23" s="3431"/>
      <c r="RUT23" s="3431"/>
      <c r="RUU23" s="3431"/>
      <c r="RUV23" s="3431"/>
      <c r="RUW23" s="3431"/>
      <c r="RUX23" s="3431"/>
      <c r="RUY23" s="3431"/>
      <c r="RUZ23" s="3431"/>
      <c r="RVA23" s="3431"/>
      <c r="RVB23" s="3431"/>
      <c r="RVC23" s="3431"/>
      <c r="RVD23" s="3431"/>
      <c r="RVE23" s="3431"/>
      <c r="RVF23" s="3431"/>
      <c r="RVG23" s="3431"/>
      <c r="RVH23" s="3431"/>
      <c r="RVI23" s="3431"/>
      <c r="RVJ23" s="3431"/>
      <c r="RVK23" s="3431"/>
      <c r="RVL23" s="3431"/>
      <c r="RVM23" s="3431"/>
      <c r="RVN23" s="3431"/>
      <c r="RVO23" s="3431"/>
      <c r="RVP23" s="3431"/>
      <c r="RVQ23" s="3431"/>
      <c r="RVR23" s="3431"/>
      <c r="RVS23" s="3431"/>
      <c r="RVT23" s="3431"/>
      <c r="RVU23" s="3431"/>
      <c r="RVV23" s="3431"/>
      <c r="RVW23" s="3431"/>
      <c r="RVX23" s="3431"/>
      <c r="RVY23" s="3431"/>
      <c r="RVZ23" s="3431"/>
      <c r="RWA23" s="3431"/>
      <c r="RWB23" s="3431"/>
      <c r="RWC23" s="3431"/>
      <c r="RWD23" s="3431"/>
      <c r="RWE23" s="3431"/>
      <c r="RWF23" s="3431"/>
      <c r="RWG23" s="3431"/>
      <c r="RWH23" s="3431"/>
      <c r="RWI23" s="3431"/>
      <c r="RWJ23" s="3431"/>
      <c r="RWK23" s="3431"/>
      <c r="RWL23" s="3431"/>
      <c r="RWM23" s="3431"/>
      <c r="RWN23" s="3431"/>
      <c r="RWO23" s="3431"/>
      <c r="RWP23" s="3431"/>
      <c r="RWQ23" s="3431"/>
      <c r="RWR23" s="3431"/>
      <c r="RWS23" s="3431"/>
      <c r="RWT23" s="3431"/>
      <c r="RWU23" s="3431"/>
      <c r="RWV23" s="3431"/>
      <c r="RWW23" s="3431"/>
      <c r="RWX23" s="3431"/>
      <c r="RWY23" s="3431"/>
      <c r="RWZ23" s="3431"/>
      <c r="RXA23" s="3431"/>
      <c r="RXB23" s="3431"/>
      <c r="RXC23" s="3431"/>
      <c r="RXD23" s="3431"/>
      <c r="RXE23" s="3431"/>
      <c r="RXF23" s="3431"/>
      <c r="RXG23" s="3431"/>
      <c r="RXH23" s="3431"/>
      <c r="RXI23" s="3431"/>
      <c r="RXJ23" s="3431"/>
      <c r="RXK23" s="3431"/>
      <c r="RXL23" s="3431"/>
      <c r="RXM23" s="3431"/>
      <c r="RXN23" s="3431"/>
      <c r="RXO23" s="3431"/>
      <c r="RXP23" s="3431"/>
      <c r="RXQ23" s="3431"/>
      <c r="RXR23" s="3431"/>
      <c r="RXS23" s="3431"/>
      <c r="RXT23" s="3431"/>
      <c r="RXU23" s="3431"/>
      <c r="RXV23" s="3431"/>
      <c r="RXW23" s="3431"/>
      <c r="RXX23" s="3431"/>
      <c r="RXY23" s="3431"/>
      <c r="RXZ23" s="3431"/>
      <c r="RYA23" s="3431"/>
      <c r="RYB23" s="3431"/>
      <c r="RYC23" s="3431"/>
      <c r="RYD23" s="3431"/>
      <c r="RYE23" s="3431"/>
      <c r="RYF23" s="3431"/>
      <c r="RYG23" s="3431"/>
      <c r="RYH23" s="3431"/>
      <c r="RYI23" s="3431"/>
      <c r="RYJ23" s="3431"/>
      <c r="RYK23" s="3431"/>
      <c r="RYL23" s="3431"/>
      <c r="RYM23" s="3431"/>
      <c r="RYN23" s="3431"/>
      <c r="RYO23" s="3431"/>
      <c r="RYP23" s="3431"/>
      <c r="RYQ23" s="3431"/>
      <c r="RYR23" s="3431"/>
      <c r="RYS23" s="3431"/>
      <c r="RYT23" s="3431"/>
      <c r="RYU23" s="3431"/>
      <c r="RYV23" s="3431"/>
      <c r="RYW23" s="3431"/>
      <c r="RYX23" s="3431"/>
      <c r="RYY23" s="3431"/>
      <c r="RYZ23" s="3431"/>
      <c r="RZA23" s="3431"/>
      <c r="RZB23" s="3431"/>
      <c r="RZC23" s="3431"/>
      <c r="RZD23" s="3431"/>
      <c r="RZE23" s="3431"/>
      <c r="RZF23" s="3431"/>
      <c r="RZG23" s="3431"/>
      <c r="RZH23" s="3431"/>
      <c r="RZI23" s="3431"/>
      <c r="RZJ23" s="3431"/>
      <c r="RZK23" s="3431"/>
      <c r="RZL23" s="3431"/>
      <c r="RZM23" s="3431"/>
      <c r="RZN23" s="3431"/>
      <c r="RZO23" s="3431"/>
      <c r="RZP23" s="3431"/>
      <c r="RZQ23" s="3431"/>
      <c r="RZR23" s="3431"/>
      <c r="RZS23" s="3431"/>
      <c r="RZT23" s="3431"/>
      <c r="RZU23" s="3431"/>
      <c r="RZV23" s="3431"/>
      <c r="RZW23" s="3431"/>
      <c r="RZX23" s="3431"/>
      <c r="RZY23" s="3431"/>
      <c r="RZZ23" s="3431"/>
      <c r="SAA23" s="3431"/>
      <c r="SAB23" s="3431"/>
      <c r="SAC23" s="3431"/>
      <c r="SAD23" s="3431"/>
      <c r="SAE23" s="3431"/>
      <c r="SAF23" s="3431"/>
      <c r="SAG23" s="3431"/>
      <c r="SAH23" s="3431"/>
      <c r="SAI23" s="3431"/>
      <c r="SAJ23" s="3431"/>
      <c r="SAK23" s="3431"/>
      <c r="SAL23" s="3431"/>
      <c r="SAM23" s="3431"/>
      <c r="SAN23" s="3431"/>
      <c r="SAO23" s="3431"/>
      <c r="SAP23" s="3431"/>
      <c r="SAQ23" s="3431"/>
      <c r="SAR23" s="3431"/>
      <c r="SAS23" s="3431"/>
      <c r="SAT23" s="3431"/>
      <c r="SAU23" s="3431"/>
      <c r="SAV23" s="3431"/>
      <c r="SAW23" s="3431"/>
      <c r="SAX23" s="3431"/>
      <c r="SAY23" s="3431"/>
      <c r="SAZ23" s="3431"/>
      <c r="SBA23" s="3431"/>
      <c r="SBB23" s="3431"/>
      <c r="SBC23" s="3431"/>
      <c r="SBD23" s="3431"/>
      <c r="SBE23" s="3431"/>
      <c r="SBF23" s="3431"/>
      <c r="SBG23" s="3431"/>
      <c r="SBH23" s="3431"/>
      <c r="SBI23" s="3431"/>
      <c r="SBJ23" s="3431"/>
      <c r="SBK23" s="3431"/>
      <c r="SBL23" s="3431"/>
      <c r="SBM23" s="3431"/>
      <c r="SBN23" s="3431"/>
      <c r="SBO23" s="3431"/>
      <c r="SBP23" s="3431"/>
      <c r="SBQ23" s="3431"/>
      <c r="SBR23" s="3431"/>
      <c r="SBS23" s="3431"/>
      <c r="SBT23" s="3431"/>
      <c r="SBU23" s="3431"/>
      <c r="SBV23" s="3431"/>
      <c r="SBW23" s="3431"/>
      <c r="SBX23" s="3431"/>
      <c r="SBY23" s="3431"/>
      <c r="SBZ23" s="3431"/>
      <c r="SCA23" s="3431"/>
      <c r="SCB23" s="3431"/>
      <c r="SCC23" s="3431"/>
      <c r="SCD23" s="3431"/>
      <c r="SCE23" s="3431"/>
      <c r="SCF23" s="3431"/>
      <c r="SCG23" s="3431"/>
      <c r="SCH23" s="3431"/>
      <c r="SCI23" s="3431"/>
      <c r="SCJ23" s="3431"/>
      <c r="SCK23" s="3431"/>
      <c r="SCL23" s="3431"/>
      <c r="SCM23" s="3431"/>
      <c r="SCN23" s="3431"/>
      <c r="SCO23" s="3431"/>
      <c r="SCP23" s="3431"/>
      <c r="SCQ23" s="3431"/>
      <c r="SCR23" s="3431"/>
      <c r="SCS23" s="3431"/>
      <c r="SCT23" s="3431"/>
      <c r="SCU23" s="3431"/>
      <c r="SCV23" s="3431"/>
      <c r="SCW23" s="3431"/>
      <c r="SCX23" s="3431"/>
      <c r="SCY23" s="3431"/>
      <c r="SCZ23" s="3431"/>
      <c r="SDA23" s="3431"/>
      <c r="SDB23" s="3431"/>
      <c r="SDC23" s="3431"/>
      <c r="SDD23" s="3431"/>
      <c r="SDE23" s="3431"/>
      <c r="SDF23" s="3431"/>
      <c r="SDG23" s="3431"/>
      <c r="SDH23" s="3431"/>
      <c r="SDI23" s="3431"/>
      <c r="SDJ23" s="3431"/>
      <c r="SDK23" s="3431"/>
      <c r="SDL23" s="3431"/>
      <c r="SDM23" s="3431"/>
      <c r="SDN23" s="3431"/>
      <c r="SDO23" s="3431"/>
      <c r="SDP23" s="3431"/>
      <c r="SDQ23" s="3431"/>
      <c r="SDR23" s="3431"/>
      <c r="SDS23" s="3431"/>
      <c r="SDT23" s="3431"/>
      <c r="SDU23" s="3431"/>
      <c r="SDV23" s="3431"/>
      <c r="SDW23" s="3431"/>
      <c r="SDX23" s="3431"/>
      <c r="SDY23" s="3431"/>
      <c r="SDZ23" s="3431"/>
      <c r="SEA23" s="3431"/>
      <c r="SEB23" s="3431"/>
      <c r="SEC23" s="3431"/>
      <c r="SED23" s="3431"/>
      <c r="SEE23" s="3431"/>
      <c r="SEF23" s="3431"/>
      <c r="SEG23" s="3431"/>
      <c r="SEH23" s="3431"/>
      <c r="SEI23" s="3431"/>
      <c r="SEJ23" s="3431"/>
      <c r="SEK23" s="3431"/>
      <c r="SEL23" s="3431"/>
      <c r="SEM23" s="3431"/>
      <c r="SEN23" s="3431"/>
      <c r="SEO23" s="3431"/>
      <c r="SEP23" s="3431"/>
      <c r="SEQ23" s="3431"/>
      <c r="SER23" s="3431"/>
      <c r="SES23" s="3431"/>
      <c r="SET23" s="3431"/>
      <c r="SEU23" s="3431"/>
      <c r="SEV23" s="3431"/>
      <c r="SEW23" s="3431"/>
      <c r="SEX23" s="3431"/>
      <c r="SEY23" s="3431"/>
      <c r="SEZ23" s="3431"/>
      <c r="SFA23" s="3431"/>
      <c r="SFB23" s="3431"/>
      <c r="SFC23" s="3431"/>
      <c r="SFD23" s="3431"/>
      <c r="SFE23" s="3431"/>
      <c r="SFF23" s="3431"/>
      <c r="SFG23" s="3431"/>
      <c r="SFH23" s="3431"/>
      <c r="SFI23" s="3431"/>
      <c r="SFJ23" s="3431"/>
      <c r="SFK23" s="3431"/>
      <c r="SFL23" s="3431"/>
      <c r="SFM23" s="3431"/>
      <c r="SFN23" s="3431"/>
      <c r="SFO23" s="3431"/>
      <c r="SFP23" s="3431"/>
      <c r="SFQ23" s="3431"/>
      <c r="SFR23" s="3431"/>
      <c r="SFS23" s="3431"/>
      <c r="SFT23" s="3431"/>
      <c r="SFU23" s="3431"/>
      <c r="SFV23" s="3431"/>
      <c r="SFW23" s="3431"/>
      <c r="SFX23" s="3431"/>
      <c r="SFY23" s="3431"/>
      <c r="SFZ23" s="3431"/>
      <c r="SGA23" s="3431"/>
      <c r="SGB23" s="3431"/>
      <c r="SGC23" s="3431"/>
      <c r="SGD23" s="3431"/>
      <c r="SGE23" s="3431"/>
      <c r="SGF23" s="3431"/>
      <c r="SGG23" s="3431"/>
      <c r="SGH23" s="3431"/>
      <c r="SGI23" s="3431"/>
      <c r="SGJ23" s="3431"/>
      <c r="SGK23" s="3431"/>
      <c r="SGL23" s="3431"/>
      <c r="SGM23" s="3431"/>
      <c r="SGN23" s="3431"/>
      <c r="SGO23" s="3431"/>
      <c r="SGP23" s="3431"/>
      <c r="SGQ23" s="3431"/>
      <c r="SGR23" s="3431"/>
      <c r="SGS23" s="3431"/>
      <c r="SGT23" s="3431"/>
      <c r="SGU23" s="3431"/>
      <c r="SGV23" s="3431"/>
      <c r="SGW23" s="3431"/>
      <c r="SGX23" s="3431"/>
      <c r="SGY23" s="3431"/>
      <c r="SGZ23" s="3431"/>
      <c r="SHA23" s="3431"/>
      <c r="SHB23" s="3431"/>
      <c r="SHC23" s="3431"/>
      <c r="SHD23" s="3431"/>
      <c r="SHE23" s="3431"/>
      <c r="SHF23" s="3431"/>
      <c r="SHG23" s="3431"/>
      <c r="SHH23" s="3431"/>
      <c r="SHI23" s="3431"/>
      <c r="SHJ23" s="3431"/>
      <c r="SHK23" s="3431"/>
      <c r="SHL23" s="3431"/>
      <c r="SHM23" s="3431"/>
      <c r="SHN23" s="3431"/>
      <c r="SHO23" s="3431"/>
      <c r="SHP23" s="3431"/>
      <c r="SHQ23" s="3431"/>
      <c r="SHR23" s="3431"/>
      <c r="SHS23" s="3431"/>
      <c r="SHT23" s="3431"/>
      <c r="SHU23" s="3431"/>
      <c r="SHV23" s="3431"/>
      <c r="SHW23" s="3431"/>
      <c r="SHX23" s="3431"/>
      <c r="SHY23" s="3431"/>
      <c r="SHZ23" s="3431"/>
      <c r="SIA23" s="3431"/>
      <c r="SIB23" s="3431"/>
      <c r="SIC23" s="3431"/>
      <c r="SID23" s="3431"/>
      <c r="SIE23" s="3431"/>
      <c r="SIF23" s="3431"/>
      <c r="SIG23" s="3431"/>
      <c r="SIH23" s="3431"/>
      <c r="SII23" s="3431"/>
      <c r="SIJ23" s="3431"/>
      <c r="SIK23" s="3431"/>
      <c r="SIL23" s="3431"/>
      <c r="SIM23" s="3431"/>
      <c r="SIN23" s="3431"/>
      <c r="SIO23" s="3431"/>
      <c r="SIP23" s="3431"/>
      <c r="SIQ23" s="3431"/>
      <c r="SIR23" s="3431"/>
      <c r="SIS23" s="3431"/>
      <c r="SIT23" s="3431"/>
      <c r="SIU23" s="3431"/>
      <c r="SIV23" s="3431"/>
      <c r="SIW23" s="3431"/>
      <c r="SIX23" s="3431"/>
      <c r="SIY23" s="3431"/>
      <c r="SIZ23" s="3431"/>
      <c r="SJA23" s="3431"/>
      <c r="SJB23" s="3431"/>
      <c r="SJC23" s="3431"/>
      <c r="SJD23" s="3431"/>
      <c r="SJE23" s="3431"/>
      <c r="SJF23" s="3431"/>
      <c r="SJG23" s="3431"/>
      <c r="SJH23" s="3431"/>
      <c r="SJI23" s="3431"/>
      <c r="SJJ23" s="3431"/>
      <c r="SJK23" s="3431"/>
      <c r="SJL23" s="3431"/>
      <c r="SJM23" s="3431"/>
      <c r="SJN23" s="3431"/>
      <c r="SJO23" s="3431"/>
      <c r="SJP23" s="3431"/>
      <c r="SJQ23" s="3431"/>
      <c r="SJR23" s="3431"/>
      <c r="SJS23" s="3431"/>
      <c r="SJT23" s="3431"/>
      <c r="SJU23" s="3431"/>
      <c r="SJV23" s="3431"/>
      <c r="SJW23" s="3431"/>
      <c r="SJX23" s="3431"/>
      <c r="SJY23" s="3431"/>
      <c r="SJZ23" s="3431"/>
      <c r="SKA23" s="3431"/>
      <c r="SKB23" s="3431"/>
      <c r="SKC23" s="3431"/>
      <c r="SKD23" s="3431"/>
      <c r="SKE23" s="3431"/>
      <c r="SKF23" s="3431"/>
      <c r="SKG23" s="3431"/>
      <c r="SKH23" s="3431"/>
      <c r="SKI23" s="3431"/>
      <c r="SKJ23" s="3431"/>
      <c r="SKK23" s="3431"/>
      <c r="SKL23" s="3431"/>
      <c r="SKM23" s="3431"/>
      <c r="SKN23" s="3431"/>
      <c r="SKO23" s="3431"/>
      <c r="SKP23" s="3431"/>
      <c r="SKQ23" s="3431"/>
      <c r="SKR23" s="3431"/>
      <c r="SKS23" s="3431"/>
      <c r="SKT23" s="3431"/>
      <c r="SKU23" s="3431"/>
      <c r="SKV23" s="3431"/>
      <c r="SKW23" s="3431"/>
      <c r="SKX23" s="3431"/>
      <c r="SKY23" s="3431"/>
      <c r="SKZ23" s="3431"/>
      <c r="SLA23" s="3431"/>
      <c r="SLB23" s="3431"/>
      <c r="SLC23" s="3431"/>
      <c r="SLD23" s="3431"/>
      <c r="SLE23" s="3431"/>
      <c r="SLF23" s="3431"/>
      <c r="SLG23" s="3431"/>
      <c r="SLH23" s="3431"/>
      <c r="SLI23" s="3431"/>
      <c r="SLJ23" s="3431"/>
      <c r="SLK23" s="3431"/>
      <c r="SLL23" s="3431"/>
      <c r="SLM23" s="3431"/>
      <c r="SLN23" s="3431"/>
      <c r="SLO23" s="3431"/>
      <c r="SLP23" s="3431"/>
      <c r="SLQ23" s="3431"/>
      <c r="SLR23" s="3431"/>
      <c r="SLS23" s="3431"/>
      <c r="SLT23" s="3431"/>
      <c r="SLU23" s="3431"/>
      <c r="SLV23" s="3431"/>
      <c r="SLW23" s="3431"/>
      <c r="SLX23" s="3431"/>
      <c r="SLY23" s="3431"/>
      <c r="SLZ23" s="3431"/>
      <c r="SMA23" s="3431"/>
      <c r="SMB23" s="3431"/>
      <c r="SMC23" s="3431"/>
      <c r="SMD23" s="3431"/>
      <c r="SME23" s="3431"/>
      <c r="SMF23" s="3431"/>
      <c r="SMG23" s="3431"/>
      <c r="SMH23" s="3431"/>
      <c r="SMI23" s="3431"/>
      <c r="SMJ23" s="3431"/>
      <c r="SMK23" s="3431"/>
      <c r="SML23" s="3431"/>
      <c r="SMM23" s="3431"/>
      <c r="SMN23" s="3431"/>
      <c r="SMO23" s="3431"/>
      <c r="SMP23" s="3431"/>
      <c r="SMQ23" s="3431"/>
      <c r="SMR23" s="3431"/>
      <c r="SMS23" s="3431"/>
      <c r="SMT23" s="3431"/>
      <c r="SMU23" s="3431"/>
      <c r="SMV23" s="3431"/>
      <c r="SMW23" s="3431"/>
      <c r="SMX23" s="3431"/>
      <c r="SMY23" s="3431"/>
      <c r="SMZ23" s="3431"/>
      <c r="SNA23" s="3431"/>
      <c r="SNB23" s="3431"/>
      <c r="SNC23" s="3431"/>
      <c r="SND23" s="3431"/>
      <c r="SNE23" s="3431"/>
      <c r="SNF23" s="3431"/>
      <c r="SNG23" s="3431"/>
      <c r="SNH23" s="3431"/>
      <c r="SNI23" s="3431"/>
      <c r="SNJ23" s="3431"/>
      <c r="SNK23" s="3431"/>
      <c r="SNL23" s="3431"/>
      <c r="SNM23" s="3431"/>
      <c r="SNN23" s="3431"/>
      <c r="SNO23" s="3431"/>
      <c r="SNP23" s="3431"/>
      <c r="SNQ23" s="3431"/>
      <c r="SNR23" s="3431"/>
      <c r="SNS23" s="3431"/>
      <c r="SNT23" s="3431"/>
      <c r="SNU23" s="3431"/>
      <c r="SNV23" s="3431"/>
      <c r="SNW23" s="3431"/>
      <c r="SNX23" s="3431"/>
      <c r="SNY23" s="3431"/>
      <c r="SNZ23" s="3431"/>
      <c r="SOA23" s="3431"/>
      <c r="SOB23" s="3431"/>
      <c r="SOC23" s="3431"/>
      <c r="SOD23" s="3431"/>
      <c r="SOE23" s="3431"/>
      <c r="SOF23" s="3431"/>
      <c r="SOG23" s="3431"/>
      <c r="SOH23" s="3431"/>
      <c r="SOI23" s="3431"/>
      <c r="SOJ23" s="3431"/>
      <c r="SOK23" s="3431"/>
      <c r="SOL23" s="3431"/>
      <c r="SOM23" s="3431"/>
      <c r="SON23" s="3431"/>
      <c r="SOO23" s="3431"/>
      <c r="SOP23" s="3431"/>
      <c r="SOQ23" s="3431"/>
      <c r="SOR23" s="3431"/>
      <c r="SOS23" s="3431"/>
      <c r="SOT23" s="3431"/>
      <c r="SOU23" s="3431"/>
      <c r="SOV23" s="3431"/>
      <c r="SOW23" s="3431"/>
      <c r="SOX23" s="3431"/>
      <c r="SOY23" s="3431"/>
      <c r="SOZ23" s="3431"/>
      <c r="SPA23" s="3431"/>
      <c r="SPB23" s="3431"/>
      <c r="SPC23" s="3431"/>
      <c r="SPD23" s="3431"/>
      <c r="SPE23" s="3431"/>
      <c r="SPF23" s="3431"/>
      <c r="SPG23" s="3431"/>
      <c r="SPH23" s="3431"/>
      <c r="SPI23" s="3431"/>
      <c r="SPJ23" s="3431"/>
      <c r="SPK23" s="3431"/>
      <c r="SPL23" s="3431"/>
      <c r="SPM23" s="3431"/>
      <c r="SPN23" s="3431"/>
      <c r="SPO23" s="3431"/>
      <c r="SPP23" s="3431"/>
      <c r="SPQ23" s="3431"/>
      <c r="SPR23" s="3431"/>
      <c r="SPS23" s="3431"/>
      <c r="SPT23" s="3431"/>
      <c r="SPU23" s="3431"/>
      <c r="SPV23" s="3431"/>
      <c r="SPW23" s="3431"/>
      <c r="SPX23" s="3431"/>
      <c r="SPY23" s="3431"/>
      <c r="SPZ23" s="3431"/>
      <c r="SQA23" s="3431"/>
      <c r="SQB23" s="3431"/>
      <c r="SQC23" s="3431"/>
      <c r="SQD23" s="3431"/>
      <c r="SQE23" s="3431"/>
      <c r="SQF23" s="3431"/>
      <c r="SQG23" s="3431"/>
      <c r="SQH23" s="3431"/>
      <c r="SQI23" s="3431"/>
      <c r="SQJ23" s="3431"/>
      <c r="SQK23" s="3431"/>
      <c r="SQL23" s="3431"/>
      <c r="SQM23" s="3431"/>
      <c r="SQN23" s="3431"/>
      <c r="SQO23" s="3431"/>
      <c r="SQP23" s="3431"/>
      <c r="SQQ23" s="3431"/>
      <c r="SQR23" s="3431"/>
      <c r="SQS23" s="3431"/>
      <c r="SQT23" s="3431"/>
      <c r="SQU23" s="3431"/>
      <c r="SQV23" s="3431"/>
      <c r="SQW23" s="3431"/>
      <c r="SQX23" s="3431"/>
      <c r="SQY23" s="3431"/>
      <c r="SQZ23" s="3431"/>
      <c r="SRA23" s="3431"/>
      <c r="SRB23" s="3431"/>
      <c r="SRC23" s="3431"/>
      <c r="SRD23" s="3431"/>
      <c r="SRE23" s="3431"/>
      <c r="SRF23" s="3431"/>
      <c r="SRG23" s="3431"/>
      <c r="SRH23" s="3431"/>
      <c r="SRI23" s="3431"/>
      <c r="SRJ23" s="3431"/>
      <c r="SRK23" s="3431"/>
      <c r="SRL23" s="3431"/>
      <c r="SRM23" s="3431"/>
      <c r="SRN23" s="3431"/>
      <c r="SRO23" s="3431"/>
      <c r="SRP23" s="3431"/>
      <c r="SRQ23" s="3431"/>
      <c r="SRR23" s="3431"/>
      <c r="SRS23" s="3431"/>
      <c r="SRT23" s="3431"/>
      <c r="SRU23" s="3431"/>
      <c r="SRV23" s="3431"/>
      <c r="SRW23" s="3431"/>
      <c r="SRX23" s="3431"/>
      <c r="SRY23" s="3431"/>
      <c r="SRZ23" s="3431"/>
      <c r="SSA23" s="3431"/>
      <c r="SSB23" s="3431"/>
      <c r="SSC23" s="3431"/>
      <c r="SSD23" s="3431"/>
      <c r="SSE23" s="3431"/>
      <c r="SSF23" s="3431"/>
      <c r="SSG23" s="3431"/>
      <c r="SSH23" s="3431"/>
      <c r="SSI23" s="3431"/>
      <c r="SSJ23" s="3431"/>
      <c r="SSK23" s="3431"/>
      <c r="SSL23" s="3431"/>
      <c r="SSM23" s="3431"/>
      <c r="SSN23" s="3431"/>
      <c r="SSO23" s="3431"/>
      <c r="SSP23" s="3431"/>
      <c r="SSQ23" s="3431"/>
      <c r="SSR23" s="3431"/>
      <c r="SSS23" s="3431"/>
      <c r="SST23" s="3431"/>
      <c r="SSU23" s="3431"/>
      <c r="SSV23" s="3431"/>
      <c r="SSW23" s="3431"/>
      <c r="SSX23" s="3431"/>
      <c r="SSY23" s="3431"/>
      <c r="SSZ23" s="3431"/>
      <c r="STA23" s="3431"/>
      <c r="STB23" s="3431"/>
      <c r="STC23" s="3431"/>
      <c r="STD23" s="3431"/>
      <c r="STE23" s="3431"/>
      <c r="STF23" s="3431"/>
      <c r="STG23" s="3431"/>
      <c r="STH23" s="3431"/>
      <c r="STI23" s="3431"/>
      <c r="STJ23" s="3431"/>
      <c r="STK23" s="3431"/>
      <c r="STL23" s="3431"/>
      <c r="STM23" s="3431"/>
      <c r="STN23" s="3431"/>
      <c r="STO23" s="3431"/>
      <c r="STP23" s="3431"/>
      <c r="STQ23" s="3431"/>
      <c r="STR23" s="3431"/>
      <c r="STS23" s="3431"/>
      <c r="STT23" s="3431"/>
      <c r="STU23" s="3431"/>
      <c r="STV23" s="3431"/>
      <c r="STW23" s="3431"/>
      <c r="STX23" s="3431"/>
      <c r="STY23" s="3431"/>
      <c r="STZ23" s="3431"/>
      <c r="SUA23" s="3431"/>
      <c r="SUB23" s="3431"/>
      <c r="SUC23" s="3431"/>
      <c r="SUD23" s="3431"/>
      <c r="SUE23" s="3431"/>
      <c r="SUF23" s="3431"/>
      <c r="SUG23" s="3431"/>
      <c r="SUH23" s="3431"/>
      <c r="SUI23" s="3431"/>
      <c r="SUJ23" s="3431"/>
      <c r="SUK23" s="3431"/>
      <c r="SUL23" s="3431"/>
      <c r="SUM23" s="3431"/>
      <c r="SUN23" s="3431"/>
      <c r="SUO23" s="3431"/>
      <c r="SUP23" s="3431"/>
      <c r="SUQ23" s="3431"/>
      <c r="SUR23" s="3431"/>
      <c r="SUS23" s="3431"/>
      <c r="SUT23" s="3431"/>
      <c r="SUU23" s="3431"/>
      <c r="SUV23" s="3431"/>
      <c r="SUW23" s="3431"/>
      <c r="SUX23" s="3431"/>
      <c r="SUY23" s="3431"/>
      <c r="SUZ23" s="3431"/>
      <c r="SVA23" s="3431"/>
      <c r="SVB23" s="3431"/>
      <c r="SVC23" s="3431"/>
      <c r="SVD23" s="3431"/>
      <c r="SVE23" s="3431"/>
      <c r="SVF23" s="3431"/>
      <c r="SVG23" s="3431"/>
      <c r="SVH23" s="3431"/>
      <c r="SVI23" s="3431"/>
      <c r="SVJ23" s="3431"/>
      <c r="SVK23" s="3431"/>
      <c r="SVL23" s="3431"/>
      <c r="SVM23" s="3431"/>
      <c r="SVN23" s="3431"/>
      <c r="SVO23" s="3431"/>
      <c r="SVP23" s="3431"/>
      <c r="SVQ23" s="3431"/>
      <c r="SVR23" s="3431"/>
      <c r="SVS23" s="3431"/>
      <c r="SVT23" s="3431"/>
      <c r="SVU23" s="3431"/>
      <c r="SVV23" s="3431"/>
      <c r="SVW23" s="3431"/>
      <c r="SVX23" s="3431"/>
      <c r="SVY23" s="3431"/>
      <c r="SVZ23" s="3431"/>
      <c r="SWA23" s="3431"/>
      <c r="SWB23" s="3431"/>
      <c r="SWC23" s="3431"/>
      <c r="SWD23" s="3431"/>
      <c r="SWE23" s="3431"/>
      <c r="SWF23" s="3431"/>
      <c r="SWG23" s="3431"/>
      <c r="SWH23" s="3431"/>
      <c r="SWI23" s="3431"/>
      <c r="SWJ23" s="3431"/>
      <c r="SWK23" s="3431"/>
      <c r="SWL23" s="3431"/>
      <c r="SWM23" s="3431"/>
      <c r="SWN23" s="3431"/>
      <c r="SWO23" s="3431"/>
      <c r="SWP23" s="3431"/>
      <c r="SWQ23" s="3431"/>
      <c r="SWR23" s="3431"/>
      <c r="SWS23" s="3431"/>
      <c r="SWT23" s="3431"/>
      <c r="SWU23" s="3431"/>
      <c r="SWV23" s="3431"/>
      <c r="SWW23" s="3431"/>
      <c r="SWX23" s="3431"/>
      <c r="SWY23" s="3431"/>
      <c r="SWZ23" s="3431"/>
      <c r="SXA23" s="3431"/>
      <c r="SXB23" s="3431"/>
      <c r="SXC23" s="3431"/>
      <c r="SXD23" s="3431"/>
      <c r="SXE23" s="3431"/>
      <c r="SXF23" s="3431"/>
      <c r="SXG23" s="3431"/>
      <c r="SXH23" s="3431"/>
      <c r="SXI23" s="3431"/>
      <c r="SXJ23" s="3431"/>
      <c r="SXK23" s="3431"/>
      <c r="SXL23" s="3431"/>
      <c r="SXM23" s="3431"/>
      <c r="SXN23" s="3431"/>
      <c r="SXO23" s="3431"/>
      <c r="SXP23" s="3431"/>
      <c r="SXQ23" s="3431"/>
      <c r="SXR23" s="3431"/>
      <c r="SXS23" s="3431"/>
      <c r="SXT23" s="3431"/>
      <c r="SXU23" s="3431"/>
      <c r="SXV23" s="3431"/>
      <c r="SXW23" s="3431"/>
      <c r="SXX23" s="3431"/>
      <c r="SXY23" s="3431"/>
      <c r="SXZ23" s="3431"/>
      <c r="SYA23" s="3431"/>
      <c r="SYB23" s="3431"/>
      <c r="SYC23" s="3431"/>
      <c r="SYD23" s="3431"/>
      <c r="SYE23" s="3431"/>
      <c r="SYF23" s="3431"/>
      <c r="SYG23" s="3431"/>
      <c r="SYH23" s="3431"/>
      <c r="SYI23" s="3431"/>
      <c r="SYJ23" s="3431"/>
      <c r="SYK23" s="3431"/>
      <c r="SYL23" s="3431"/>
      <c r="SYM23" s="3431"/>
      <c r="SYN23" s="3431"/>
      <c r="SYO23" s="3431"/>
      <c r="SYP23" s="3431"/>
      <c r="SYQ23" s="3431"/>
      <c r="SYR23" s="3431"/>
      <c r="SYS23" s="3431"/>
      <c r="SYT23" s="3431"/>
      <c r="SYU23" s="3431"/>
      <c r="SYV23" s="3431"/>
      <c r="SYW23" s="3431"/>
      <c r="SYX23" s="3431"/>
      <c r="SYY23" s="3431"/>
      <c r="SYZ23" s="3431"/>
      <c r="SZA23" s="3431"/>
      <c r="SZB23" s="3431"/>
      <c r="SZC23" s="3431"/>
      <c r="SZD23" s="3431"/>
      <c r="SZE23" s="3431"/>
      <c r="SZF23" s="3431"/>
      <c r="SZG23" s="3431"/>
      <c r="SZH23" s="3431"/>
      <c r="SZI23" s="3431"/>
      <c r="SZJ23" s="3431"/>
      <c r="SZK23" s="3431"/>
      <c r="SZL23" s="3431"/>
      <c r="SZM23" s="3431"/>
      <c r="SZN23" s="3431"/>
      <c r="SZO23" s="3431"/>
      <c r="SZP23" s="3431"/>
      <c r="SZQ23" s="3431"/>
      <c r="SZR23" s="3431"/>
      <c r="SZS23" s="3431"/>
      <c r="SZT23" s="3431"/>
      <c r="SZU23" s="3431"/>
      <c r="SZV23" s="3431"/>
      <c r="SZW23" s="3431"/>
      <c r="SZX23" s="3431"/>
      <c r="SZY23" s="3431"/>
      <c r="SZZ23" s="3431"/>
      <c r="TAA23" s="3431"/>
      <c r="TAB23" s="3431"/>
      <c r="TAC23" s="3431"/>
      <c r="TAD23" s="3431"/>
      <c r="TAE23" s="3431"/>
      <c r="TAF23" s="3431"/>
      <c r="TAG23" s="3431"/>
      <c r="TAH23" s="3431"/>
      <c r="TAI23" s="3431"/>
      <c r="TAJ23" s="3431"/>
      <c r="TAK23" s="3431"/>
      <c r="TAL23" s="3431"/>
      <c r="TAM23" s="3431"/>
      <c r="TAN23" s="3431"/>
      <c r="TAO23" s="3431"/>
      <c r="TAP23" s="3431"/>
      <c r="TAQ23" s="3431"/>
      <c r="TAR23" s="3431"/>
      <c r="TAS23" s="3431"/>
      <c r="TAT23" s="3431"/>
      <c r="TAU23" s="3431"/>
      <c r="TAV23" s="3431"/>
      <c r="TAW23" s="3431"/>
      <c r="TAX23" s="3431"/>
      <c r="TAY23" s="3431"/>
      <c r="TAZ23" s="3431"/>
      <c r="TBA23" s="3431"/>
      <c r="TBB23" s="3431"/>
      <c r="TBC23" s="3431"/>
      <c r="TBD23" s="3431"/>
      <c r="TBE23" s="3431"/>
      <c r="TBF23" s="3431"/>
      <c r="TBG23" s="3431"/>
      <c r="TBH23" s="3431"/>
      <c r="TBI23" s="3431"/>
      <c r="TBJ23" s="3431"/>
      <c r="TBK23" s="3431"/>
      <c r="TBL23" s="3431"/>
      <c r="TBM23" s="3431"/>
      <c r="TBN23" s="3431"/>
      <c r="TBO23" s="3431"/>
      <c r="TBP23" s="3431"/>
      <c r="TBQ23" s="3431"/>
      <c r="TBR23" s="3431"/>
      <c r="TBS23" s="3431"/>
      <c r="TBT23" s="3431"/>
      <c r="TBU23" s="3431"/>
      <c r="TBV23" s="3431"/>
      <c r="TBW23" s="3431"/>
      <c r="TBX23" s="3431"/>
      <c r="TBY23" s="3431"/>
      <c r="TBZ23" s="3431"/>
      <c r="TCA23" s="3431"/>
      <c r="TCB23" s="3431"/>
      <c r="TCC23" s="3431"/>
      <c r="TCD23" s="3431"/>
      <c r="TCE23" s="3431"/>
      <c r="TCF23" s="3431"/>
      <c r="TCG23" s="3431"/>
      <c r="TCH23" s="3431"/>
      <c r="TCI23" s="3431"/>
      <c r="TCJ23" s="3431"/>
      <c r="TCK23" s="3431"/>
      <c r="TCL23" s="3431"/>
      <c r="TCM23" s="3431"/>
      <c r="TCN23" s="3431"/>
      <c r="TCO23" s="3431"/>
      <c r="TCP23" s="3431"/>
      <c r="TCQ23" s="3431"/>
      <c r="TCR23" s="3431"/>
      <c r="TCS23" s="3431"/>
      <c r="TCT23" s="3431"/>
      <c r="TCU23" s="3431"/>
      <c r="TCV23" s="3431"/>
      <c r="TCW23" s="3431"/>
      <c r="TCX23" s="3431"/>
      <c r="TCY23" s="3431"/>
      <c r="TCZ23" s="3431"/>
      <c r="TDA23" s="3431"/>
      <c r="TDB23" s="3431"/>
      <c r="TDC23" s="3431"/>
      <c r="TDD23" s="3431"/>
      <c r="TDE23" s="3431"/>
      <c r="TDF23" s="3431"/>
      <c r="TDG23" s="3431"/>
      <c r="TDH23" s="3431"/>
      <c r="TDI23" s="3431"/>
      <c r="TDJ23" s="3431"/>
      <c r="TDK23" s="3431"/>
      <c r="TDL23" s="3431"/>
      <c r="TDM23" s="3431"/>
      <c r="TDN23" s="3431"/>
      <c r="TDO23" s="3431"/>
      <c r="TDP23" s="3431"/>
      <c r="TDQ23" s="3431"/>
      <c r="TDR23" s="3431"/>
      <c r="TDS23" s="3431"/>
      <c r="TDT23" s="3431"/>
      <c r="TDU23" s="3431"/>
      <c r="TDV23" s="3431"/>
      <c r="TDW23" s="3431"/>
      <c r="TDX23" s="3431"/>
      <c r="TDY23" s="3431"/>
      <c r="TDZ23" s="3431"/>
      <c r="TEA23" s="3431"/>
      <c r="TEB23" s="3431"/>
      <c r="TEC23" s="3431"/>
      <c r="TED23" s="3431"/>
      <c r="TEE23" s="3431"/>
      <c r="TEF23" s="3431"/>
      <c r="TEG23" s="3431"/>
      <c r="TEH23" s="3431"/>
      <c r="TEI23" s="3431"/>
      <c r="TEJ23" s="3431"/>
      <c r="TEK23" s="3431"/>
      <c r="TEL23" s="3431"/>
      <c r="TEM23" s="3431"/>
      <c r="TEN23" s="3431"/>
      <c r="TEO23" s="3431"/>
      <c r="TEP23" s="3431"/>
      <c r="TEQ23" s="3431"/>
      <c r="TER23" s="3431"/>
      <c r="TES23" s="3431"/>
      <c r="TET23" s="3431"/>
      <c r="TEU23" s="3431"/>
      <c r="TEV23" s="3431"/>
      <c r="TEW23" s="3431"/>
      <c r="TEX23" s="3431"/>
      <c r="TEY23" s="3431"/>
      <c r="TEZ23" s="3431"/>
      <c r="TFA23" s="3431"/>
      <c r="TFB23" s="3431"/>
      <c r="TFC23" s="3431"/>
      <c r="TFD23" s="3431"/>
      <c r="TFE23" s="3431"/>
      <c r="TFF23" s="3431"/>
      <c r="TFG23" s="3431"/>
      <c r="TFH23" s="3431"/>
      <c r="TFI23" s="3431"/>
      <c r="TFJ23" s="3431"/>
      <c r="TFK23" s="3431"/>
      <c r="TFL23" s="3431"/>
      <c r="TFM23" s="3431"/>
      <c r="TFN23" s="3431"/>
      <c r="TFO23" s="3431"/>
      <c r="TFP23" s="3431"/>
      <c r="TFQ23" s="3431"/>
      <c r="TFR23" s="3431"/>
      <c r="TFS23" s="3431"/>
      <c r="TFT23" s="3431"/>
      <c r="TFU23" s="3431"/>
      <c r="TFV23" s="3431"/>
      <c r="TFW23" s="3431"/>
      <c r="TFX23" s="3431"/>
      <c r="TFY23" s="3431"/>
      <c r="TFZ23" s="3431"/>
      <c r="TGA23" s="3431"/>
      <c r="TGB23" s="3431"/>
      <c r="TGC23" s="3431"/>
      <c r="TGD23" s="3431"/>
      <c r="TGE23" s="3431"/>
      <c r="TGF23" s="3431"/>
      <c r="TGG23" s="3431"/>
      <c r="TGH23" s="3431"/>
      <c r="TGI23" s="3431"/>
      <c r="TGJ23" s="3431"/>
      <c r="TGK23" s="3431"/>
      <c r="TGL23" s="3431"/>
      <c r="TGM23" s="3431"/>
      <c r="TGN23" s="3431"/>
      <c r="TGO23" s="3431"/>
      <c r="TGP23" s="3431"/>
      <c r="TGQ23" s="3431"/>
      <c r="TGR23" s="3431"/>
      <c r="TGS23" s="3431"/>
      <c r="TGT23" s="3431"/>
      <c r="TGU23" s="3431"/>
      <c r="TGV23" s="3431"/>
      <c r="TGW23" s="3431"/>
      <c r="TGX23" s="3431"/>
      <c r="TGY23" s="3431"/>
      <c r="TGZ23" s="3431"/>
      <c r="THA23" s="3431"/>
      <c r="THB23" s="3431"/>
      <c r="THC23" s="3431"/>
      <c r="THD23" s="3431"/>
      <c r="THE23" s="3431"/>
      <c r="THF23" s="3431"/>
      <c r="THG23" s="3431"/>
      <c r="THH23" s="3431"/>
      <c r="THI23" s="3431"/>
      <c r="THJ23" s="3431"/>
      <c r="THK23" s="3431"/>
      <c r="THL23" s="3431"/>
      <c r="THM23" s="3431"/>
      <c r="THN23" s="3431"/>
      <c r="THO23" s="3431"/>
      <c r="THP23" s="3431"/>
      <c r="THQ23" s="3431"/>
      <c r="THR23" s="3431"/>
      <c r="THS23" s="3431"/>
      <c r="THT23" s="3431"/>
      <c r="THU23" s="3431"/>
      <c r="THV23" s="3431"/>
      <c r="THW23" s="3431"/>
      <c r="THX23" s="3431"/>
      <c r="THY23" s="3431"/>
      <c r="THZ23" s="3431"/>
      <c r="TIA23" s="3431"/>
      <c r="TIB23" s="3431"/>
      <c r="TIC23" s="3431"/>
      <c r="TID23" s="3431"/>
      <c r="TIE23" s="3431"/>
      <c r="TIF23" s="3431"/>
      <c r="TIG23" s="3431"/>
      <c r="TIH23" s="3431"/>
      <c r="TII23" s="3431"/>
      <c r="TIJ23" s="3431"/>
      <c r="TIK23" s="3431"/>
      <c r="TIL23" s="3431"/>
      <c r="TIM23" s="3431"/>
      <c r="TIN23" s="3431"/>
      <c r="TIO23" s="3431"/>
      <c r="TIP23" s="3431"/>
      <c r="TIQ23" s="3431"/>
      <c r="TIR23" s="3431"/>
      <c r="TIS23" s="3431"/>
      <c r="TIT23" s="3431"/>
      <c r="TIU23" s="3431"/>
      <c r="TIV23" s="3431"/>
      <c r="TIW23" s="3431"/>
      <c r="TIX23" s="3431"/>
      <c r="TIY23" s="3431"/>
      <c r="TIZ23" s="3431"/>
      <c r="TJA23" s="3431"/>
      <c r="TJB23" s="3431"/>
      <c r="TJC23" s="3431"/>
      <c r="TJD23" s="3431"/>
      <c r="TJE23" s="3431"/>
      <c r="TJF23" s="3431"/>
      <c r="TJG23" s="3431"/>
      <c r="TJH23" s="3431"/>
      <c r="TJI23" s="3431"/>
      <c r="TJJ23" s="3431"/>
      <c r="TJK23" s="3431"/>
      <c r="TJL23" s="3431"/>
      <c r="TJM23" s="3431"/>
      <c r="TJN23" s="3431"/>
      <c r="TJO23" s="3431"/>
      <c r="TJP23" s="3431"/>
      <c r="TJQ23" s="3431"/>
      <c r="TJR23" s="3431"/>
      <c r="TJS23" s="3431"/>
      <c r="TJT23" s="3431"/>
      <c r="TJU23" s="3431"/>
      <c r="TJV23" s="3431"/>
      <c r="TJW23" s="3431"/>
      <c r="TJX23" s="3431"/>
      <c r="TJY23" s="3431"/>
      <c r="TJZ23" s="3431"/>
      <c r="TKA23" s="3431"/>
      <c r="TKB23" s="3431"/>
      <c r="TKC23" s="3431"/>
      <c r="TKD23" s="3431"/>
      <c r="TKE23" s="3431"/>
      <c r="TKF23" s="3431"/>
      <c r="TKG23" s="3431"/>
      <c r="TKH23" s="3431"/>
      <c r="TKI23" s="3431"/>
      <c r="TKJ23" s="3431"/>
      <c r="TKK23" s="3431"/>
      <c r="TKL23" s="3431"/>
      <c r="TKM23" s="3431"/>
      <c r="TKN23" s="3431"/>
      <c r="TKO23" s="3431"/>
      <c r="TKP23" s="3431"/>
      <c r="TKQ23" s="3431"/>
      <c r="TKR23" s="3431"/>
      <c r="TKS23" s="3431"/>
      <c r="TKT23" s="3431"/>
      <c r="TKU23" s="3431"/>
      <c r="TKV23" s="3431"/>
      <c r="TKW23" s="3431"/>
      <c r="TKX23" s="3431"/>
      <c r="TKY23" s="3431"/>
      <c r="TKZ23" s="3431"/>
      <c r="TLA23" s="3431"/>
      <c r="TLB23" s="3431"/>
      <c r="TLC23" s="3431"/>
      <c r="TLD23" s="3431"/>
      <c r="TLE23" s="3431"/>
      <c r="TLF23" s="3431"/>
      <c r="TLG23" s="3431"/>
      <c r="TLH23" s="3431"/>
      <c r="TLI23" s="3431"/>
      <c r="TLJ23" s="3431"/>
      <c r="TLK23" s="3431"/>
      <c r="TLL23" s="3431"/>
      <c r="TLM23" s="3431"/>
      <c r="TLN23" s="3431"/>
      <c r="TLO23" s="3431"/>
      <c r="TLP23" s="3431"/>
      <c r="TLQ23" s="3431"/>
      <c r="TLR23" s="3431"/>
      <c r="TLS23" s="3431"/>
      <c r="TLT23" s="3431"/>
      <c r="TLU23" s="3431"/>
      <c r="TLV23" s="3431"/>
      <c r="TLW23" s="3431"/>
      <c r="TLX23" s="3431"/>
      <c r="TLY23" s="3431"/>
      <c r="TLZ23" s="3431"/>
      <c r="TMA23" s="3431"/>
      <c r="TMB23" s="3431"/>
      <c r="TMC23" s="3431"/>
      <c r="TMD23" s="3431"/>
      <c r="TME23" s="3431"/>
      <c r="TMF23" s="3431"/>
      <c r="TMG23" s="3431"/>
      <c r="TMH23" s="3431"/>
      <c r="TMI23" s="3431"/>
      <c r="TMJ23" s="3431"/>
      <c r="TMK23" s="3431"/>
      <c r="TML23" s="3431"/>
      <c r="TMM23" s="3431"/>
      <c r="TMN23" s="3431"/>
      <c r="TMO23" s="3431"/>
      <c r="TMP23" s="3431"/>
      <c r="TMQ23" s="3431"/>
      <c r="TMR23" s="3431"/>
      <c r="TMS23" s="3431"/>
      <c r="TMT23" s="3431"/>
      <c r="TMU23" s="3431"/>
      <c r="TMV23" s="3431"/>
      <c r="TMW23" s="3431"/>
      <c r="TMX23" s="3431"/>
      <c r="TMY23" s="3431"/>
      <c r="TMZ23" s="3431"/>
      <c r="TNA23" s="3431"/>
      <c r="TNB23" s="3431"/>
      <c r="TNC23" s="3431"/>
      <c r="TND23" s="3431"/>
      <c r="TNE23" s="3431"/>
      <c r="TNF23" s="3431"/>
      <c r="TNG23" s="3431"/>
      <c r="TNH23" s="3431"/>
      <c r="TNI23" s="3431"/>
      <c r="TNJ23" s="3431"/>
      <c r="TNK23" s="3431"/>
      <c r="TNL23" s="3431"/>
      <c r="TNM23" s="3431"/>
      <c r="TNN23" s="3431"/>
      <c r="TNO23" s="3431"/>
      <c r="TNP23" s="3431"/>
      <c r="TNQ23" s="3431"/>
      <c r="TNR23" s="3431"/>
      <c r="TNS23" s="3431"/>
      <c r="TNT23" s="3431"/>
      <c r="TNU23" s="3431"/>
      <c r="TNV23" s="3431"/>
      <c r="TNW23" s="3431"/>
      <c r="TNX23" s="3431"/>
      <c r="TNY23" s="3431"/>
      <c r="TNZ23" s="3431"/>
      <c r="TOA23" s="3431"/>
      <c r="TOB23" s="3431"/>
      <c r="TOC23" s="3431"/>
      <c r="TOD23" s="3431"/>
      <c r="TOE23" s="3431"/>
      <c r="TOF23" s="3431"/>
      <c r="TOG23" s="3431"/>
      <c r="TOH23" s="3431"/>
      <c r="TOI23" s="3431"/>
      <c r="TOJ23" s="3431"/>
      <c r="TOK23" s="3431"/>
      <c r="TOL23" s="3431"/>
      <c r="TOM23" s="3431"/>
      <c r="TON23" s="3431"/>
      <c r="TOO23" s="3431"/>
      <c r="TOP23" s="3431"/>
      <c r="TOQ23" s="3431"/>
      <c r="TOR23" s="3431"/>
      <c r="TOS23" s="3431"/>
      <c r="TOT23" s="3431"/>
      <c r="TOU23" s="3431"/>
      <c r="TOV23" s="3431"/>
      <c r="TOW23" s="3431"/>
      <c r="TOX23" s="3431"/>
      <c r="TOY23" s="3431"/>
      <c r="TOZ23" s="3431"/>
      <c r="TPA23" s="3431"/>
      <c r="TPB23" s="3431"/>
      <c r="TPC23" s="3431"/>
      <c r="TPD23" s="3431"/>
      <c r="TPE23" s="3431"/>
      <c r="TPF23" s="3431"/>
      <c r="TPG23" s="3431"/>
      <c r="TPH23" s="3431"/>
      <c r="TPI23" s="3431"/>
      <c r="TPJ23" s="3431"/>
      <c r="TPK23" s="3431"/>
      <c r="TPL23" s="3431"/>
      <c r="TPM23" s="3431"/>
      <c r="TPN23" s="3431"/>
      <c r="TPO23" s="3431"/>
      <c r="TPP23" s="3431"/>
      <c r="TPQ23" s="3431"/>
      <c r="TPR23" s="3431"/>
      <c r="TPS23" s="3431"/>
      <c r="TPT23" s="3431"/>
      <c r="TPU23" s="3431"/>
      <c r="TPV23" s="3431"/>
      <c r="TPW23" s="3431"/>
      <c r="TPX23" s="3431"/>
      <c r="TPY23" s="3431"/>
      <c r="TPZ23" s="3431"/>
      <c r="TQA23" s="3431"/>
      <c r="TQB23" s="3431"/>
      <c r="TQC23" s="3431"/>
      <c r="TQD23" s="3431"/>
      <c r="TQE23" s="3431"/>
      <c r="TQF23" s="3431"/>
      <c r="TQG23" s="3431"/>
      <c r="TQH23" s="3431"/>
      <c r="TQI23" s="3431"/>
      <c r="TQJ23" s="3431"/>
      <c r="TQK23" s="3431"/>
      <c r="TQL23" s="3431"/>
      <c r="TQM23" s="3431"/>
      <c r="TQN23" s="3431"/>
      <c r="TQO23" s="3431"/>
      <c r="TQP23" s="3431"/>
      <c r="TQQ23" s="3431"/>
      <c r="TQR23" s="3431"/>
      <c r="TQS23" s="3431"/>
      <c r="TQT23" s="3431"/>
      <c r="TQU23" s="3431"/>
      <c r="TQV23" s="3431"/>
      <c r="TQW23" s="3431"/>
      <c r="TQX23" s="3431"/>
      <c r="TQY23" s="3431"/>
      <c r="TQZ23" s="3431"/>
      <c r="TRA23" s="3431"/>
      <c r="TRB23" s="3431"/>
      <c r="TRC23" s="3431"/>
      <c r="TRD23" s="3431"/>
      <c r="TRE23" s="3431"/>
      <c r="TRF23" s="3431"/>
      <c r="TRG23" s="3431"/>
      <c r="TRH23" s="3431"/>
      <c r="TRI23" s="3431"/>
      <c r="TRJ23" s="3431"/>
      <c r="TRK23" s="3431"/>
      <c r="TRL23" s="3431"/>
      <c r="TRM23" s="3431"/>
      <c r="TRN23" s="3431"/>
      <c r="TRO23" s="3431"/>
      <c r="TRP23" s="3431"/>
      <c r="TRQ23" s="3431"/>
      <c r="TRR23" s="3431"/>
      <c r="TRS23" s="3431"/>
      <c r="TRT23" s="3431"/>
      <c r="TRU23" s="3431"/>
      <c r="TRV23" s="3431"/>
      <c r="TRW23" s="3431"/>
      <c r="TRX23" s="3431"/>
      <c r="TRY23" s="3431"/>
      <c r="TRZ23" s="3431"/>
      <c r="TSA23" s="3431"/>
      <c r="TSB23" s="3431"/>
      <c r="TSC23" s="3431"/>
      <c r="TSD23" s="3431"/>
      <c r="TSE23" s="3431"/>
      <c r="TSF23" s="3431"/>
      <c r="TSG23" s="3431"/>
      <c r="TSH23" s="3431"/>
      <c r="TSI23" s="3431"/>
      <c r="TSJ23" s="3431"/>
      <c r="TSK23" s="3431"/>
      <c r="TSL23" s="3431"/>
      <c r="TSM23" s="3431"/>
      <c r="TSN23" s="3431"/>
      <c r="TSO23" s="3431"/>
      <c r="TSP23" s="3431"/>
      <c r="TSQ23" s="3431"/>
      <c r="TSR23" s="3431"/>
      <c r="TSS23" s="3431"/>
      <c r="TST23" s="3431"/>
      <c r="TSU23" s="3431"/>
      <c r="TSV23" s="3431"/>
      <c r="TSW23" s="3431"/>
      <c r="TSX23" s="3431"/>
      <c r="TSY23" s="3431"/>
      <c r="TSZ23" s="3431"/>
      <c r="TTA23" s="3431"/>
      <c r="TTB23" s="3431"/>
      <c r="TTC23" s="3431"/>
      <c r="TTD23" s="3431"/>
      <c r="TTE23" s="3431"/>
      <c r="TTF23" s="3431"/>
      <c r="TTG23" s="3431"/>
      <c r="TTH23" s="3431"/>
      <c r="TTI23" s="3431"/>
      <c r="TTJ23" s="3431"/>
      <c r="TTK23" s="3431"/>
      <c r="TTL23" s="3431"/>
      <c r="TTM23" s="3431"/>
      <c r="TTN23" s="3431"/>
      <c r="TTO23" s="3431"/>
      <c r="TTP23" s="3431"/>
      <c r="TTQ23" s="3431"/>
      <c r="TTR23" s="3431"/>
      <c r="TTS23" s="3431"/>
      <c r="TTT23" s="3431"/>
      <c r="TTU23" s="3431"/>
      <c r="TTV23" s="3431"/>
      <c r="TTW23" s="3431"/>
      <c r="TTX23" s="3431"/>
      <c r="TTY23" s="3431"/>
      <c r="TTZ23" s="3431"/>
      <c r="TUA23" s="3431"/>
      <c r="TUB23" s="3431"/>
      <c r="TUC23" s="3431"/>
      <c r="TUD23" s="3431"/>
      <c r="TUE23" s="3431"/>
      <c r="TUF23" s="3431"/>
      <c r="TUG23" s="3431"/>
      <c r="TUH23" s="3431"/>
      <c r="TUI23" s="3431"/>
      <c r="TUJ23" s="3431"/>
      <c r="TUK23" s="3431"/>
      <c r="TUL23" s="3431"/>
      <c r="TUM23" s="3431"/>
      <c r="TUN23" s="3431"/>
      <c r="TUO23" s="3431"/>
      <c r="TUP23" s="3431"/>
      <c r="TUQ23" s="3431"/>
      <c r="TUR23" s="3431"/>
      <c r="TUS23" s="3431"/>
      <c r="TUT23" s="3431"/>
      <c r="TUU23" s="3431"/>
      <c r="TUV23" s="3431"/>
      <c r="TUW23" s="3431"/>
      <c r="TUX23" s="3431"/>
      <c r="TUY23" s="3431"/>
      <c r="TUZ23" s="3431"/>
      <c r="TVA23" s="3431"/>
      <c r="TVB23" s="3431"/>
      <c r="TVC23" s="3431"/>
      <c r="TVD23" s="3431"/>
      <c r="TVE23" s="3431"/>
      <c r="TVF23" s="3431"/>
      <c r="TVG23" s="3431"/>
      <c r="TVH23" s="3431"/>
      <c r="TVI23" s="3431"/>
      <c r="TVJ23" s="3431"/>
      <c r="TVK23" s="3431"/>
      <c r="TVL23" s="3431"/>
      <c r="TVM23" s="3431"/>
      <c r="TVN23" s="3431"/>
      <c r="TVO23" s="3431"/>
      <c r="TVP23" s="3431"/>
      <c r="TVQ23" s="3431"/>
      <c r="TVR23" s="3431"/>
      <c r="TVS23" s="3431"/>
      <c r="TVT23" s="3431"/>
      <c r="TVU23" s="3431"/>
      <c r="TVV23" s="3431"/>
      <c r="TVW23" s="3431"/>
      <c r="TVX23" s="3431"/>
      <c r="TVY23" s="3431"/>
      <c r="TVZ23" s="3431"/>
      <c r="TWA23" s="3431"/>
      <c r="TWB23" s="3431"/>
      <c r="TWC23" s="3431"/>
      <c r="TWD23" s="3431"/>
      <c r="TWE23" s="3431"/>
      <c r="TWF23" s="3431"/>
      <c r="TWG23" s="3431"/>
      <c r="TWH23" s="3431"/>
      <c r="TWI23" s="3431"/>
      <c r="TWJ23" s="3431"/>
      <c r="TWK23" s="3431"/>
      <c r="TWL23" s="3431"/>
      <c r="TWM23" s="3431"/>
      <c r="TWN23" s="3431"/>
      <c r="TWO23" s="3431"/>
      <c r="TWP23" s="3431"/>
      <c r="TWQ23" s="3431"/>
      <c r="TWR23" s="3431"/>
      <c r="TWS23" s="3431"/>
      <c r="TWT23" s="3431"/>
      <c r="TWU23" s="3431"/>
      <c r="TWV23" s="3431"/>
      <c r="TWW23" s="3431"/>
      <c r="TWX23" s="3431"/>
      <c r="TWY23" s="3431"/>
      <c r="TWZ23" s="3431"/>
      <c r="TXA23" s="3431"/>
      <c r="TXB23" s="3431"/>
      <c r="TXC23" s="3431"/>
      <c r="TXD23" s="3431"/>
      <c r="TXE23" s="3431"/>
      <c r="TXF23" s="3431"/>
      <c r="TXG23" s="3431"/>
      <c r="TXH23" s="3431"/>
      <c r="TXI23" s="3431"/>
      <c r="TXJ23" s="3431"/>
      <c r="TXK23" s="3431"/>
      <c r="TXL23" s="3431"/>
      <c r="TXM23" s="3431"/>
      <c r="TXN23" s="3431"/>
      <c r="TXO23" s="3431"/>
      <c r="TXP23" s="3431"/>
      <c r="TXQ23" s="3431"/>
      <c r="TXR23" s="3431"/>
      <c r="TXS23" s="3431"/>
      <c r="TXT23" s="3431"/>
      <c r="TXU23" s="3431"/>
      <c r="TXV23" s="3431"/>
      <c r="TXW23" s="3431"/>
      <c r="TXX23" s="3431"/>
      <c r="TXY23" s="3431"/>
      <c r="TXZ23" s="3431"/>
      <c r="TYA23" s="3431"/>
      <c r="TYB23" s="3431"/>
      <c r="TYC23" s="3431"/>
      <c r="TYD23" s="3431"/>
      <c r="TYE23" s="3431"/>
      <c r="TYF23" s="3431"/>
      <c r="TYG23" s="3431"/>
      <c r="TYH23" s="3431"/>
      <c r="TYI23" s="3431"/>
      <c r="TYJ23" s="3431"/>
      <c r="TYK23" s="3431"/>
      <c r="TYL23" s="3431"/>
      <c r="TYM23" s="3431"/>
      <c r="TYN23" s="3431"/>
      <c r="TYO23" s="3431"/>
      <c r="TYP23" s="3431"/>
      <c r="TYQ23" s="3431"/>
      <c r="TYR23" s="3431"/>
      <c r="TYS23" s="3431"/>
      <c r="TYT23" s="3431"/>
      <c r="TYU23" s="3431"/>
      <c r="TYV23" s="3431"/>
      <c r="TYW23" s="3431"/>
      <c r="TYX23" s="3431"/>
      <c r="TYY23" s="3431"/>
      <c r="TYZ23" s="3431"/>
      <c r="TZA23" s="3431"/>
      <c r="TZB23" s="3431"/>
      <c r="TZC23" s="3431"/>
      <c r="TZD23" s="3431"/>
      <c r="TZE23" s="3431"/>
      <c r="TZF23" s="3431"/>
      <c r="TZG23" s="3431"/>
      <c r="TZH23" s="3431"/>
      <c r="TZI23" s="3431"/>
      <c r="TZJ23" s="3431"/>
      <c r="TZK23" s="3431"/>
      <c r="TZL23" s="3431"/>
      <c r="TZM23" s="3431"/>
      <c r="TZN23" s="3431"/>
      <c r="TZO23" s="3431"/>
      <c r="TZP23" s="3431"/>
      <c r="TZQ23" s="3431"/>
      <c r="TZR23" s="3431"/>
      <c r="TZS23" s="3431"/>
      <c r="TZT23" s="3431"/>
      <c r="TZU23" s="3431"/>
      <c r="TZV23" s="3431"/>
      <c r="TZW23" s="3431"/>
      <c r="TZX23" s="3431"/>
      <c r="TZY23" s="3431"/>
      <c r="TZZ23" s="3431"/>
      <c r="UAA23" s="3431"/>
      <c r="UAB23" s="3431"/>
      <c r="UAC23" s="3431"/>
      <c r="UAD23" s="3431"/>
      <c r="UAE23" s="3431"/>
      <c r="UAF23" s="3431"/>
      <c r="UAG23" s="3431"/>
      <c r="UAH23" s="3431"/>
      <c r="UAI23" s="3431"/>
      <c r="UAJ23" s="3431"/>
      <c r="UAK23" s="3431"/>
      <c r="UAL23" s="3431"/>
      <c r="UAM23" s="3431"/>
      <c r="UAN23" s="3431"/>
      <c r="UAO23" s="3431"/>
      <c r="UAP23" s="3431"/>
      <c r="UAQ23" s="3431"/>
      <c r="UAR23" s="3431"/>
      <c r="UAS23" s="3431"/>
      <c r="UAT23" s="3431"/>
      <c r="UAU23" s="3431"/>
      <c r="UAV23" s="3431"/>
      <c r="UAW23" s="3431"/>
      <c r="UAX23" s="3431"/>
      <c r="UAY23" s="3431"/>
      <c r="UAZ23" s="3431"/>
      <c r="UBA23" s="3431"/>
      <c r="UBB23" s="3431"/>
      <c r="UBC23" s="3431"/>
      <c r="UBD23" s="3431"/>
      <c r="UBE23" s="3431"/>
      <c r="UBF23" s="3431"/>
      <c r="UBG23" s="3431"/>
      <c r="UBH23" s="3431"/>
      <c r="UBI23" s="3431"/>
      <c r="UBJ23" s="3431"/>
      <c r="UBK23" s="3431"/>
      <c r="UBL23" s="3431"/>
      <c r="UBM23" s="3431"/>
      <c r="UBN23" s="3431"/>
      <c r="UBO23" s="3431"/>
      <c r="UBP23" s="3431"/>
      <c r="UBQ23" s="3431"/>
      <c r="UBR23" s="3431"/>
      <c r="UBS23" s="3431"/>
      <c r="UBT23" s="3431"/>
      <c r="UBU23" s="3431"/>
      <c r="UBV23" s="3431"/>
      <c r="UBW23" s="3431"/>
      <c r="UBX23" s="3431"/>
      <c r="UBY23" s="3431"/>
      <c r="UBZ23" s="3431"/>
      <c r="UCA23" s="3431"/>
      <c r="UCB23" s="3431"/>
      <c r="UCC23" s="3431"/>
      <c r="UCD23" s="3431"/>
      <c r="UCE23" s="3431"/>
      <c r="UCF23" s="3431"/>
      <c r="UCG23" s="3431"/>
      <c r="UCH23" s="3431"/>
      <c r="UCI23" s="3431"/>
      <c r="UCJ23" s="3431"/>
      <c r="UCK23" s="3431"/>
      <c r="UCL23" s="3431"/>
      <c r="UCM23" s="3431"/>
      <c r="UCN23" s="3431"/>
      <c r="UCO23" s="3431"/>
      <c r="UCP23" s="3431"/>
      <c r="UCQ23" s="3431"/>
      <c r="UCR23" s="3431"/>
      <c r="UCS23" s="3431"/>
      <c r="UCT23" s="3431"/>
      <c r="UCU23" s="3431"/>
      <c r="UCV23" s="3431"/>
      <c r="UCW23" s="3431"/>
      <c r="UCX23" s="3431"/>
      <c r="UCY23" s="3431"/>
      <c r="UCZ23" s="3431"/>
      <c r="UDA23" s="3431"/>
      <c r="UDB23" s="3431"/>
      <c r="UDC23" s="3431"/>
      <c r="UDD23" s="3431"/>
      <c r="UDE23" s="3431"/>
      <c r="UDF23" s="3431"/>
      <c r="UDG23" s="3431"/>
      <c r="UDH23" s="3431"/>
      <c r="UDI23" s="3431"/>
      <c r="UDJ23" s="3431"/>
      <c r="UDK23" s="3431"/>
      <c r="UDL23" s="3431"/>
      <c r="UDM23" s="3431"/>
      <c r="UDN23" s="3431"/>
      <c r="UDO23" s="3431"/>
      <c r="UDP23" s="3431"/>
      <c r="UDQ23" s="3431"/>
      <c r="UDR23" s="3431"/>
      <c r="UDS23" s="3431"/>
      <c r="UDT23" s="3431"/>
      <c r="UDU23" s="3431"/>
      <c r="UDV23" s="3431"/>
      <c r="UDW23" s="3431"/>
      <c r="UDX23" s="3431"/>
      <c r="UDY23" s="3431"/>
      <c r="UDZ23" s="3431"/>
      <c r="UEA23" s="3431"/>
      <c r="UEB23" s="3431"/>
      <c r="UEC23" s="3431"/>
      <c r="UED23" s="3431"/>
      <c r="UEE23" s="3431"/>
      <c r="UEF23" s="3431"/>
      <c r="UEG23" s="3431"/>
      <c r="UEH23" s="3431"/>
      <c r="UEI23" s="3431"/>
      <c r="UEJ23" s="3431"/>
      <c r="UEK23" s="3431"/>
      <c r="UEL23" s="3431"/>
      <c r="UEM23" s="3431"/>
      <c r="UEN23" s="3431"/>
      <c r="UEO23" s="3431"/>
      <c r="UEP23" s="3431"/>
      <c r="UEQ23" s="3431"/>
      <c r="UER23" s="3431"/>
      <c r="UES23" s="3431"/>
      <c r="UET23" s="3431"/>
      <c r="UEU23" s="3431"/>
      <c r="UEV23" s="3431"/>
      <c r="UEW23" s="3431"/>
      <c r="UEX23" s="3431"/>
      <c r="UEY23" s="3431"/>
      <c r="UEZ23" s="3431"/>
      <c r="UFA23" s="3431"/>
      <c r="UFB23" s="3431"/>
      <c r="UFC23" s="3431"/>
      <c r="UFD23" s="3431"/>
      <c r="UFE23" s="3431"/>
      <c r="UFF23" s="3431"/>
      <c r="UFG23" s="3431"/>
      <c r="UFH23" s="3431"/>
      <c r="UFI23" s="3431"/>
      <c r="UFJ23" s="3431"/>
      <c r="UFK23" s="3431"/>
      <c r="UFL23" s="3431"/>
      <c r="UFM23" s="3431"/>
      <c r="UFN23" s="3431"/>
      <c r="UFO23" s="3431"/>
      <c r="UFP23" s="3431"/>
      <c r="UFQ23" s="3431"/>
      <c r="UFR23" s="3431"/>
      <c r="UFS23" s="3431"/>
      <c r="UFT23" s="3431"/>
      <c r="UFU23" s="3431"/>
      <c r="UFV23" s="3431"/>
      <c r="UFW23" s="3431"/>
      <c r="UFX23" s="3431"/>
      <c r="UFY23" s="3431"/>
      <c r="UFZ23" s="3431"/>
      <c r="UGA23" s="3431"/>
      <c r="UGB23" s="3431"/>
      <c r="UGC23" s="3431"/>
      <c r="UGD23" s="3431"/>
      <c r="UGE23" s="3431"/>
      <c r="UGF23" s="3431"/>
      <c r="UGG23" s="3431"/>
      <c r="UGH23" s="3431"/>
      <c r="UGI23" s="3431"/>
      <c r="UGJ23" s="3431"/>
      <c r="UGK23" s="3431"/>
      <c r="UGL23" s="3431"/>
      <c r="UGM23" s="3431"/>
      <c r="UGN23" s="3431"/>
      <c r="UGO23" s="3431"/>
      <c r="UGP23" s="3431"/>
      <c r="UGQ23" s="3431"/>
      <c r="UGR23" s="3431"/>
      <c r="UGS23" s="3431"/>
      <c r="UGT23" s="3431"/>
      <c r="UGU23" s="3431"/>
      <c r="UGV23" s="3431"/>
      <c r="UGW23" s="3431"/>
      <c r="UGX23" s="3431"/>
      <c r="UGY23" s="3431"/>
      <c r="UGZ23" s="3431"/>
      <c r="UHA23" s="3431"/>
      <c r="UHB23" s="3431"/>
      <c r="UHC23" s="3431"/>
      <c r="UHD23" s="3431"/>
      <c r="UHE23" s="3431"/>
      <c r="UHF23" s="3431"/>
      <c r="UHG23" s="3431"/>
      <c r="UHH23" s="3431"/>
      <c r="UHI23" s="3431"/>
      <c r="UHJ23" s="3431"/>
      <c r="UHK23" s="3431"/>
      <c r="UHL23" s="3431"/>
      <c r="UHM23" s="3431"/>
      <c r="UHN23" s="3431"/>
      <c r="UHO23" s="3431"/>
      <c r="UHP23" s="3431"/>
      <c r="UHQ23" s="3431"/>
      <c r="UHR23" s="3431"/>
      <c r="UHS23" s="3431"/>
      <c r="UHT23" s="3431"/>
      <c r="UHU23" s="3431"/>
      <c r="UHV23" s="3431"/>
      <c r="UHW23" s="3431"/>
      <c r="UHX23" s="3431"/>
      <c r="UHY23" s="3431"/>
      <c r="UHZ23" s="3431"/>
      <c r="UIA23" s="3431"/>
      <c r="UIB23" s="3431"/>
      <c r="UIC23" s="3431"/>
      <c r="UID23" s="3431"/>
      <c r="UIE23" s="3431"/>
      <c r="UIF23" s="3431"/>
      <c r="UIG23" s="3431"/>
      <c r="UIH23" s="3431"/>
      <c r="UII23" s="3431"/>
      <c r="UIJ23" s="3431"/>
      <c r="UIK23" s="3431"/>
      <c r="UIL23" s="3431"/>
      <c r="UIM23" s="3431"/>
      <c r="UIN23" s="3431"/>
      <c r="UIO23" s="3431"/>
      <c r="UIP23" s="3431"/>
      <c r="UIQ23" s="3431"/>
      <c r="UIR23" s="3431"/>
      <c r="UIS23" s="3431"/>
      <c r="UIT23" s="3431"/>
      <c r="UIU23" s="3431"/>
      <c r="UIV23" s="3431"/>
      <c r="UIW23" s="3431"/>
      <c r="UIX23" s="3431"/>
      <c r="UIY23" s="3431"/>
      <c r="UIZ23" s="3431"/>
      <c r="UJA23" s="3431"/>
      <c r="UJB23" s="3431"/>
      <c r="UJC23" s="3431"/>
      <c r="UJD23" s="3431"/>
      <c r="UJE23" s="3431"/>
      <c r="UJF23" s="3431"/>
      <c r="UJG23" s="3431"/>
      <c r="UJH23" s="3431"/>
      <c r="UJI23" s="3431"/>
      <c r="UJJ23" s="3431"/>
      <c r="UJK23" s="3431"/>
      <c r="UJL23" s="3431"/>
      <c r="UJM23" s="3431"/>
      <c r="UJN23" s="3431"/>
      <c r="UJO23" s="3431"/>
      <c r="UJP23" s="3431"/>
      <c r="UJQ23" s="3431"/>
      <c r="UJR23" s="3431"/>
      <c r="UJS23" s="3431"/>
      <c r="UJT23" s="3431"/>
      <c r="UJU23" s="3431"/>
      <c r="UJV23" s="3431"/>
      <c r="UJW23" s="3431"/>
      <c r="UJX23" s="3431"/>
      <c r="UJY23" s="3431"/>
      <c r="UJZ23" s="3431"/>
      <c r="UKA23" s="3431"/>
      <c r="UKB23" s="3431"/>
      <c r="UKC23" s="3431"/>
      <c r="UKD23" s="3431"/>
      <c r="UKE23" s="3431"/>
      <c r="UKF23" s="3431"/>
      <c r="UKG23" s="3431"/>
      <c r="UKH23" s="3431"/>
      <c r="UKI23" s="3431"/>
      <c r="UKJ23" s="3431"/>
      <c r="UKK23" s="3431"/>
      <c r="UKL23" s="3431"/>
      <c r="UKM23" s="3431"/>
      <c r="UKN23" s="3431"/>
      <c r="UKO23" s="3431"/>
      <c r="UKP23" s="3431"/>
      <c r="UKQ23" s="3431"/>
      <c r="UKR23" s="3431"/>
      <c r="UKS23" s="3431"/>
      <c r="UKT23" s="3431"/>
      <c r="UKU23" s="3431"/>
      <c r="UKV23" s="3431"/>
      <c r="UKW23" s="3431"/>
      <c r="UKX23" s="3431"/>
      <c r="UKY23" s="3431"/>
      <c r="UKZ23" s="3431"/>
      <c r="ULA23" s="3431"/>
      <c r="ULB23" s="3431"/>
      <c r="ULC23" s="3431"/>
      <c r="ULD23" s="3431"/>
      <c r="ULE23" s="3431"/>
      <c r="ULF23" s="3431"/>
      <c r="ULG23" s="3431"/>
      <c r="ULH23" s="3431"/>
      <c r="ULI23" s="3431"/>
      <c r="ULJ23" s="3431"/>
      <c r="ULK23" s="3431"/>
      <c r="ULL23" s="3431"/>
      <c r="ULM23" s="3431"/>
      <c r="ULN23" s="3431"/>
      <c r="ULO23" s="3431"/>
      <c r="ULP23" s="3431"/>
      <c r="ULQ23" s="3431"/>
      <c r="ULR23" s="3431"/>
      <c r="ULS23" s="3431"/>
      <c r="ULT23" s="3431"/>
      <c r="ULU23" s="3431"/>
      <c r="ULV23" s="3431"/>
      <c r="ULW23" s="3431"/>
      <c r="ULX23" s="3431"/>
      <c r="ULY23" s="3431"/>
      <c r="ULZ23" s="3431"/>
      <c r="UMA23" s="3431"/>
      <c r="UMB23" s="3431"/>
      <c r="UMC23" s="3431"/>
      <c r="UMD23" s="3431"/>
      <c r="UME23" s="3431"/>
      <c r="UMF23" s="3431"/>
      <c r="UMG23" s="3431"/>
      <c r="UMH23" s="3431"/>
      <c r="UMI23" s="3431"/>
      <c r="UMJ23" s="3431"/>
      <c r="UMK23" s="3431"/>
      <c r="UML23" s="3431"/>
      <c r="UMM23" s="3431"/>
      <c r="UMN23" s="3431"/>
      <c r="UMO23" s="3431"/>
      <c r="UMP23" s="3431"/>
      <c r="UMQ23" s="3431"/>
      <c r="UMR23" s="3431"/>
      <c r="UMS23" s="3431"/>
      <c r="UMT23" s="3431"/>
      <c r="UMU23" s="3431"/>
      <c r="UMV23" s="3431"/>
      <c r="UMW23" s="3431"/>
      <c r="UMX23" s="3431"/>
      <c r="UMY23" s="3431"/>
      <c r="UMZ23" s="3431"/>
      <c r="UNA23" s="3431"/>
      <c r="UNB23" s="3431"/>
      <c r="UNC23" s="3431"/>
      <c r="UND23" s="3431"/>
      <c r="UNE23" s="3431"/>
      <c r="UNF23" s="3431"/>
      <c r="UNG23" s="3431"/>
      <c r="UNH23" s="3431"/>
      <c r="UNI23" s="3431"/>
      <c r="UNJ23" s="3431"/>
      <c r="UNK23" s="3431"/>
      <c r="UNL23" s="3431"/>
      <c r="UNM23" s="3431"/>
      <c r="UNN23" s="3431"/>
      <c r="UNO23" s="3431"/>
      <c r="UNP23" s="3431"/>
      <c r="UNQ23" s="3431"/>
      <c r="UNR23" s="3431"/>
      <c r="UNS23" s="3431"/>
      <c r="UNT23" s="3431"/>
      <c r="UNU23" s="3431"/>
      <c r="UNV23" s="3431"/>
      <c r="UNW23" s="3431"/>
      <c r="UNX23" s="3431"/>
      <c r="UNY23" s="3431"/>
      <c r="UNZ23" s="3431"/>
      <c r="UOA23" s="3431"/>
      <c r="UOB23" s="3431"/>
      <c r="UOC23" s="3431"/>
      <c r="UOD23" s="3431"/>
      <c r="UOE23" s="3431"/>
      <c r="UOF23" s="3431"/>
      <c r="UOG23" s="3431"/>
      <c r="UOH23" s="3431"/>
      <c r="UOI23" s="3431"/>
      <c r="UOJ23" s="3431"/>
      <c r="UOK23" s="3431"/>
      <c r="UOL23" s="3431"/>
      <c r="UOM23" s="3431"/>
      <c r="UON23" s="3431"/>
      <c r="UOO23" s="3431"/>
      <c r="UOP23" s="3431"/>
      <c r="UOQ23" s="3431"/>
      <c r="UOR23" s="3431"/>
      <c r="UOS23" s="3431"/>
      <c r="UOT23" s="3431"/>
      <c r="UOU23" s="3431"/>
      <c r="UOV23" s="3431"/>
      <c r="UOW23" s="3431"/>
      <c r="UOX23" s="3431"/>
      <c r="UOY23" s="3431"/>
      <c r="UOZ23" s="3431"/>
      <c r="UPA23" s="3431"/>
      <c r="UPB23" s="3431"/>
      <c r="UPC23" s="3431"/>
      <c r="UPD23" s="3431"/>
      <c r="UPE23" s="3431"/>
      <c r="UPF23" s="3431"/>
      <c r="UPG23" s="3431"/>
      <c r="UPH23" s="3431"/>
      <c r="UPI23" s="3431"/>
      <c r="UPJ23" s="3431"/>
      <c r="UPK23" s="3431"/>
      <c r="UPL23" s="3431"/>
      <c r="UPM23" s="3431"/>
      <c r="UPN23" s="3431"/>
      <c r="UPO23" s="3431"/>
      <c r="UPP23" s="3431"/>
      <c r="UPQ23" s="3431"/>
      <c r="UPR23" s="3431"/>
      <c r="UPS23" s="3431"/>
      <c r="UPT23" s="3431"/>
      <c r="UPU23" s="3431"/>
      <c r="UPV23" s="3431"/>
      <c r="UPW23" s="3431"/>
      <c r="UPX23" s="3431"/>
      <c r="UPY23" s="3431"/>
      <c r="UPZ23" s="3431"/>
      <c r="UQA23" s="3431"/>
      <c r="UQB23" s="3431"/>
      <c r="UQC23" s="3431"/>
      <c r="UQD23" s="3431"/>
      <c r="UQE23" s="3431"/>
      <c r="UQF23" s="3431"/>
      <c r="UQG23" s="3431"/>
      <c r="UQH23" s="3431"/>
      <c r="UQI23" s="3431"/>
      <c r="UQJ23" s="3431"/>
      <c r="UQK23" s="3431"/>
      <c r="UQL23" s="3431"/>
      <c r="UQM23" s="3431"/>
      <c r="UQN23" s="3431"/>
      <c r="UQO23" s="3431"/>
      <c r="UQP23" s="3431"/>
      <c r="UQQ23" s="3431"/>
      <c r="UQR23" s="3431"/>
      <c r="UQS23" s="3431"/>
      <c r="UQT23" s="3431"/>
      <c r="UQU23" s="3431"/>
      <c r="UQV23" s="3431"/>
      <c r="UQW23" s="3431"/>
      <c r="UQX23" s="3431"/>
      <c r="UQY23" s="3431"/>
      <c r="UQZ23" s="3431"/>
      <c r="URA23" s="3431"/>
      <c r="URB23" s="3431"/>
      <c r="URC23" s="3431"/>
      <c r="URD23" s="3431"/>
      <c r="URE23" s="3431"/>
      <c r="URF23" s="3431"/>
      <c r="URG23" s="3431"/>
      <c r="URH23" s="3431"/>
      <c r="URI23" s="3431"/>
      <c r="URJ23" s="3431"/>
      <c r="URK23" s="3431"/>
      <c r="URL23" s="3431"/>
      <c r="URM23" s="3431"/>
      <c r="URN23" s="3431"/>
      <c r="URO23" s="3431"/>
      <c r="URP23" s="3431"/>
      <c r="URQ23" s="3431"/>
      <c r="URR23" s="3431"/>
      <c r="URS23" s="3431"/>
      <c r="URT23" s="3431"/>
      <c r="URU23" s="3431"/>
      <c r="URV23" s="3431"/>
      <c r="URW23" s="3431"/>
      <c r="URX23" s="3431"/>
      <c r="URY23" s="3431"/>
      <c r="URZ23" s="3431"/>
      <c r="USA23" s="3431"/>
      <c r="USB23" s="3431"/>
      <c r="USC23" s="3431"/>
      <c r="USD23" s="3431"/>
      <c r="USE23" s="3431"/>
      <c r="USF23" s="3431"/>
      <c r="USG23" s="3431"/>
      <c r="USH23" s="3431"/>
      <c r="USI23" s="3431"/>
      <c r="USJ23" s="3431"/>
      <c r="USK23" s="3431"/>
      <c r="USL23" s="3431"/>
      <c r="USM23" s="3431"/>
      <c r="USN23" s="3431"/>
      <c r="USO23" s="3431"/>
      <c r="USP23" s="3431"/>
      <c r="USQ23" s="3431"/>
      <c r="USR23" s="3431"/>
      <c r="USS23" s="3431"/>
      <c r="UST23" s="3431"/>
      <c r="USU23" s="3431"/>
      <c r="USV23" s="3431"/>
      <c r="USW23" s="3431"/>
      <c r="USX23" s="3431"/>
      <c r="USY23" s="3431"/>
      <c r="USZ23" s="3431"/>
      <c r="UTA23" s="3431"/>
      <c r="UTB23" s="3431"/>
      <c r="UTC23" s="3431"/>
      <c r="UTD23" s="3431"/>
      <c r="UTE23" s="3431"/>
      <c r="UTF23" s="3431"/>
      <c r="UTG23" s="3431"/>
      <c r="UTH23" s="3431"/>
      <c r="UTI23" s="3431"/>
      <c r="UTJ23" s="3431"/>
      <c r="UTK23" s="3431"/>
      <c r="UTL23" s="3431"/>
      <c r="UTM23" s="3431"/>
      <c r="UTN23" s="3431"/>
      <c r="UTO23" s="3431"/>
      <c r="UTP23" s="3431"/>
      <c r="UTQ23" s="3431"/>
      <c r="UTR23" s="3431"/>
      <c r="UTS23" s="3431"/>
      <c r="UTT23" s="3431"/>
      <c r="UTU23" s="3431"/>
      <c r="UTV23" s="3431"/>
      <c r="UTW23" s="3431"/>
      <c r="UTX23" s="3431"/>
      <c r="UTY23" s="3431"/>
      <c r="UTZ23" s="3431"/>
      <c r="UUA23" s="3431"/>
      <c r="UUB23" s="3431"/>
      <c r="UUC23" s="3431"/>
      <c r="UUD23" s="3431"/>
      <c r="UUE23" s="3431"/>
      <c r="UUF23" s="3431"/>
      <c r="UUG23" s="3431"/>
      <c r="UUH23" s="3431"/>
      <c r="UUI23" s="3431"/>
      <c r="UUJ23" s="3431"/>
      <c r="UUK23" s="3431"/>
      <c r="UUL23" s="3431"/>
      <c r="UUM23" s="3431"/>
      <c r="UUN23" s="3431"/>
      <c r="UUO23" s="3431"/>
      <c r="UUP23" s="3431"/>
      <c r="UUQ23" s="3431"/>
      <c r="UUR23" s="3431"/>
      <c r="UUS23" s="3431"/>
      <c r="UUT23" s="3431"/>
      <c r="UUU23" s="3431"/>
      <c r="UUV23" s="3431"/>
      <c r="UUW23" s="3431"/>
      <c r="UUX23" s="3431"/>
      <c r="UUY23" s="3431"/>
      <c r="UUZ23" s="3431"/>
      <c r="UVA23" s="3431"/>
      <c r="UVB23" s="3431"/>
      <c r="UVC23" s="3431"/>
      <c r="UVD23" s="3431"/>
      <c r="UVE23" s="3431"/>
      <c r="UVF23" s="3431"/>
      <c r="UVG23" s="3431"/>
      <c r="UVH23" s="3431"/>
      <c r="UVI23" s="3431"/>
      <c r="UVJ23" s="3431"/>
      <c r="UVK23" s="3431"/>
      <c r="UVL23" s="3431"/>
      <c r="UVM23" s="3431"/>
      <c r="UVN23" s="3431"/>
      <c r="UVO23" s="3431"/>
      <c r="UVP23" s="3431"/>
      <c r="UVQ23" s="3431"/>
      <c r="UVR23" s="3431"/>
      <c r="UVS23" s="3431"/>
      <c r="UVT23" s="3431"/>
      <c r="UVU23" s="3431"/>
      <c r="UVV23" s="3431"/>
      <c r="UVW23" s="3431"/>
      <c r="UVX23" s="3431"/>
      <c r="UVY23" s="3431"/>
      <c r="UVZ23" s="3431"/>
      <c r="UWA23" s="3431"/>
      <c r="UWB23" s="3431"/>
      <c r="UWC23" s="3431"/>
      <c r="UWD23" s="3431"/>
      <c r="UWE23" s="3431"/>
      <c r="UWF23" s="3431"/>
      <c r="UWG23" s="3431"/>
      <c r="UWH23" s="3431"/>
      <c r="UWI23" s="3431"/>
      <c r="UWJ23" s="3431"/>
      <c r="UWK23" s="3431"/>
      <c r="UWL23" s="3431"/>
      <c r="UWM23" s="3431"/>
      <c r="UWN23" s="3431"/>
      <c r="UWO23" s="3431"/>
      <c r="UWP23" s="3431"/>
      <c r="UWQ23" s="3431"/>
      <c r="UWR23" s="3431"/>
      <c r="UWS23" s="3431"/>
      <c r="UWT23" s="3431"/>
      <c r="UWU23" s="3431"/>
      <c r="UWV23" s="3431"/>
      <c r="UWW23" s="3431"/>
      <c r="UWX23" s="3431"/>
      <c r="UWY23" s="3431"/>
      <c r="UWZ23" s="3431"/>
      <c r="UXA23" s="3431"/>
      <c r="UXB23" s="3431"/>
      <c r="UXC23" s="3431"/>
      <c r="UXD23" s="3431"/>
      <c r="UXE23" s="3431"/>
      <c r="UXF23" s="3431"/>
      <c r="UXG23" s="3431"/>
      <c r="UXH23" s="3431"/>
      <c r="UXI23" s="3431"/>
      <c r="UXJ23" s="3431"/>
      <c r="UXK23" s="3431"/>
      <c r="UXL23" s="3431"/>
      <c r="UXM23" s="3431"/>
      <c r="UXN23" s="3431"/>
      <c r="UXO23" s="3431"/>
      <c r="UXP23" s="3431"/>
      <c r="UXQ23" s="3431"/>
      <c r="UXR23" s="3431"/>
      <c r="UXS23" s="3431"/>
      <c r="UXT23" s="3431"/>
      <c r="UXU23" s="3431"/>
      <c r="UXV23" s="3431"/>
      <c r="UXW23" s="3431"/>
      <c r="UXX23" s="3431"/>
      <c r="UXY23" s="3431"/>
      <c r="UXZ23" s="3431"/>
      <c r="UYA23" s="3431"/>
      <c r="UYB23" s="3431"/>
      <c r="UYC23" s="3431"/>
      <c r="UYD23" s="3431"/>
      <c r="UYE23" s="3431"/>
      <c r="UYF23" s="3431"/>
      <c r="UYG23" s="3431"/>
      <c r="UYH23" s="3431"/>
      <c r="UYI23" s="3431"/>
      <c r="UYJ23" s="3431"/>
      <c r="UYK23" s="3431"/>
      <c r="UYL23" s="3431"/>
      <c r="UYM23" s="3431"/>
      <c r="UYN23" s="3431"/>
      <c r="UYO23" s="3431"/>
      <c r="UYP23" s="3431"/>
      <c r="UYQ23" s="3431"/>
      <c r="UYR23" s="3431"/>
      <c r="UYS23" s="3431"/>
      <c r="UYT23" s="3431"/>
      <c r="UYU23" s="3431"/>
      <c r="UYV23" s="3431"/>
      <c r="UYW23" s="3431"/>
      <c r="UYX23" s="3431"/>
      <c r="UYY23" s="3431"/>
      <c r="UYZ23" s="3431"/>
      <c r="UZA23" s="3431"/>
      <c r="UZB23" s="3431"/>
      <c r="UZC23" s="3431"/>
      <c r="UZD23" s="3431"/>
      <c r="UZE23" s="3431"/>
      <c r="UZF23" s="3431"/>
      <c r="UZG23" s="3431"/>
      <c r="UZH23" s="3431"/>
      <c r="UZI23" s="3431"/>
      <c r="UZJ23" s="3431"/>
      <c r="UZK23" s="3431"/>
      <c r="UZL23" s="3431"/>
      <c r="UZM23" s="3431"/>
      <c r="UZN23" s="3431"/>
      <c r="UZO23" s="3431"/>
      <c r="UZP23" s="3431"/>
      <c r="UZQ23" s="3431"/>
      <c r="UZR23" s="3431"/>
      <c r="UZS23" s="3431"/>
      <c r="UZT23" s="3431"/>
      <c r="UZU23" s="3431"/>
      <c r="UZV23" s="3431"/>
      <c r="UZW23" s="3431"/>
      <c r="UZX23" s="3431"/>
      <c r="UZY23" s="3431"/>
      <c r="UZZ23" s="3431"/>
      <c r="VAA23" s="3431"/>
      <c r="VAB23" s="3431"/>
      <c r="VAC23" s="3431"/>
      <c r="VAD23" s="3431"/>
      <c r="VAE23" s="3431"/>
      <c r="VAF23" s="3431"/>
      <c r="VAG23" s="3431"/>
      <c r="VAH23" s="3431"/>
      <c r="VAI23" s="3431"/>
      <c r="VAJ23" s="3431"/>
      <c r="VAK23" s="3431"/>
      <c r="VAL23" s="3431"/>
      <c r="VAM23" s="3431"/>
      <c r="VAN23" s="3431"/>
      <c r="VAO23" s="3431"/>
      <c r="VAP23" s="3431"/>
      <c r="VAQ23" s="3431"/>
      <c r="VAR23" s="3431"/>
      <c r="VAS23" s="3431"/>
      <c r="VAT23" s="3431"/>
      <c r="VAU23" s="3431"/>
      <c r="VAV23" s="3431"/>
      <c r="VAW23" s="3431"/>
      <c r="VAX23" s="3431"/>
      <c r="VAY23" s="3431"/>
      <c r="VAZ23" s="3431"/>
      <c r="VBA23" s="3431"/>
      <c r="VBB23" s="3431"/>
      <c r="VBC23" s="3431"/>
      <c r="VBD23" s="3431"/>
      <c r="VBE23" s="3431"/>
      <c r="VBF23" s="3431"/>
      <c r="VBG23" s="3431"/>
      <c r="VBH23" s="3431"/>
      <c r="VBI23" s="3431"/>
      <c r="VBJ23" s="3431"/>
      <c r="VBK23" s="3431"/>
      <c r="VBL23" s="3431"/>
      <c r="VBM23" s="3431"/>
      <c r="VBN23" s="3431"/>
      <c r="VBO23" s="3431"/>
      <c r="VBP23" s="3431"/>
      <c r="VBQ23" s="3431"/>
      <c r="VBR23" s="3431"/>
      <c r="VBS23" s="3431"/>
      <c r="VBT23" s="3431"/>
      <c r="VBU23" s="3431"/>
      <c r="VBV23" s="3431"/>
      <c r="VBW23" s="3431"/>
      <c r="VBX23" s="3431"/>
      <c r="VBY23" s="3431"/>
      <c r="VBZ23" s="3431"/>
      <c r="VCA23" s="3431"/>
      <c r="VCB23" s="3431"/>
      <c r="VCC23" s="3431"/>
      <c r="VCD23" s="3431"/>
      <c r="VCE23" s="3431"/>
      <c r="VCF23" s="3431"/>
      <c r="VCG23" s="3431"/>
      <c r="VCH23" s="3431"/>
      <c r="VCI23" s="3431"/>
      <c r="VCJ23" s="3431"/>
      <c r="VCK23" s="3431"/>
      <c r="VCL23" s="3431"/>
      <c r="VCM23" s="3431"/>
      <c r="VCN23" s="3431"/>
      <c r="VCO23" s="3431"/>
      <c r="VCP23" s="3431"/>
      <c r="VCQ23" s="3431"/>
      <c r="VCR23" s="3431"/>
      <c r="VCS23" s="3431"/>
      <c r="VCT23" s="3431"/>
      <c r="VCU23" s="3431"/>
      <c r="VCV23" s="3431"/>
      <c r="VCW23" s="3431"/>
      <c r="VCX23" s="3431"/>
      <c r="VCY23" s="3431"/>
      <c r="VCZ23" s="3431"/>
      <c r="VDA23" s="3431"/>
      <c r="VDB23" s="3431"/>
      <c r="VDC23" s="3431"/>
      <c r="VDD23" s="3431"/>
      <c r="VDE23" s="3431"/>
      <c r="VDF23" s="3431"/>
      <c r="VDG23" s="3431"/>
      <c r="VDH23" s="3431"/>
      <c r="VDI23" s="3431"/>
      <c r="VDJ23" s="3431"/>
      <c r="VDK23" s="3431"/>
      <c r="VDL23" s="3431"/>
      <c r="VDM23" s="3431"/>
      <c r="VDN23" s="3431"/>
      <c r="VDO23" s="3431"/>
      <c r="VDP23" s="3431"/>
      <c r="VDQ23" s="3431"/>
      <c r="VDR23" s="3431"/>
      <c r="VDS23" s="3431"/>
      <c r="VDT23" s="3431"/>
      <c r="VDU23" s="3431"/>
      <c r="VDV23" s="3431"/>
      <c r="VDW23" s="3431"/>
      <c r="VDX23" s="3431"/>
      <c r="VDY23" s="3431"/>
      <c r="VDZ23" s="3431"/>
      <c r="VEA23" s="3431"/>
      <c r="VEB23" s="3431"/>
      <c r="VEC23" s="3431"/>
      <c r="VED23" s="3431"/>
      <c r="VEE23" s="3431"/>
      <c r="VEF23" s="3431"/>
      <c r="VEG23" s="3431"/>
      <c r="VEH23" s="3431"/>
      <c r="VEI23" s="3431"/>
      <c r="VEJ23" s="3431"/>
      <c r="VEK23" s="3431"/>
      <c r="VEL23" s="3431"/>
      <c r="VEM23" s="3431"/>
      <c r="VEN23" s="3431"/>
      <c r="VEO23" s="3431"/>
      <c r="VEP23" s="3431"/>
      <c r="VEQ23" s="3431"/>
      <c r="VER23" s="3431"/>
      <c r="VES23" s="3431"/>
      <c r="VET23" s="3431"/>
      <c r="VEU23" s="3431"/>
      <c r="VEV23" s="3431"/>
      <c r="VEW23" s="3431"/>
      <c r="VEX23" s="3431"/>
      <c r="VEY23" s="3431"/>
      <c r="VEZ23" s="3431"/>
      <c r="VFA23" s="3431"/>
      <c r="VFB23" s="3431"/>
      <c r="VFC23" s="3431"/>
      <c r="VFD23" s="3431"/>
      <c r="VFE23" s="3431"/>
      <c r="VFF23" s="3431"/>
      <c r="VFG23" s="3431"/>
      <c r="VFH23" s="3431"/>
      <c r="VFI23" s="3431"/>
      <c r="VFJ23" s="3431"/>
      <c r="VFK23" s="3431"/>
      <c r="VFL23" s="3431"/>
      <c r="VFM23" s="3431"/>
      <c r="VFN23" s="3431"/>
      <c r="VFO23" s="3431"/>
      <c r="VFP23" s="3431"/>
      <c r="VFQ23" s="3431"/>
      <c r="VFR23" s="3431"/>
      <c r="VFS23" s="3431"/>
      <c r="VFT23" s="3431"/>
      <c r="VFU23" s="3431"/>
      <c r="VFV23" s="3431"/>
      <c r="VFW23" s="3431"/>
      <c r="VFX23" s="3431"/>
      <c r="VFY23" s="3431"/>
      <c r="VFZ23" s="3431"/>
      <c r="VGA23" s="3431"/>
      <c r="VGB23" s="3431"/>
      <c r="VGC23" s="3431"/>
      <c r="VGD23" s="3431"/>
      <c r="VGE23" s="3431"/>
      <c r="VGF23" s="3431"/>
      <c r="VGG23" s="3431"/>
      <c r="VGH23" s="3431"/>
      <c r="VGI23" s="3431"/>
      <c r="VGJ23" s="3431"/>
      <c r="VGK23" s="3431"/>
      <c r="VGL23" s="3431"/>
      <c r="VGM23" s="3431"/>
      <c r="VGN23" s="3431"/>
      <c r="VGO23" s="3431"/>
      <c r="VGP23" s="3431"/>
      <c r="VGQ23" s="3431"/>
      <c r="VGR23" s="3431"/>
      <c r="VGS23" s="3431"/>
      <c r="VGT23" s="3431"/>
      <c r="VGU23" s="3431"/>
      <c r="VGV23" s="3431"/>
      <c r="VGW23" s="3431"/>
      <c r="VGX23" s="3431"/>
      <c r="VGY23" s="3431"/>
      <c r="VGZ23" s="3431"/>
      <c r="VHA23" s="3431"/>
      <c r="VHB23" s="3431"/>
      <c r="VHC23" s="3431"/>
      <c r="VHD23" s="3431"/>
      <c r="VHE23" s="3431"/>
      <c r="VHF23" s="3431"/>
      <c r="VHG23" s="3431"/>
      <c r="VHH23" s="3431"/>
      <c r="VHI23" s="3431"/>
      <c r="VHJ23" s="3431"/>
      <c r="VHK23" s="3431"/>
      <c r="VHL23" s="3431"/>
      <c r="VHM23" s="3431"/>
      <c r="VHN23" s="3431"/>
      <c r="VHO23" s="3431"/>
      <c r="VHP23" s="3431"/>
      <c r="VHQ23" s="3431"/>
      <c r="VHR23" s="3431"/>
      <c r="VHS23" s="3431"/>
      <c r="VHT23" s="3431"/>
      <c r="VHU23" s="3431"/>
      <c r="VHV23" s="3431"/>
      <c r="VHW23" s="3431"/>
      <c r="VHX23" s="3431"/>
      <c r="VHY23" s="3431"/>
      <c r="VHZ23" s="3431"/>
      <c r="VIA23" s="3431"/>
      <c r="VIB23" s="3431"/>
      <c r="VIC23" s="3431"/>
      <c r="VID23" s="3431"/>
      <c r="VIE23" s="3431"/>
      <c r="VIF23" s="3431"/>
      <c r="VIG23" s="3431"/>
      <c r="VIH23" s="3431"/>
      <c r="VII23" s="3431"/>
      <c r="VIJ23" s="3431"/>
      <c r="VIK23" s="3431"/>
      <c r="VIL23" s="3431"/>
      <c r="VIM23" s="3431"/>
      <c r="VIN23" s="3431"/>
      <c r="VIO23" s="3431"/>
      <c r="VIP23" s="3431"/>
      <c r="VIQ23" s="3431"/>
      <c r="VIR23" s="3431"/>
      <c r="VIS23" s="3431"/>
      <c r="VIT23" s="3431"/>
      <c r="VIU23" s="3431"/>
      <c r="VIV23" s="3431"/>
      <c r="VIW23" s="3431"/>
      <c r="VIX23" s="3431"/>
      <c r="VIY23" s="3431"/>
      <c r="VIZ23" s="3431"/>
      <c r="VJA23" s="3431"/>
      <c r="VJB23" s="3431"/>
      <c r="VJC23" s="3431"/>
      <c r="VJD23" s="3431"/>
      <c r="VJE23" s="3431"/>
      <c r="VJF23" s="3431"/>
      <c r="VJG23" s="3431"/>
      <c r="VJH23" s="3431"/>
      <c r="VJI23" s="3431"/>
      <c r="VJJ23" s="3431"/>
      <c r="VJK23" s="3431"/>
      <c r="VJL23" s="3431"/>
      <c r="VJM23" s="3431"/>
      <c r="VJN23" s="3431"/>
      <c r="VJO23" s="3431"/>
      <c r="VJP23" s="3431"/>
      <c r="VJQ23" s="3431"/>
      <c r="VJR23" s="3431"/>
      <c r="VJS23" s="3431"/>
      <c r="VJT23" s="3431"/>
      <c r="VJU23" s="3431"/>
      <c r="VJV23" s="3431"/>
      <c r="VJW23" s="3431"/>
      <c r="VJX23" s="3431"/>
      <c r="VJY23" s="3431"/>
      <c r="VJZ23" s="3431"/>
      <c r="VKA23" s="3431"/>
      <c r="VKB23" s="3431"/>
      <c r="VKC23" s="3431"/>
      <c r="VKD23" s="3431"/>
      <c r="VKE23" s="3431"/>
      <c r="VKF23" s="3431"/>
      <c r="VKG23" s="3431"/>
      <c r="VKH23" s="3431"/>
      <c r="VKI23" s="3431"/>
      <c r="VKJ23" s="3431"/>
      <c r="VKK23" s="3431"/>
      <c r="VKL23" s="3431"/>
      <c r="VKM23" s="3431"/>
      <c r="VKN23" s="3431"/>
      <c r="VKO23" s="3431"/>
      <c r="VKP23" s="3431"/>
      <c r="VKQ23" s="3431"/>
      <c r="VKR23" s="3431"/>
      <c r="VKS23" s="3431"/>
      <c r="VKT23" s="3431"/>
      <c r="VKU23" s="3431"/>
      <c r="VKV23" s="3431"/>
      <c r="VKW23" s="3431"/>
      <c r="VKX23" s="3431"/>
      <c r="VKY23" s="3431"/>
      <c r="VKZ23" s="3431"/>
      <c r="VLA23" s="3431"/>
      <c r="VLB23" s="3431"/>
      <c r="VLC23" s="3431"/>
      <c r="VLD23" s="3431"/>
      <c r="VLE23" s="3431"/>
      <c r="VLF23" s="3431"/>
      <c r="VLG23" s="3431"/>
      <c r="VLH23" s="3431"/>
      <c r="VLI23" s="3431"/>
      <c r="VLJ23" s="3431"/>
      <c r="VLK23" s="3431"/>
      <c r="VLL23" s="3431"/>
      <c r="VLM23" s="3431"/>
      <c r="VLN23" s="3431"/>
      <c r="VLO23" s="3431"/>
      <c r="VLP23" s="3431"/>
      <c r="VLQ23" s="3431"/>
      <c r="VLR23" s="3431"/>
      <c r="VLS23" s="3431"/>
      <c r="VLT23" s="3431"/>
      <c r="VLU23" s="3431"/>
      <c r="VLV23" s="3431"/>
      <c r="VLW23" s="3431"/>
      <c r="VLX23" s="3431"/>
      <c r="VLY23" s="3431"/>
      <c r="VLZ23" s="3431"/>
      <c r="VMA23" s="3431"/>
      <c r="VMB23" s="3431"/>
      <c r="VMC23" s="3431"/>
      <c r="VMD23" s="3431"/>
      <c r="VME23" s="3431"/>
      <c r="VMF23" s="3431"/>
      <c r="VMG23" s="3431"/>
      <c r="VMH23" s="3431"/>
      <c r="VMI23" s="3431"/>
      <c r="VMJ23" s="3431"/>
      <c r="VMK23" s="3431"/>
      <c r="VML23" s="3431"/>
      <c r="VMM23" s="3431"/>
      <c r="VMN23" s="3431"/>
      <c r="VMO23" s="3431"/>
      <c r="VMP23" s="3431"/>
      <c r="VMQ23" s="3431"/>
      <c r="VMR23" s="3431"/>
      <c r="VMS23" s="3431"/>
      <c r="VMT23" s="3431"/>
      <c r="VMU23" s="3431"/>
      <c r="VMV23" s="3431"/>
      <c r="VMW23" s="3431"/>
      <c r="VMX23" s="3431"/>
      <c r="VMY23" s="3431"/>
      <c r="VMZ23" s="3431"/>
      <c r="VNA23" s="3431"/>
      <c r="VNB23" s="3431"/>
      <c r="VNC23" s="3431"/>
      <c r="VND23" s="3431"/>
      <c r="VNE23" s="3431"/>
      <c r="VNF23" s="3431"/>
      <c r="VNG23" s="3431"/>
      <c r="VNH23" s="3431"/>
      <c r="VNI23" s="3431"/>
      <c r="VNJ23" s="3431"/>
      <c r="VNK23" s="3431"/>
      <c r="VNL23" s="3431"/>
      <c r="VNM23" s="3431"/>
      <c r="VNN23" s="3431"/>
      <c r="VNO23" s="3431"/>
      <c r="VNP23" s="3431"/>
      <c r="VNQ23" s="3431"/>
      <c r="VNR23" s="3431"/>
      <c r="VNS23" s="3431"/>
      <c r="VNT23" s="3431"/>
      <c r="VNU23" s="3431"/>
      <c r="VNV23" s="3431"/>
      <c r="VNW23" s="3431"/>
      <c r="VNX23" s="3431"/>
      <c r="VNY23" s="3431"/>
      <c r="VNZ23" s="3431"/>
      <c r="VOA23" s="3431"/>
      <c r="VOB23" s="3431"/>
      <c r="VOC23" s="3431"/>
      <c r="VOD23" s="3431"/>
      <c r="VOE23" s="3431"/>
      <c r="VOF23" s="3431"/>
      <c r="VOG23" s="3431"/>
      <c r="VOH23" s="3431"/>
      <c r="VOI23" s="3431"/>
      <c r="VOJ23" s="3431"/>
      <c r="VOK23" s="3431"/>
      <c r="VOL23" s="3431"/>
      <c r="VOM23" s="3431"/>
      <c r="VON23" s="3431"/>
      <c r="VOO23" s="3431"/>
      <c r="VOP23" s="3431"/>
      <c r="VOQ23" s="3431"/>
      <c r="VOR23" s="3431"/>
      <c r="VOS23" s="3431"/>
      <c r="VOT23" s="3431"/>
      <c r="VOU23" s="3431"/>
      <c r="VOV23" s="3431"/>
      <c r="VOW23" s="3431"/>
      <c r="VOX23" s="3431"/>
      <c r="VOY23" s="3431"/>
      <c r="VOZ23" s="3431"/>
      <c r="VPA23" s="3431"/>
      <c r="VPB23" s="3431"/>
      <c r="VPC23" s="3431"/>
      <c r="VPD23" s="3431"/>
      <c r="VPE23" s="3431"/>
      <c r="VPF23" s="3431"/>
      <c r="VPG23" s="3431"/>
      <c r="VPH23" s="3431"/>
      <c r="VPI23" s="3431"/>
      <c r="VPJ23" s="3431"/>
      <c r="VPK23" s="3431"/>
      <c r="VPL23" s="3431"/>
      <c r="VPM23" s="3431"/>
      <c r="VPN23" s="3431"/>
      <c r="VPO23" s="3431"/>
      <c r="VPP23" s="3431"/>
      <c r="VPQ23" s="3431"/>
      <c r="VPR23" s="3431"/>
      <c r="VPS23" s="3431"/>
      <c r="VPT23" s="3431"/>
      <c r="VPU23" s="3431"/>
      <c r="VPV23" s="3431"/>
      <c r="VPW23" s="3431"/>
      <c r="VPX23" s="3431"/>
      <c r="VPY23" s="3431"/>
      <c r="VPZ23" s="3431"/>
      <c r="VQA23" s="3431"/>
      <c r="VQB23" s="3431"/>
      <c r="VQC23" s="3431"/>
      <c r="VQD23" s="3431"/>
      <c r="VQE23" s="3431"/>
      <c r="VQF23" s="3431"/>
      <c r="VQG23" s="3431"/>
      <c r="VQH23" s="3431"/>
      <c r="VQI23" s="3431"/>
      <c r="VQJ23" s="3431"/>
      <c r="VQK23" s="3431"/>
      <c r="VQL23" s="3431"/>
      <c r="VQM23" s="3431"/>
      <c r="VQN23" s="3431"/>
      <c r="VQO23" s="3431"/>
      <c r="VQP23" s="3431"/>
      <c r="VQQ23" s="3431"/>
      <c r="VQR23" s="3431"/>
      <c r="VQS23" s="3431"/>
      <c r="VQT23" s="3431"/>
      <c r="VQU23" s="3431"/>
      <c r="VQV23" s="3431"/>
      <c r="VQW23" s="3431"/>
      <c r="VQX23" s="3431"/>
      <c r="VQY23" s="3431"/>
      <c r="VQZ23" s="3431"/>
      <c r="VRA23" s="3431"/>
      <c r="VRB23" s="3431"/>
      <c r="VRC23" s="3431"/>
      <c r="VRD23" s="3431"/>
      <c r="VRE23" s="3431"/>
      <c r="VRF23" s="3431"/>
      <c r="VRG23" s="3431"/>
      <c r="VRH23" s="3431"/>
      <c r="VRI23" s="3431"/>
      <c r="VRJ23" s="3431"/>
      <c r="VRK23" s="3431"/>
      <c r="VRL23" s="3431"/>
      <c r="VRM23" s="3431"/>
      <c r="VRN23" s="3431"/>
      <c r="VRO23" s="3431"/>
      <c r="VRP23" s="3431"/>
      <c r="VRQ23" s="3431"/>
      <c r="VRR23" s="3431"/>
      <c r="VRS23" s="3431"/>
      <c r="VRT23" s="3431"/>
      <c r="VRU23" s="3431"/>
      <c r="VRV23" s="3431"/>
      <c r="VRW23" s="3431"/>
      <c r="VRX23" s="3431"/>
      <c r="VRY23" s="3431"/>
      <c r="VRZ23" s="3431"/>
      <c r="VSA23" s="3431"/>
      <c r="VSB23" s="3431"/>
      <c r="VSC23" s="3431"/>
      <c r="VSD23" s="3431"/>
      <c r="VSE23" s="3431"/>
      <c r="VSF23" s="3431"/>
      <c r="VSG23" s="3431"/>
      <c r="VSH23" s="3431"/>
      <c r="VSI23" s="3431"/>
      <c r="VSJ23" s="3431"/>
      <c r="VSK23" s="3431"/>
      <c r="VSL23" s="3431"/>
      <c r="VSM23" s="3431"/>
      <c r="VSN23" s="3431"/>
      <c r="VSO23" s="3431"/>
      <c r="VSP23" s="3431"/>
      <c r="VSQ23" s="3431"/>
      <c r="VSR23" s="3431"/>
      <c r="VSS23" s="3431"/>
      <c r="VST23" s="3431"/>
      <c r="VSU23" s="3431"/>
      <c r="VSV23" s="3431"/>
      <c r="VSW23" s="3431"/>
      <c r="VSX23" s="3431"/>
      <c r="VSY23" s="3431"/>
      <c r="VSZ23" s="3431"/>
      <c r="VTA23" s="3431"/>
      <c r="VTB23" s="3431"/>
      <c r="VTC23" s="3431"/>
      <c r="VTD23" s="3431"/>
      <c r="VTE23" s="3431"/>
      <c r="VTF23" s="3431"/>
      <c r="VTG23" s="3431"/>
      <c r="VTH23" s="3431"/>
      <c r="VTI23" s="3431"/>
      <c r="VTJ23" s="3431"/>
      <c r="VTK23" s="3431"/>
      <c r="VTL23" s="3431"/>
      <c r="VTM23" s="3431"/>
      <c r="VTN23" s="3431"/>
      <c r="VTO23" s="3431"/>
      <c r="VTP23" s="3431"/>
      <c r="VTQ23" s="3431"/>
      <c r="VTR23" s="3431"/>
      <c r="VTS23" s="3431"/>
      <c r="VTT23" s="3431"/>
      <c r="VTU23" s="3431"/>
      <c r="VTV23" s="3431"/>
      <c r="VTW23" s="3431"/>
      <c r="VTX23" s="3431"/>
      <c r="VTY23" s="3431"/>
      <c r="VTZ23" s="3431"/>
      <c r="VUA23" s="3431"/>
      <c r="VUB23" s="3431"/>
      <c r="VUC23" s="3431"/>
      <c r="VUD23" s="3431"/>
      <c r="VUE23" s="3431"/>
      <c r="VUF23" s="3431"/>
      <c r="VUG23" s="3431"/>
      <c r="VUH23" s="3431"/>
      <c r="VUI23" s="3431"/>
      <c r="VUJ23" s="3431"/>
      <c r="VUK23" s="3431"/>
      <c r="VUL23" s="3431"/>
      <c r="VUM23" s="3431"/>
      <c r="VUN23" s="3431"/>
      <c r="VUO23" s="3431"/>
      <c r="VUP23" s="3431"/>
      <c r="VUQ23" s="3431"/>
      <c r="VUR23" s="3431"/>
      <c r="VUS23" s="3431"/>
      <c r="VUT23" s="3431"/>
      <c r="VUU23" s="3431"/>
      <c r="VUV23" s="3431"/>
      <c r="VUW23" s="3431"/>
      <c r="VUX23" s="3431"/>
      <c r="VUY23" s="3431"/>
      <c r="VUZ23" s="3431"/>
      <c r="VVA23" s="3431"/>
      <c r="VVB23" s="3431"/>
      <c r="VVC23" s="3431"/>
      <c r="VVD23" s="3431"/>
      <c r="VVE23" s="3431"/>
      <c r="VVF23" s="3431"/>
      <c r="VVG23" s="3431"/>
      <c r="VVH23" s="3431"/>
      <c r="VVI23" s="3431"/>
      <c r="VVJ23" s="3431"/>
      <c r="VVK23" s="3431"/>
      <c r="VVL23" s="3431"/>
      <c r="VVM23" s="3431"/>
      <c r="VVN23" s="3431"/>
      <c r="VVO23" s="3431"/>
      <c r="VVP23" s="3431"/>
      <c r="VVQ23" s="3431"/>
      <c r="VVR23" s="3431"/>
      <c r="VVS23" s="3431"/>
      <c r="VVT23" s="3431"/>
      <c r="VVU23" s="3431"/>
      <c r="VVV23" s="3431"/>
      <c r="VVW23" s="3431"/>
      <c r="VVX23" s="3431"/>
      <c r="VVY23" s="3431"/>
      <c r="VVZ23" s="3431"/>
      <c r="VWA23" s="3431"/>
      <c r="VWB23" s="3431"/>
      <c r="VWC23" s="3431"/>
      <c r="VWD23" s="3431"/>
      <c r="VWE23" s="3431"/>
      <c r="VWF23" s="3431"/>
      <c r="VWG23" s="3431"/>
      <c r="VWH23" s="3431"/>
      <c r="VWI23" s="3431"/>
      <c r="VWJ23" s="3431"/>
      <c r="VWK23" s="3431"/>
      <c r="VWL23" s="3431"/>
      <c r="VWM23" s="3431"/>
      <c r="VWN23" s="3431"/>
      <c r="VWO23" s="3431"/>
      <c r="VWP23" s="3431"/>
      <c r="VWQ23" s="3431"/>
      <c r="VWR23" s="3431"/>
      <c r="VWS23" s="3431"/>
      <c r="VWT23" s="3431"/>
      <c r="VWU23" s="3431"/>
      <c r="VWV23" s="3431"/>
      <c r="VWW23" s="3431"/>
      <c r="VWX23" s="3431"/>
      <c r="VWY23" s="3431"/>
      <c r="VWZ23" s="3431"/>
      <c r="VXA23" s="3431"/>
      <c r="VXB23" s="3431"/>
      <c r="VXC23" s="3431"/>
      <c r="VXD23" s="3431"/>
      <c r="VXE23" s="3431"/>
      <c r="VXF23" s="3431"/>
      <c r="VXG23" s="3431"/>
      <c r="VXH23" s="3431"/>
      <c r="VXI23" s="3431"/>
      <c r="VXJ23" s="3431"/>
      <c r="VXK23" s="3431"/>
      <c r="VXL23" s="3431"/>
      <c r="VXM23" s="3431"/>
      <c r="VXN23" s="3431"/>
      <c r="VXO23" s="3431"/>
      <c r="VXP23" s="3431"/>
      <c r="VXQ23" s="3431"/>
      <c r="VXR23" s="3431"/>
      <c r="VXS23" s="3431"/>
      <c r="VXT23" s="3431"/>
      <c r="VXU23" s="3431"/>
      <c r="VXV23" s="3431"/>
      <c r="VXW23" s="3431"/>
      <c r="VXX23" s="3431"/>
      <c r="VXY23" s="3431"/>
      <c r="VXZ23" s="3431"/>
      <c r="VYA23" s="3431"/>
      <c r="VYB23" s="3431"/>
      <c r="VYC23" s="3431"/>
      <c r="VYD23" s="3431"/>
      <c r="VYE23" s="3431"/>
      <c r="VYF23" s="3431"/>
      <c r="VYG23" s="3431"/>
      <c r="VYH23" s="3431"/>
      <c r="VYI23" s="3431"/>
      <c r="VYJ23" s="3431"/>
      <c r="VYK23" s="3431"/>
      <c r="VYL23" s="3431"/>
      <c r="VYM23" s="3431"/>
      <c r="VYN23" s="3431"/>
      <c r="VYO23" s="3431"/>
      <c r="VYP23" s="3431"/>
      <c r="VYQ23" s="3431"/>
      <c r="VYR23" s="3431"/>
      <c r="VYS23" s="3431"/>
      <c r="VYT23" s="3431"/>
      <c r="VYU23" s="3431"/>
      <c r="VYV23" s="3431"/>
      <c r="VYW23" s="3431"/>
      <c r="VYX23" s="3431"/>
      <c r="VYY23" s="3431"/>
      <c r="VYZ23" s="3431"/>
      <c r="VZA23" s="3431"/>
      <c r="VZB23" s="3431"/>
      <c r="VZC23" s="3431"/>
      <c r="VZD23" s="3431"/>
      <c r="VZE23" s="3431"/>
      <c r="VZF23" s="3431"/>
      <c r="VZG23" s="3431"/>
      <c r="VZH23" s="3431"/>
      <c r="VZI23" s="3431"/>
      <c r="VZJ23" s="3431"/>
      <c r="VZK23" s="3431"/>
      <c r="VZL23" s="3431"/>
      <c r="VZM23" s="3431"/>
      <c r="VZN23" s="3431"/>
      <c r="VZO23" s="3431"/>
      <c r="VZP23" s="3431"/>
      <c r="VZQ23" s="3431"/>
      <c r="VZR23" s="3431"/>
      <c r="VZS23" s="3431"/>
      <c r="VZT23" s="3431"/>
      <c r="VZU23" s="3431"/>
      <c r="VZV23" s="3431"/>
      <c r="VZW23" s="3431"/>
      <c r="VZX23" s="3431"/>
      <c r="VZY23" s="3431"/>
      <c r="VZZ23" s="3431"/>
      <c r="WAA23" s="3431"/>
      <c r="WAB23" s="3431"/>
      <c r="WAC23" s="3431"/>
      <c r="WAD23" s="3431"/>
      <c r="WAE23" s="3431"/>
      <c r="WAF23" s="3431"/>
      <c r="WAG23" s="3431"/>
      <c r="WAH23" s="3431"/>
      <c r="WAI23" s="3431"/>
      <c r="WAJ23" s="3431"/>
      <c r="WAK23" s="3431"/>
      <c r="WAL23" s="3431"/>
      <c r="WAM23" s="3431"/>
      <c r="WAN23" s="3431"/>
      <c r="WAO23" s="3431"/>
      <c r="WAP23" s="3431"/>
      <c r="WAQ23" s="3431"/>
      <c r="WAR23" s="3431"/>
      <c r="WAS23" s="3431"/>
      <c r="WAT23" s="3431"/>
      <c r="WAU23" s="3431"/>
      <c r="WAV23" s="3431"/>
      <c r="WAW23" s="3431"/>
      <c r="WAX23" s="3431"/>
      <c r="WAY23" s="3431"/>
      <c r="WAZ23" s="3431"/>
      <c r="WBA23" s="3431"/>
      <c r="WBB23" s="3431"/>
      <c r="WBC23" s="3431"/>
      <c r="WBD23" s="3431"/>
      <c r="WBE23" s="3431"/>
      <c r="WBF23" s="3431"/>
      <c r="WBG23" s="3431"/>
      <c r="WBH23" s="3431"/>
      <c r="WBI23" s="3431"/>
      <c r="WBJ23" s="3431"/>
      <c r="WBK23" s="3431"/>
      <c r="WBL23" s="3431"/>
      <c r="WBM23" s="3431"/>
      <c r="WBN23" s="3431"/>
      <c r="WBO23" s="3431"/>
      <c r="WBP23" s="3431"/>
      <c r="WBQ23" s="3431"/>
      <c r="WBR23" s="3431"/>
      <c r="WBS23" s="3431"/>
      <c r="WBT23" s="3431"/>
      <c r="WBU23" s="3431"/>
      <c r="WBV23" s="3431"/>
      <c r="WBW23" s="3431"/>
      <c r="WBX23" s="3431"/>
      <c r="WBY23" s="3431"/>
      <c r="WBZ23" s="3431"/>
      <c r="WCA23" s="3431"/>
      <c r="WCB23" s="3431"/>
      <c r="WCC23" s="3431"/>
      <c r="WCD23" s="3431"/>
      <c r="WCE23" s="3431"/>
      <c r="WCF23" s="3431"/>
      <c r="WCG23" s="3431"/>
      <c r="WCH23" s="3431"/>
      <c r="WCI23" s="3431"/>
      <c r="WCJ23" s="3431"/>
      <c r="WCK23" s="3431"/>
      <c r="WCL23" s="3431"/>
      <c r="WCM23" s="3431"/>
      <c r="WCN23" s="3431"/>
      <c r="WCO23" s="3431"/>
      <c r="WCP23" s="3431"/>
      <c r="WCQ23" s="3431"/>
      <c r="WCR23" s="3431"/>
      <c r="WCS23" s="3431"/>
      <c r="WCT23" s="3431"/>
      <c r="WCU23" s="3431"/>
      <c r="WCV23" s="3431"/>
      <c r="WCW23" s="3431"/>
      <c r="WCX23" s="3431"/>
      <c r="WCY23" s="3431"/>
      <c r="WCZ23" s="3431"/>
      <c r="WDA23" s="3431"/>
      <c r="WDB23" s="3431"/>
      <c r="WDC23" s="3431"/>
      <c r="WDD23" s="3431"/>
      <c r="WDE23" s="3431"/>
      <c r="WDF23" s="3431"/>
      <c r="WDG23" s="3431"/>
      <c r="WDH23" s="3431"/>
      <c r="WDI23" s="3431"/>
      <c r="WDJ23" s="3431"/>
      <c r="WDK23" s="3431"/>
      <c r="WDL23" s="3431"/>
      <c r="WDM23" s="3431"/>
      <c r="WDN23" s="3431"/>
      <c r="WDO23" s="3431"/>
      <c r="WDP23" s="3431"/>
      <c r="WDQ23" s="3431"/>
      <c r="WDR23" s="3431"/>
      <c r="WDS23" s="3431"/>
      <c r="WDT23" s="3431"/>
      <c r="WDU23" s="3431"/>
      <c r="WDV23" s="3431"/>
      <c r="WDW23" s="3431"/>
      <c r="WDX23" s="3431"/>
      <c r="WDY23" s="3431"/>
      <c r="WDZ23" s="3431"/>
      <c r="WEA23" s="3431"/>
      <c r="WEB23" s="3431"/>
      <c r="WEC23" s="3431"/>
      <c r="WED23" s="3431"/>
      <c r="WEE23" s="3431"/>
      <c r="WEF23" s="3431"/>
      <c r="WEG23" s="3431"/>
      <c r="WEH23" s="3431"/>
      <c r="WEI23" s="3431"/>
      <c r="WEJ23" s="3431"/>
      <c r="WEK23" s="3431"/>
      <c r="WEL23" s="3431"/>
      <c r="WEM23" s="3431"/>
      <c r="WEN23" s="3431"/>
      <c r="WEO23" s="3431"/>
      <c r="WEP23" s="3431"/>
      <c r="WEQ23" s="3431"/>
      <c r="WER23" s="3431"/>
      <c r="WES23" s="3431"/>
      <c r="WET23" s="3431"/>
      <c r="WEU23" s="3431"/>
      <c r="WEV23" s="3431"/>
      <c r="WEW23" s="3431"/>
      <c r="WEX23" s="3431"/>
      <c r="WEY23" s="3431"/>
      <c r="WEZ23" s="3431"/>
      <c r="WFA23" s="3431"/>
      <c r="WFB23" s="3431"/>
      <c r="WFC23" s="3431"/>
      <c r="WFD23" s="3431"/>
      <c r="WFE23" s="3431"/>
      <c r="WFF23" s="3431"/>
      <c r="WFG23" s="3431"/>
      <c r="WFH23" s="3431"/>
      <c r="WFI23" s="3431"/>
      <c r="WFJ23" s="3431"/>
      <c r="WFK23" s="3431"/>
      <c r="WFL23" s="3431"/>
      <c r="WFM23" s="3431"/>
      <c r="WFN23" s="3431"/>
      <c r="WFO23" s="3431"/>
      <c r="WFP23" s="3431"/>
      <c r="WFQ23" s="3431"/>
      <c r="WFR23" s="3431"/>
      <c r="WFS23" s="3431"/>
      <c r="WFT23" s="3431"/>
      <c r="WFU23" s="3431"/>
      <c r="WFV23" s="3431"/>
      <c r="WFW23" s="3431"/>
      <c r="WFX23" s="3431"/>
      <c r="WFY23" s="3431"/>
      <c r="WFZ23" s="3431"/>
      <c r="WGA23" s="3431"/>
      <c r="WGB23" s="3431"/>
      <c r="WGC23" s="3431"/>
      <c r="WGD23" s="3431"/>
      <c r="WGE23" s="3431"/>
      <c r="WGF23" s="3431"/>
      <c r="WGG23" s="3431"/>
      <c r="WGH23" s="3431"/>
      <c r="WGI23" s="3431"/>
      <c r="WGJ23" s="3431"/>
      <c r="WGK23" s="3431"/>
      <c r="WGL23" s="3431"/>
      <c r="WGM23" s="3431"/>
      <c r="WGN23" s="3431"/>
      <c r="WGO23" s="3431"/>
      <c r="WGP23" s="3431"/>
      <c r="WGQ23" s="3431"/>
      <c r="WGR23" s="3431"/>
      <c r="WGS23" s="3431"/>
      <c r="WGT23" s="3431"/>
      <c r="WGU23" s="3431"/>
      <c r="WGV23" s="3431"/>
      <c r="WGW23" s="3431"/>
      <c r="WGX23" s="3431"/>
      <c r="WGY23" s="3431"/>
      <c r="WGZ23" s="3431"/>
      <c r="WHA23" s="3431"/>
      <c r="WHB23" s="3431"/>
      <c r="WHC23" s="3431"/>
      <c r="WHD23" s="3431"/>
      <c r="WHE23" s="3431"/>
      <c r="WHF23" s="3431"/>
      <c r="WHG23" s="3431"/>
      <c r="WHH23" s="3431"/>
      <c r="WHI23" s="3431"/>
      <c r="WHJ23" s="3431"/>
      <c r="WHK23" s="3431"/>
      <c r="WHL23" s="3431"/>
      <c r="WHM23" s="3431"/>
      <c r="WHN23" s="3431"/>
      <c r="WHO23" s="3431"/>
      <c r="WHP23" s="3431"/>
      <c r="WHQ23" s="3431"/>
      <c r="WHR23" s="3431"/>
      <c r="WHS23" s="3431"/>
      <c r="WHT23" s="3431"/>
      <c r="WHU23" s="3431"/>
      <c r="WHV23" s="3431"/>
      <c r="WHW23" s="3431"/>
      <c r="WHX23" s="3431"/>
      <c r="WHY23" s="3431"/>
      <c r="WHZ23" s="3431"/>
      <c r="WIA23" s="3431"/>
      <c r="WIB23" s="3431"/>
      <c r="WIC23" s="3431"/>
      <c r="WID23" s="3431"/>
      <c r="WIE23" s="3431"/>
      <c r="WIF23" s="3431"/>
      <c r="WIG23" s="3431"/>
      <c r="WIH23" s="3431"/>
      <c r="WII23" s="3431"/>
      <c r="WIJ23" s="3431"/>
      <c r="WIK23" s="3431"/>
      <c r="WIL23" s="3431"/>
      <c r="WIM23" s="3431"/>
      <c r="WIN23" s="3431"/>
      <c r="WIO23" s="3431"/>
      <c r="WIP23" s="3431"/>
      <c r="WIQ23" s="3431"/>
      <c r="WIR23" s="3431"/>
      <c r="WIS23" s="3431"/>
      <c r="WIT23" s="3431"/>
      <c r="WIU23" s="3431"/>
      <c r="WIV23" s="3431"/>
      <c r="WIW23" s="3431"/>
      <c r="WIX23" s="3431"/>
      <c r="WIY23" s="3431"/>
      <c r="WIZ23" s="3431"/>
      <c r="WJA23" s="3431"/>
      <c r="WJB23" s="3431"/>
      <c r="WJC23" s="3431"/>
      <c r="WJD23" s="3431"/>
      <c r="WJE23" s="3431"/>
      <c r="WJF23" s="3431"/>
      <c r="WJG23" s="3431"/>
      <c r="WJH23" s="3431"/>
      <c r="WJI23" s="3431"/>
      <c r="WJJ23" s="3431"/>
      <c r="WJK23" s="3431"/>
      <c r="WJL23" s="3431"/>
      <c r="WJM23" s="3431"/>
      <c r="WJN23" s="3431"/>
      <c r="WJO23" s="3431"/>
      <c r="WJP23" s="3431"/>
      <c r="WJQ23" s="3431"/>
      <c r="WJR23" s="3431"/>
      <c r="WJS23" s="3431"/>
      <c r="WJT23" s="3431"/>
      <c r="WJU23" s="3431"/>
      <c r="WJV23" s="3431"/>
      <c r="WJW23" s="3431"/>
      <c r="WJX23" s="3431"/>
      <c r="WJY23" s="3431"/>
      <c r="WJZ23" s="3431"/>
      <c r="WKA23" s="3431"/>
      <c r="WKB23" s="3431"/>
      <c r="WKC23" s="3431"/>
      <c r="WKD23" s="3431"/>
      <c r="WKE23" s="3431"/>
      <c r="WKF23" s="3431"/>
      <c r="WKG23" s="3431"/>
      <c r="WKH23" s="3431"/>
      <c r="WKI23" s="3431"/>
      <c r="WKJ23" s="3431"/>
      <c r="WKK23" s="3431"/>
      <c r="WKL23" s="3431"/>
      <c r="WKM23" s="3431"/>
      <c r="WKN23" s="3431"/>
      <c r="WKO23" s="3431"/>
      <c r="WKP23" s="3431"/>
      <c r="WKQ23" s="3431"/>
      <c r="WKR23" s="3431"/>
      <c r="WKS23" s="3431"/>
      <c r="WKT23" s="3431"/>
      <c r="WKU23" s="3431"/>
      <c r="WKV23" s="3431"/>
      <c r="WKW23" s="3431"/>
      <c r="WKX23" s="3431"/>
      <c r="WKY23" s="3431"/>
      <c r="WKZ23" s="3431"/>
      <c r="WLA23" s="3431"/>
      <c r="WLB23" s="3431"/>
      <c r="WLC23" s="3431"/>
      <c r="WLD23" s="3431"/>
      <c r="WLE23" s="3431"/>
      <c r="WLF23" s="3431"/>
      <c r="WLG23" s="3431"/>
      <c r="WLH23" s="3431"/>
      <c r="WLI23" s="3431"/>
      <c r="WLJ23" s="3431"/>
      <c r="WLK23" s="3431"/>
      <c r="WLL23" s="3431"/>
      <c r="WLM23" s="3431"/>
      <c r="WLN23" s="3431"/>
      <c r="WLO23" s="3431"/>
      <c r="WLP23" s="3431"/>
      <c r="WLQ23" s="3431"/>
      <c r="WLR23" s="3431"/>
      <c r="WLS23" s="3431"/>
      <c r="WLT23" s="3431"/>
      <c r="WLU23" s="3431"/>
      <c r="WLV23" s="3431"/>
      <c r="WLW23" s="3431"/>
      <c r="WLX23" s="3431"/>
      <c r="WLY23" s="3431"/>
      <c r="WLZ23" s="3431"/>
      <c r="WMA23" s="3431"/>
      <c r="WMB23" s="3431"/>
      <c r="WMC23" s="3431"/>
      <c r="WMD23" s="3431"/>
      <c r="WME23" s="3431"/>
      <c r="WMF23" s="3431"/>
      <c r="WMG23" s="3431"/>
      <c r="WMH23" s="3431"/>
      <c r="WMI23" s="3431"/>
      <c r="WMJ23" s="3431"/>
      <c r="WMK23" s="3431"/>
      <c r="WML23" s="3431"/>
      <c r="WMM23" s="3431"/>
      <c r="WMN23" s="3431"/>
      <c r="WMO23" s="3431"/>
      <c r="WMP23" s="3431"/>
      <c r="WMQ23" s="3431"/>
      <c r="WMR23" s="3431"/>
      <c r="WMS23" s="3431"/>
      <c r="WMT23" s="3431"/>
      <c r="WMU23" s="3431"/>
      <c r="WMV23" s="3431"/>
      <c r="WMW23" s="3431"/>
      <c r="WMX23" s="3431"/>
      <c r="WMY23" s="3431"/>
      <c r="WMZ23" s="3431"/>
      <c r="WNA23" s="3431"/>
      <c r="WNB23" s="3431"/>
      <c r="WNC23" s="3431"/>
      <c r="WND23" s="3431"/>
      <c r="WNE23" s="3431"/>
      <c r="WNF23" s="3431"/>
      <c r="WNG23" s="3431"/>
      <c r="WNH23" s="3431"/>
      <c r="WNI23" s="3431"/>
      <c r="WNJ23" s="3431"/>
      <c r="WNK23" s="3431"/>
      <c r="WNL23" s="3431"/>
      <c r="WNM23" s="3431"/>
      <c r="WNN23" s="3431"/>
      <c r="WNO23" s="3431"/>
      <c r="WNP23" s="3431"/>
      <c r="WNQ23" s="3431"/>
      <c r="WNR23" s="3431"/>
      <c r="WNS23" s="3431"/>
      <c r="WNT23" s="3431"/>
      <c r="WNU23" s="3431"/>
      <c r="WNV23" s="3431"/>
      <c r="WNW23" s="3431"/>
      <c r="WNX23" s="3431"/>
      <c r="WNY23" s="3431"/>
      <c r="WNZ23" s="3431"/>
      <c r="WOA23" s="3431"/>
      <c r="WOB23" s="3431"/>
      <c r="WOC23" s="3431"/>
      <c r="WOD23" s="3431"/>
      <c r="WOE23" s="3431"/>
      <c r="WOF23" s="3431"/>
      <c r="WOG23" s="3431"/>
      <c r="WOH23" s="3431"/>
      <c r="WOI23" s="3431"/>
      <c r="WOJ23" s="3431"/>
      <c r="WOK23" s="3431"/>
      <c r="WOL23" s="3431"/>
      <c r="WOM23" s="3431"/>
      <c r="WON23" s="3431"/>
      <c r="WOO23" s="3431"/>
      <c r="WOP23" s="3431"/>
      <c r="WOQ23" s="3431"/>
      <c r="WOR23" s="3431"/>
      <c r="WOS23" s="3431"/>
      <c r="WOT23" s="3431"/>
      <c r="WOU23" s="3431"/>
      <c r="WOV23" s="3431"/>
      <c r="WOW23" s="3431"/>
      <c r="WOX23" s="3431"/>
      <c r="WOY23" s="3431"/>
      <c r="WOZ23" s="3431"/>
      <c r="WPA23" s="3431"/>
      <c r="WPB23" s="3431"/>
      <c r="WPC23" s="3431"/>
      <c r="WPD23" s="3431"/>
      <c r="WPE23" s="3431"/>
      <c r="WPF23" s="3431"/>
      <c r="WPG23" s="3431"/>
      <c r="WPH23" s="3431"/>
      <c r="WPI23" s="3431"/>
      <c r="WPJ23" s="3431"/>
      <c r="WPK23" s="3431"/>
      <c r="WPL23" s="3431"/>
      <c r="WPM23" s="3431"/>
      <c r="WPN23" s="3431"/>
      <c r="WPO23" s="3431"/>
      <c r="WPP23" s="3431"/>
      <c r="WPQ23" s="3431"/>
      <c r="WPR23" s="3431"/>
      <c r="WPS23" s="3431"/>
      <c r="WPT23" s="3431"/>
      <c r="WPU23" s="3431"/>
      <c r="WPV23" s="3431"/>
      <c r="WPW23" s="3431"/>
      <c r="WPX23" s="3431"/>
      <c r="WPY23" s="3431"/>
      <c r="WPZ23" s="3431"/>
      <c r="WQA23" s="3431"/>
      <c r="WQB23" s="3431"/>
      <c r="WQC23" s="3431"/>
      <c r="WQD23" s="3431"/>
      <c r="WQE23" s="3431"/>
      <c r="WQF23" s="3431"/>
      <c r="WQG23" s="3431"/>
      <c r="WQH23" s="3431"/>
      <c r="WQI23" s="3431"/>
      <c r="WQJ23" s="3431"/>
      <c r="WQK23" s="3431"/>
      <c r="WQL23" s="3431"/>
      <c r="WQM23" s="3431"/>
      <c r="WQN23" s="3431"/>
      <c r="WQO23" s="3431"/>
      <c r="WQP23" s="3431"/>
      <c r="WQQ23" s="3431"/>
      <c r="WQR23" s="3431"/>
      <c r="WQS23" s="3431"/>
      <c r="WQT23" s="3431"/>
      <c r="WQU23" s="3431"/>
      <c r="WQV23" s="3431"/>
      <c r="WQW23" s="3431"/>
      <c r="WQX23" s="3431"/>
      <c r="WQY23" s="3431"/>
      <c r="WQZ23" s="3431"/>
      <c r="WRA23" s="3431"/>
      <c r="WRB23" s="3431"/>
      <c r="WRC23" s="3431"/>
      <c r="WRD23" s="3431"/>
      <c r="WRE23" s="3431"/>
      <c r="WRF23" s="3431"/>
      <c r="WRG23" s="3431"/>
      <c r="WRH23" s="3431"/>
      <c r="WRI23" s="3431"/>
      <c r="WRJ23" s="3431"/>
      <c r="WRK23" s="3431"/>
      <c r="WRL23" s="3431"/>
      <c r="WRM23" s="3431"/>
      <c r="WRN23" s="3431"/>
      <c r="WRO23" s="3431"/>
      <c r="WRP23" s="3431"/>
      <c r="WRQ23" s="3431"/>
      <c r="WRR23" s="3431"/>
      <c r="WRS23" s="3431"/>
      <c r="WRT23" s="3431"/>
      <c r="WRU23" s="3431"/>
      <c r="WRV23" s="3431"/>
      <c r="WRW23" s="3431"/>
      <c r="WRX23" s="3431"/>
      <c r="WRY23" s="3431"/>
      <c r="WRZ23" s="3431"/>
      <c r="WSA23" s="3431"/>
      <c r="WSB23" s="3431"/>
      <c r="WSC23" s="3431"/>
      <c r="WSD23" s="3431"/>
      <c r="WSE23" s="3431"/>
      <c r="WSF23" s="3431"/>
      <c r="WSG23" s="3431"/>
      <c r="WSH23" s="3431"/>
      <c r="WSI23" s="3431"/>
      <c r="WSJ23" s="3431"/>
      <c r="WSK23" s="3431"/>
      <c r="WSL23" s="3431"/>
      <c r="WSM23" s="3431"/>
      <c r="WSN23" s="3431"/>
      <c r="WSO23" s="3431"/>
      <c r="WSP23" s="3431"/>
      <c r="WSQ23" s="3431"/>
      <c r="WSR23" s="3431"/>
      <c r="WSS23" s="3431"/>
      <c r="WST23" s="3431"/>
      <c r="WSU23" s="3431"/>
      <c r="WSV23" s="3431"/>
      <c r="WSW23" s="3431"/>
      <c r="WSX23" s="3431"/>
      <c r="WSY23" s="3431"/>
      <c r="WSZ23" s="3431"/>
      <c r="WTA23" s="3431"/>
      <c r="WTB23" s="3431"/>
      <c r="WTC23" s="3431"/>
      <c r="WTD23" s="3431"/>
      <c r="WTE23" s="3431"/>
      <c r="WTF23" s="3431"/>
      <c r="WTG23" s="3431"/>
      <c r="WTH23" s="3431"/>
      <c r="WTI23" s="3431"/>
      <c r="WTJ23" s="3431"/>
      <c r="WTK23" s="3431"/>
      <c r="WTL23" s="3431"/>
      <c r="WTM23" s="3431"/>
      <c r="WTN23" s="3431"/>
      <c r="WTO23" s="3431"/>
      <c r="WTP23" s="3431"/>
      <c r="WTQ23" s="3431"/>
      <c r="WTR23" s="3431"/>
      <c r="WTS23" s="3431"/>
      <c r="WTT23" s="3431"/>
      <c r="WTU23" s="3431"/>
      <c r="WTV23" s="3431"/>
      <c r="WTW23" s="3431"/>
      <c r="WTX23" s="3431"/>
      <c r="WTY23" s="3431"/>
      <c r="WTZ23" s="3431"/>
      <c r="WUA23" s="3431"/>
      <c r="WUB23" s="3431"/>
      <c r="WUC23" s="3431"/>
      <c r="WUD23" s="3431"/>
      <c r="WUE23" s="3431"/>
      <c r="WUF23" s="3431"/>
      <c r="WUG23" s="3431"/>
      <c r="WUH23" s="3431"/>
      <c r="WUI23" s="3431"/>
      <c r="WUJ23" s="3431"/>
      <c r="WUK23" s="3431"/>
      <c r="WUL23" s="3431"/>
      <c r="WUM23" s="3431"/>
      <c r="WUN23" s="3431"/>
      <c r="WUO23" s="3431"/>
      <c r="WUP23" s="3431"/>
      <c r="WUQ23" s="3431"/>
      <c r="WUR23" s="3431"/>
      <c r="WUS23" s="3431"/>
      <c r="WUT23" s="3431"/>
      <c r="WUU23" s="3431"/>
      <c r="WUV23" s="3431"/>
      <c r="WUW23" s="3431"/>
      <c r="WUX23" s="3431"/>
      <c r="WUY23" s="3431"/>
      <c r="WUZ23" s="3431"/>
      <c r="WVA23" s="3431"/>
      <c r="WVB23" s="3431"/>
      <c r="WVC23" s="3431"/>
      <c r="WVD23" s="3431"/>
      <c r="WVE23" s="3431"/>
      <c r="WVF23" s="3431"/>
      <c r="WVG23" s="3431"/>
      <c r="WVH23" s="3431"/>
      <c r="WVI23" s="3431"/>
      <c r="WVJ23" s="3431"/>
      <c r="WVK23" s="3431"/>
      <c r="WVL23" s="3431"/>
      <c r="WVM23" s="3431"/>
      <c r="WVN23" s="3431"/>
      <c r="WVO23" s="3431"/>
      <c r="WVP23" s="3431"/>
      <c r="WVQ23" s="3431"/>
      <c r="WVR23" s="3431"/>
      <c r="WVS23" s="3431"/>
      <c r="WVT23" s="3431"/>
      <c r="WVU23" s="3431"/>
      <c r="WVV23" s="3431"/>
      <c r="WVW23" s="3431"/>
      <c r="WVX23" s="3431"/>
      <c r="WVY23" s="3431"/>
      <c r="WVZ23" s="3431"/>
      <c r="WWA23" s="3431"/>
      <c r="WWB23" s="3431"/>
      <c r="WWC23" s="3431"/>
      <c r="WWD23" s="3431"/>
      <c r="WWE23" s="3431"/>
      <c r="WWF23" s="3431"/>
      <c r="WWG23" s="3431"/>
      <c r="WWH23" s="3431"/>
      <c r="WWI23" s="3431"/>
      <c r="WWJ23" s="3431"/>
      <c r="WWK23" s="3431"/>
      <c r="WWL23" s="3431"/>
      <c r="WWM23" s="3431"/>
      <c r="WWN23" s="3431"/>
      <c r="WWO23" s="3431"/>
      <c r="WWP23" s="3431"/>
      <c r="WWQ23" s="3431"/>
      <c r="WWR23" s="3431"/>
      <c r="WWS23" s="3431"/>
      <c r="WWT23" s="3431"/>
      <c r="WWU23" s="3431"/>
      <c r="WWV23" s="3431"/>
      <c r="WWW23" s="3431"/>
      <c r="WWX23" s="3431"/>
      <c r="WWY23" s="3431"/>
      <c r="WWZ23" s="3431"/>
      <c r="WXA23" s="3431"/>
      <c r="WXB23" s="3431"/>
      <c r="WXC23" s="3431"/>
      <c r="WXD23" s="3431"/>
      <c r="WXE23" s="3431"/>
      <c r="WXF23" s="3431"/>
      <c r="WXG23" s="3431"/>
      <c r="WXH23" s="3431"/>
      <c r="WXI23" s="3431"/>
      <c r="WXJ23" s="3431"/>
      <c r="WXK23" s="3431"/>
      <c r="WXL23" s="3431"/>
      <c r="WXM23" s="3431"/>
      <c r="WXN23" s="3431"/>
      <c r="WXO23" s="3431"/>
      <c r="WXP23" s="3431"/>
      <c r="WXQ23" s="3431"/>
      <c r="WXR23" s="3431"/>
      <c r="WXS23" s="3431"/>
      <c r="WXT23" s="3431"/>
      <c r="WXU23" s="3431"/>
      <c r="WXV23" s="3431"/>
      <c r="WXW23" s="3431"/>
      <c r="WXX23" s="3431"/>
      <c r="WXY23" s="3431"/>
      <c r="WXZ23" s="3431"/>
      <c r="WYA23" s="3431"/>
      <c r="WYB23" s="3431"/>
      <c r="WYC23" s="3431"/>
      <c r="WYD23" s="3431"/>
      <c r="WYE23" s="3431"/>
      <c r="WYF23" s="3431"/>
      <c r="WYG23" s="3431"/>
      <c r="WYH23" s="3431"/>
      <c r="WYI23" s="3431"/>
      <c r="WYJ23" s="3431"/>
      <c r="WYK23" s="3431"/>
      <c r="WYL23" s="3431"/>
      <c r="WYM23" s="3431"/>
      <c r="WYN23" s="3431"/>
      <c r="WYO23" s="3431"/>
      <c r="WYP23" s="3431"/>
      <c r="WYQ23" s="3431"/>
      <c r="WYR23" s="3431"/>
      <c r="WYS23" s="3431"/>
      <c r="WYT23" s="3431"/>
      <c r="WYU23" s="3431"/>
      <c r="WYV23" s="3431"/>
      <c r="WYW23" s="3431"/>
      <c r="WYX23" s="3431"/>
      <c r="WYY23" s="3431"/>
      <c r="WYZ23" s="3431"/>
      <c r="WZA23" s="3431"/>
      <c r="WZB23" s="3431"/>
      <c r="WZC23" s="3431"/>
      <c r="WZD23" s="3431"/>
      <c r="WZE23" s="3431"/>
      <c r="WZF23" s="3431"/>
      <c r="WZG23" s="3431"/>
      <c r="WZH23" s="3431"/>
      <c r="WZI23" s="3431"/>
      <c r="WZJ23" s="3431"/>
      <c r="WZK23" s="3431"/>
      <c r="WZL23" s="3431"/>
      <c r="WZM23" s="3431"/>
      <c r="WZN23" s="3431"/>
      <c r="WZO23" s="3431"/>
      <c r="WZP23" s="3431"/>
      <c r="WZQ23" s="3431"/>
      <c r="WZR23" s="3431"/>
      <c r="WZS23" s="3431"/>
      <c r="WZT23" s="3431"/>
      <c r="WZU23" s="3431"/>
      <c r="WZV23" s="3431"/>
      <c r="WZW23" s="3431"/>
      <c r="WZX23" s="3431"/>
      <c r="WZY23" s="3431"/>
      <c r="WZZ23" s="3431"/>
      <c r="XAA23" s="3431"/>
      <c r="XAB23" s="3431"/>
      <c r="XAC23" s="3431"/>
      <c r="XAD23" s="3431"/>
      <c r="XAE23" s="3431"/>
      <c r="XAF23" s="3431"/>
      <c r="XAG23" s="3431"/>
      <c r="XAH23" s="3431"/>
      <c r="XAI23" s="3431"/>
      <c r="XAJ23" s="3431"/>
      <c r="XAK23" s="3431"/>
      <c r="XAL23" s="3431"/>
      <c r="XAM23" s="3431"/>
      <c r="XAN23" s="3431"/>
      <c r="XAO23" s="3431"/>
      <c r="XAP23" s="3431"/>
      <c r="XAQ23" s="3431"/>
      <c r="XAR23" s="3431"/>
      <c r="XAS23" s="3431"/>
      <c r="XAT23" s="3431"/>
      <c r="XAU23" s="3431"/>
      <c r="XAV23" s="3431"/>
      <c r="XAW23" s="3431"/>
      <c r="XAX23" s="3431"/>
      <c r="XAY23" s="3431"/>
      <c r="XAZ23" s="3431"/>
      <c r="XBA23" s="3431"/>
      <c r="XBB23" s="3431"/>
      <c r="XBC23" s="3431"/>
      <c r="XBD23" s="3431"/>
      <c r="XBE23" s="3431"/>
      <c r="XBF23" s="3431"/>
      <c r="XBG23" s="3431"/>
      <c r="XBH23" s="3431"/>
      <c r="XBI23" s="3431"/>
      <c r="XBJ23" s="3431"/>
      <c r="XBK23" s="3431"/>
      <c r="XBL23" s="3431"/>
      <c r="XBM23" s="3431"/>
      <c r="XBN23" s="3431"/>
      <c r="XBO23" s="3431"/>
      <c r="XBP23" s="3431"/>
      <c r="XBQ23" s="3431"/>
      <c r="XBR23" s="3431"/>
      <c r="XBS23" s="3431"/>
      <c r="XBT23" s="3431"/>
      <c r="XBU23" s="3431"/>
      <c r="XBV23" s="3431"/>
      <c r="XBW23" s="3431"/>
      <c r="XBX23" s="3431"/>
      <c r="XBY23" s="3431"/>
      <c r="XBZ23" s="3431"/>
      <c r="XCA23" s="3431"/>
      <c r="XCB23" s="3431"/>
      <c r="XCC23" s="3431"/>
      <c r="XCD23" s="3431"/>
      <c r="XCE23" s="3431"/>
      <c r="XCF23" s="3431"/>
      <c r="XCG23" s="3431"/>
      <c r="XCH23" s="3431"/>
      <c r="XCI23" s="3431"/>
      <c r="XCJ23" s="3431"/>
      <c r="XCK23" s="3431"/>
      <c r="XCL23" s="3431"/>
      <c r="XCM23" s="3431"/>
      <c r="XCN23" s="3431"/>
      <c r="XCO23" s="3431"/>
      <c r="XCP23" s="3431"/>
      <c r="XCQ23" s="3431"/>
      <c r="XCR23" s="3431"/>
      <c r="XCS23" s="3431"/>
      <c r="XCT23" s="3431"/>
      <c r="XCU23" s="3431"/>
      <c r="XCV23" s="3431"/>
      <c r="XCW23" s="3431"/>
      <c r="XCX23" s="3431"/>
      <c r="XCY23" s="3431"/>
      <c r="XCZ23" s="3431"/>
      <c r="XDA23" s="3431"/>
      <c r="XDB23" s="3431"/>
      <c r="XDC23" s="3431"/>
      <c r="XDD23" s="3431"/>
      <c r="XDE23" s="3431"/>
      <c r="XDF23" s="3431"/>
      <c r="XDG23" s="3431"/>
      <c r="XDH23" s="3431"/>
      <c r="XDI23" s="3431"/>
      <c r="XDJ23" s="3431"/>
      <c r="XDK23" s="3431"/>
      <c r="XDL23" s="3431"/>
      <c r="XDM23" s="3431"/>
      <c r="XDN23" s="3431"/>
      <c r="XDO23" s="3431"/>
      <c r="XDP23" s="3431"/>
      <c r="XDQ23" s="3431"/>
      <c r="XDR23" s="3431"/>
      <c r="XDS23" s="3431"/>
      <c r="XDT23" s="3431"/>
      <c r="XDU23" s="3431"/>
      <c r="XDV23" s="3431"/>
    </row>
    <row r="24" spans="1:16350" s="3432" customFormat="1">
      <c r="A24" s="3430">
        <v>22</v>
      </c>
      <c r="B24" s="3430" t="s">
        <v>3407</v>
      </c>
      <c r="C24" s="3430">
        <v>4090.42</v>
      </c>
      <c r="D24" s="3430" t="s">
        <v>3441</v>
      </c>
      <c r="E24" s="3430" t="s">
        <v>3469</v>
      </c>
      <c r="F24" s="3432">
        <v>1.95</v>
      </c>
      <c r="G24" s="3432" t="s">
        <v>3470</v>
      </c>
      <c r="I24" s="3432">
        <v>3.01</v>
      </c>
      <c r="J24" s="3432">
        <f t="shared" si="0"/>
        <v>449.39399330000003</v>
      </c>
    </row>
    <row r="25" spans="1:16350" s="3431" customFormat="1" ht="24">
      <c r="A25" s="3430">
        <v>23</v>
      </c>
      <c r="B25" s="3430" t="s">
        <v>3471</v>
      </c>
      <c r="C25" s="3430">
        <v>1110</v>
      </c>
      <c r="D25" s="3430" t="s">
        <v>3441</v>
      </c>
      <c r="E25" s="3430" t="s">
        <v>3472</v>
      </c>
      <c r="F25" s="3431">
        <v>2.8</v>
      </c>
      <c r="G25" s="3431" t="s">
        <v>3473</v>
      </c>
      <c r="I25" s="3431">
        <v>2.94</v>
      </c>
      <c r="J25" s="3432">
        <f t="shared" si="0"/>
        <v>119.11409999999999</v>
      </c>
    </row>
    <row r="26" spans="1:16350" s="3432" customFormat="1">
      <c r="A26" s="3430">
        <v>24</v>
      </c>
      <c r="B26" s="3430" t="s">
        <v>3474</v>
      </c>
      <c r="C26" s="3430">
        <v>380.8</v>
      </c>
      <c r="D26" s="3430" t="s">
        <v>3475</v>
      </c>
      <c r="E26" s="3430" t="s">
        <v>3476</v>
      </c>
      <c r="F26" s="3432">
        <v>8.5</v>
      </c>
      <c r="G26" s="3432" t="s">
        <v>3477</v>
      </c>
      <c r="I26" s="3432">
        <v>9.1999999999999993</v>
      </c>
      <c r="J26" s="3432">
        <f t="shared" si="0"/>
        <v>127.87263999999999</v>
      </c>
    </row>
    <row r="27" spans="1:16350" s="3431" customFormat="1">
      <c r="A27" s="3430">
        <v>25</v>
      </c>
      <c r="B27" s="3430" t="s">
        <v>3478</v>
      </c>
      <c r="C27" s="3430">
        <v>119</v>
      </c>
      <c r="D27" s="3430" t="s">
        <v>3441</v>
      </c>
      <c r="E27" s="3430" t="s">
        <v>3445</v>
      </c>
      <c r="F27" s="3431">
        <v>5.05</v>
      </c>
      <c r="G27" s="3432" t="s">
        <v>3446</v>
      </c>
      <c r="I27" s="3431">
        <v>5.52</v>
      </c>
      <c r="J27" s="3432">
        <f t="shared" si="0"/>
        <v>23.976120000000002</v>
      </c>
    </row>
    <row r="28" spans="1:16350" s="3431" customFormat="1">
      <c r="A28" s="3430">
        <v>26</v>
      </c>
      <c r="B28" s="3430" t="s">
        <v>3479</v>
      </c>
      <c r="C28" s="3430">
        <v>199</v>
      </c>
      <c r="D28" s="3430" t="s">
        <v>3441</v>
      </c>
      <c r="E28" s="3430" t="s">
        <v>3445</v>
      </c>
      <c r="F28" s="3431">
        <v>5.05</v>
      </c>
      <c r="G28" s="3432" t="s">
        <v>3446</v>
      </c>
      <c r="I28" s="3431">
        <v>5.52</v>
      </c>
      <c r="J28" s="3432">
        <f t="shared" si="0"/>
        <v>40.094520000000003</v>
      </c>
    </row>
    <row r="29" spans="1:16350" s="3431" customFormat="1" ht="24">
      <c r="A29" s="3430">
        <v>27</v>
      </c>
      <c r="B29" s="3430" t="s">
        <v>3480</v>
      </c>
      <c r="C29" s="3430">
        <v>2270</v>
      </c>
      <c r="D29" s="3430" t="s">
        <v>3441</v>
      </c>
      <c r="E29" s="3430" t="s">
        <v>3481</v>
      </c>
      <c r="F29" s="3431">
        <v>2.1</v>
      </c>
      <c r="G29" s="3431" t="s">
        <v>3473</v>
      </c>
      <c r="I29" s="3431">
        <v>2.21</v>
      </c>
      <c r="J29" s="3432">
        <f t="shared" si="0"/>
        <v>183.10955000000001</v>
      </c>
    </row>
    <row r="30" spans="1:16350" s="3432" customFormat="1">
      <c r="A30" s="3430">
        <v>28</v>
      </c>
      <c r="B30" s="3430" t="s">
        <v>3482</v>
      </c>
      <c r="C30" s="3430">
        <v>2600</v>
      </c>
      <c r="D30" s="3430" t="s">
        <v>3483</v>
      </c>
      <c r="E30" s="3430" t="s">
        <v>3484</v>
      </c>
      <c r="F30" s="3432">
        <v>1.46</v>
      </c>
      <c r="I30" s="3432">
        <v>2.38</v>
      </c>
      <c r="J30" s="3432">
        <f t="shared" si="0"/>
        <v>225.86199999999999</v>
      </c>
    </row>
    <row r="31" spans="1:16350" s="3435" customFormat="1">
      <c r="A31" s="3794" t="s">
        <v>3408</v>
      </c>
      <c r="B31" s="3794"/>
      <c r="C31" s="3434">
        <f>SUM(C3:C30)</f>
        <v>103451.31000000004</v>
      </c>
      <c r="D31" s="3434"/>
      <c r="E31" s="3434"/>
      <c r="J31" s="3435">
        <f>SUM(J3:J30)</f>
        <v>8129.1270431000012</v>
      </c>
    </row>
    <row r="32" spans="1:16350" s="3431" customFormat="1">
      <c r="A32" s="3436" t="s">
        <v>3485</v>
      </c>
      <c r="B32" s="3437" t="s">
        <v>3486</v>
      </c>
      <c r="C32" s="3437">
        <f>面积表!B25</f>
        <v>108132.23000000003</v>
      </c>
      <c r="E32" s="3437"/>
      <c r="I32" s="3435">
        <f>J31/C32/365*10000</f>
        <v>2.0596616697907737</v>
      </c>
    </row>
  </sheetData>
  <mergeCells count="5">
    <mergeCell ref="A1:A2"/>
    <mergeCell ref="B1:B2"/>
    <mergeCell ref="D1:D2"/>
    <mergeCell ref="E1:E2"/>
    <mergeCell ref="A31:B31"/>
  </mergeCells>
  <phoneticPr fontId="132"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108132.23000000003</v>
      </c>
      <c r="C4" s="854">
        <f>项目基本情况!C18</f>
        <v>0</v>
      </c>
      <c r="D4" s="854">
        <f>结果表!D118</f>
        <v>0</v>
      </c>
      <c r="E4" s="854">
        <f>结果表!E118</f>
        <v>0</v>
      </c>
      <c r="F4" s="854">
        <f>结果表!F118</f>
        <v>0</v>
      </c>
      <c r="G4" s="854">
        <f>结果表!G118</f>
        <v>0</v>
      </c>
      <c r="H4" s="854">
        <f ca="1">结果表!H118</f>
        <v>113520</v>
      </c>
      <c r="I4" s="854">
        <f ca="1">结果表!I118</f>
        <v>10498</v>
      </c>
    </row>
    <row r="5" spans="1:9" ht="30" customHeight="1">
      <c r="A5" s="3467" t="s">
        <v>927</v>
      </c>
      <c r="B5" s="3467"/>
      <c r="C5" s="3467"/>
      <c r="D5" s="3467" t="str">
        <f>结果表!D119</f>
        <v>零元整</v>
      </c>
      <c r="E5" s="3467"/>
      <c r="F5" s="3467" t="str">
        <f>结果表!F119</f>
        <v>零元整</v>
      </c>
      <c r="G5" s="3467"/>
      <c r="H5" s="3467" t="str">
        <f ca="1">结果表!H119</f>
        <v>壹拾壹亿叁仟伍佰贰拾万元整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113520</v>
      </c>
      <c r="E8" s="3468"/>
      <c r="F8" s="3468"/>
      <c r="G8" s="3468"/>
      <c r="H8" s="3468"/>
      <c r="I8" s="3468"/>
    </row>
    <row r="9" spans="1:9" ht="15">
      <c r="A9" s="3467" t="s">
        <v>927</v>
      </c>
      <c r="B9" s="3467"/>
      <c r="C9" s="3467"/>
      <c r="D9" s="3467" t="str">
        <f ca="1">结果表!D123</f>
        <v>壹拾壹亿叁仟伍佰贰拾万元整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抵押净值</v>
      </c>
      <c r="B12" s="3468"/>
      <c r="C12" s="3468"/>
      <c r="D12" s="3468">
        <f ca="1">结果表!D126</f>
        <v>43157</v>
      </c>
      <c r="E12" s="3468"/>
      <c r="F12" s="3468"/>
      <c r="G12" s="3468"/>
      <c r="H12" s="3468"/>
      <c r="I12" s="3468"/>
    </row>
    <row r="13" spans="1:9" ht="15.75" thickBot="1">
      <c r="A13" s="3472" t="s">
        <v>927</v>
      </c>
      <c r="B13" s="3472"/>
      <c r="C13" s="3472"/>
      <c r="D13" s="3472" t="str">
        <f ca="1">结果表!D127</f>
        <v>肆亿叁仟壹佰伍拾柒万元整</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2122</v>
      </c>
      <c r="B2" s="2339">
        <f ca="1">TODAY()</f>
        <v>45422</v>
      </c>
      <c r="C2" s="2340" t="s">
        <v>2123</v>
      </c>
      <c r="D2" s="2340"/>
      <c r="E2" s="2340"/>
      <c r="F2" s="2336"/>
      <c r="G2" s="2336"/>
      <c r="H2" s="2336"/>
    </row>
    <row r="3" spans="1:8" ht="24" customHeight="1">
      <c r="A3" s="2341" t="s">
        <v>2124</v>
      </c>
      <c r="B3" s="2342" t="s">
        <v>2125</v>
      </c>
      <c r="C3" s="2342" t="s">
        <v>2126</v>
      </c>
      <c r="D3" s="2343" t="s">
        <v>2127</v>
      </c>
      <c r="E3" s="2344" t="s">
        <v>2128</v>
      </c>
      <c r="F3" s="1304" t="s">
        <v>2129</v>
      </c>
      <c r="G3" s="2342" t="s">
        <v>2126</v>
      </c>
      <c r="H3" s="2343" t="s">
        <v>2130</v>
      </c>
    </row>
    <row r="4" spans="1:8" ht="24" customHeight="1">
      <c r="A4" s="1304" t="s">
        <v>2131</v>
      </c>
      <c r="B4" s="1304">
        <f ca="1">IF(C4&lt;B2,"已过期",1119970066)</f>
        <v>1119970066</v>
      </c>
      <c r="C4" s="2345">
        <v>45937</v>
      </c>
      <c r="D4" s="2346" t="str">
        <f ca="1">A4&amp;"（注册号："&amp;B4&amp;"）"</f>
        <v>梁津（注册号：1119970066）</v>
      </c>
      <c r="E4" s="2347" t="s">
        <v>2131</v>
      </c>
      <c r="F4" s="1304">
        <f ca="1">IF(G4&lt;B2,"已过期",96010014)</f>
        <v>96010014</v>
      </c>
      <c r="G4" s="2348">
        <v>47118</v>
      </c>
      <c r="H4" s="2349" t="str">
        <f ca="1">E4&amp;"（注册号："&amp;F4&amp;"）"</f>
        <v>梁津（注册号：96010014）</v>
      </c>
    </row>
    <row r="5" spans="1:8" ht="24" customHeight="1">
      <c r="A5" s="1304" t="s">
        <v>2132</v>
      </c>
      <c r="B5" s="1304">
        <f ca="1">IF(C5&lt;B2,"已过期",1119970111)</f>
        <v>1119970111</v>
      </c>
      <c r="C5" s="2345">
        <v>45937</v>
      </c>
      <c r="D5" s="2346" t="str">
        <f t="shared" ref="D5:D15" ca="1" si="0">A5&amp;"（注册号："&amp;B5&amp;"）"</f>
        <v>叶凌（注册号：1119970111）</v>
      </c>
      <c r="E5" s="2347" t="s">
        <v>2132</v>
      </c>
      <c r="F5" s="1304">
        <f ca="1">IF(G5&lt;B2,"已过期",94010078)</f>
        <v>94010078</v>
      </c>
      <c r="G5" s="2348">
        <v>46387</v>
      </c>
      <c r="H5" s="2349" t="str">
        <f t="shared" ref="H5:H16" ca="1" si="1">E5&amp;"（注册号："&amp;F5&amp;"）"</f>
        <v>叶凌（注册号：94010078）</v>
      </c>
    </row>
    <row r="6" spans="1:8" ht="24" customHeight="1">
      <c r="A6" s="1304" t="s">
        <v>2133</v>
      </c>
      <c r="B6" s="1304" t="str">
        <f ca="1">IF(C6&lt;B2,"已过期",1120050019)</f>
        <v>已过期</v>
      </c>
      <c r="C6" s="2345">
        <v>45410</v>
      </c>
      <c r="D6" s="2346" t="str">
        <f t="shared" ca="1" si="0"/>
        <v>王鹏（注册号：已过期）</v>
      </c>
      <c r="E6" s="2347" t="s">
        <v>2133</v>
      </c>
      <c r="F6" s="1304">
        <f ca="1">IF(G6&lt;B2,"已过期",2002110030)</f>
        <v>2002110030</v>
      </c>
      <c r="G6" s="2348">
        <v>46387</v>
      </c>
      <c r="H6" s="2349" t="str">
        <f t="shared" ca="1" si="1"/>
        <v>王鹏（注册号：2002110030）</v>
      </c>
    </row>
    <row r="7" spans="1:8" ht="24" customHeight="1">
      <c r="A7" s="1304" t="s">
        <v>2134</v>
      </c>
      <c r="B7" s="1304">
        <f ca="1">IF(C7&lt;B2,"已过期",1120000080)</f>
        <v>1120000080</v>
      </c>
      <c r="C7" s="2345">
        <v>45937</v>
      </c>
      <c r="D7" s="2346" t="str">
        <f t="shared" ca="1" si="0"/>
        <v>欧红伟（注册号：1120000080）</v>
      </c>
      <c r="E7" s="2347" t="s">
        <v>2134</v>
      </c>
      <c r="F7" s="1304">
        <f ca="1">IF(G7&lt;B2,"已过期",2000110082)</f>
        <v>2000110082</v>
      </c>
      <c r="G7" s="2348">
        <v>46387</v>
      </c>
      <c r="H7" s="2349" t="str">
        <f t="shared" ca="1" si="1"/>
        <v>欧红伟（注册号：2000110082）</v>
      </c>
    </row>
    <row r="8" spans="1:8" ht="24" customHeight="1">
      <c r="A8" s="1304" t="s">
        <v>2135</v>
      </c>
      <c r="B8" s="1304">
        <f ca="1">IF(C8&lt;B2,"已过期",1419970001)</f>
        <v>1419970001</v>
      </c>
      <c r="C8" s="2345">
        <v>45937</v>
      </c>
      <c r="D8" s="2346" t="str">
        <f t="shared" ca="1" si="0"/>
        <v>吴薇（注册号：1419970001）</v>
      </c>
      <c r="E8" s="2347" t="s">
        <v>2135</v>
      </c>
      <c r="F8" s="1304">
        <f ca="1">IF(G8&lt;B2,"已过期",2002110125)</f>
        <v>2002110125</v>
      </c>
      <c r="G8" s="2348">
        <v>47118</v>
      </c>
      <c r="H8" s="2349" t="str">
        <f t="shared" ca="1" si="1"/>
        <v>吴薇（注册号：2002110125）</v>
      </c>
    </row>
    <row r="9" spans="1:8" ht="24" customHeight="1">
      <c r="A9" s="1304" t="s">
        <v>2136</v>
      </c>
      <c r="B9" s="1304">
        <f ca="1">IF(C9&lt;B2,"已过期",1120060040)</f>
        <v>1120060040</v>
      </c>
      <c r="C9" s="2350">
        <v>45592</v>
      </c>
      <c r="D9" s="2346" t="str">
        <f t="shared" ca="1" si="0"/>
        <v>陈颖（注册号：1120060040）</v>
      </c>
      <c r="E9" s="2347" t="s">
        <v>2136</v>
      </c>
      <c r="F9" s="1304">
        <f ca="1">IF(G9&lt;B2,"已过期",2004110096)</f>
        <v>2004110096</v>
      </c>
      <c r="G9" s="2348">
        <v>47118</v>
      </c>
      <c r="H9" s="2349" t="str">
        <f t="shared" ca="1" si="1"/>
        <v>陈颖（注册号：2004110096）</v>
      </c>
    </row>
    <row r="10" spans="1:8" ht="24" customHeight="1">
      <c r="A10" s="1304" t="s">
        <v>2137</v>
      </c>
      <c r="B10" s="1304">
        <f ca="1">IF(C10&lt;B2,"已过期",1120100036)</f>
        <v>1120100036</v>
      </c>
      <c r="C10" s="2350">
        <v>45752</v>
      </c>
      <c r="D10" s="2346" t="str">
        <f t="shared" ca="1" si="0"/>
        <v>崔锴（注册号：1120100036）</v>
      </c>
      <c r="E10" s="2347" t="s">
        <v>2137</v>
      </c>
      <c r="F10" s="1304">
        <f ca="1">IF(G10&lt;B2,"已过期",2010110070)</f>
        <v>2010110070</v>
      </c>
      <c r="G10" s="2348">
        <v>47907</v>
      </c>
      <c r="H10" s="2349" t="str">
        <f t="shared" ca="1" si="1"/>
        <v>崔锴（注册号：2010110070）</v>
      </c>
    </row>
    <row r="11" spans="1:8" ht="24" customHeight="1">
      <c r="A11" s="1304" t="s">
        <v>2138</v>
      </c>
      <c r="B11" s="1304">
        <f ca="1">IF(C11&lt;B2,"已过期",1120070131)</f>
        <v>1120070131</v>
      </c>
      <c r="C11" s="2345">
        <v>45937</v>
      </c>
      <c r="D11" s="2346" t="str">
        <f t="shared" ca="1" si="0"/>
        <v>郑燚（注册号：1120070131）</v>
      </c>
      <c r="E11" s="2347" t="s">
        <v>2138</v>
      </c>
      <c r="F11" s="1304">
        <f ca="1">IF(G11&lt;B2,"已过期",2014110011)</f>
        <v>2014110011</v>
      </c>
      <c r="G11" s="2348">
        <v>49302</v>
      </c>
      <c r="H11" s="2349" t="str">
        <f t="shared" ca="1" si="1"/>
        <v>郑燚（注册号：2014110011）</v>
      </c>
    </row>
    <row r="12" spans="1:8" ht="24" customHeight="1">
      <c r="A12" s="1304" t="s">
        <v>2139</v>
      </c>
      <c r="B12" s="1304">
        <f ca="1">IF(C12&lt;B2,"已过期",1120040230)</f>
        <v>1120040230</v>
      </c>
      <c r="C12" s="2350">
        <v>45937</v>
      </c>
      <c r="D12" s="2346" t="str">
        <f t="shared" ca="1" si="0"/>
        <v>苏海（注册号：1120040230）</v>
      </c>
      <c r="E12" s="2347" t="s">
        <v>2139</v>
      </c>
      <c r="F12" s="1304">
        <f ca="1">IF(G12&lt;B2,"已过期",98030020)</f>
        <v>98030020</v>
      </c>
      <c r="G12" s="2348">
        <v>47118</v>
      </c>
      <c r="H12" s="2349" t="str">
        <f t="shared" ca="1" si="1"/>
        <v>苏海（注册号：98030020）</v>
      </c>
    </row>
    <row r="13" spans="1:8" ht="24" customHeight="1">
      <c r="A13" s="1304" t="s">
        <v>2140</v>
      </c>
      <c r="B13" s="1304" t="str">
        <f ca="1">IF(C13&lt;B2,"已过期",1120020033)</f>
        <v>已过期</v>
      </c>
      <c r="C13" s="2345">
        <v>45375</v>
      </c>
      <c r="D13" s="2346" t="str">
        <f t="shared" ca="1" si="0"/>
        <v>刘敬东（注册号：已过期）</v>
      </c>
      <c r="E13" s="2347" t="s">
        <v>2140</v>
      </c>
      <c r="F13" s="1304">
        <f ca="1">IF(G13&lt;B2,"已过期",2000110137)</f>
        <v>2000110137</v>
      </c>
      <c r="G13" s="2348">
        <v>46387</v>
      </c>
      <c r="H13" s="2349" t="str">
        <f t="shared" ca="1" si="1"/>
        <v>刘敬东（注册号：2000110137）</v>
      </c>
    </row>
    <row r="14" spans="1:8" ht="24" customHeight="1">
      <c r="A14" s="1304" t="s">
        <v>2141</v>
      </c>
      <c r="B14" s="1304" t="str">
        <f ca="1">IF(C14&lt;B2,"已过期",1119980106)</f>
        <v>已过期</v>
      </c>
      <c r="C14" s="2350">
        <v>44969</v>
      </c>
      <c r="D14" s="2346" t="str">
        <f t="shared" ca="1" si="0"/>
        <v>刘俊财（注册号：已过期）</v>
      </c>
      <c r="E14" s="2347" t="s">
        <v>2141</v>
      </c>
      <c r="F14" s="1304">
        <f ca="1">IF(G14&lt;B2,"已过期",96010063)</f>
        <v>96010063</v>
      </c>
      <c r="G14" s="2348">
        <v>47483</v>
      </c>
      <c r="H14" s="2349" t="str">
        <f t="shared" ca="1" si="1"/>
        <v>刘俊财（注册号：96010063）</v>
      </c>
    </row>
    <row r="15" spans="1:8" ht="24" customHeight="1">
      <c r="A15" s="1304" t="s">
        <v>2424</v>
      </c>
      <c r="B15" s="1304">
        <v>1120210056</v>
      </c>
      <c r="C15" s="2350">
        <v>45410</v>
      </c>
      <c r="D15" s="2346" t="str">
        <f t="shared" si="0"/>
        <v>宁小鳗（注册号：1120210056）</v>
      </c>
      <c r="E15" s="2347" t="s">
        <v>2142</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2143</v>
      </c>
      <c r="B17" s="3491"/>
      <c r="C17" s="3491"/>
      <c r="D17" s="3491"/>
      <c r="E17" s="3491"/>
      <c r="F17" s="3491"/>
      <c r="G17" s="3491"/>
      <c r="H17" s="3491"/>
    </row>
    <row r="18" spans="1:8" ht="24" customHeight="1">
      <c r="A18" s="3492" t="s">
        <v>2144</v>
      </c>
      <c r="B18" s="3492"/>
      <c r="C18" s="3492"/>
      <c r="D18" s="2343"/>
      <c r="E18" s="3493" t="s">
        <v>2145</v>
      </c>
      <c r="F18" s="3492"/>
      <c r="G18" s="3492"/>
    </row>
    <row r="19" spans="1:8" s="2354" customFormat="1" ht="24" customHeight="1">
      <c r="A19" s="2353" t="s">
        <v>2146</v>
      </c>
      <c r="B19" s="2342" t="s">
        <v>2147</v>
      </c>
      <c r="C19" s="2342" t="s">
        <v>2126</v>
      </c>
      <c r="D19" s="2343"/>
      <c r="E19" s="2347" t="s">
        <v>2146</v>
      </c>
      <c r="F19" s="2342" t="s">
        <v>2147</v>
      </c>
      <c r="G19" s="2342" t="s">
        <v>2126</v>
      </c>
    </row>
    <row r="20" spans="1:8" s="2354" customFormat="1" ht="24" customHeight="1">
      <c r="A20" s="2355" t="s">
        <v>2148</v>
      </c>
      <c r="B20" s="2355" t="s">
        <v>2149</v>
      </c>
      <c r="C20" s="2348">
        <v>45898</v>
      </c>
      <c r="D20" s="2356"/>
      <c r="E20" s="2357" t="s">
        <v>2150</v>
      </c>
      <c r="F20" s="2360" t="s">
        <v>2425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2024-05-10T09:16:58Z</dcterms:modified>
</cp:coreProperties>
</file>